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08" yWindow="-108" windowWidth="19416" windowHeight="10416" tabRatio="864"/>
  </bookViews>
  <sheets>
    <sheet name="Cover" sheetId="1" r:id="rId1"/>
    <sheet name="Style Guide" sheetId="44" r:id="rId2"/>
    <sheet name="Guidance for user" sheetId="56" r:id="rId3"/>
    <sheet name="Outputs &gt;&gt;" sheetId="57" r:id="rId4"/>
    <sheet name="FD rates and thresholds" sheetId="54" r:id="rId5"/>
    <sheet name="Calculations_rates &gt;&gt;" sheetId="13" r:id="rId6"/>
    <sheet name="Benchmarking externality inputs" sheetId="17" r:id="rId7"/>
    <sheet name="Rates" sheetId="14" r:id="rId8"/>
    <sheet name="Calculations_thresholds &gt;&gt;" sheetId="59" r:id="rId9"/>
    <sheet name="Thresholds_Pollution" sheetId="29" r:id="rId10"/>
    <sheet name="Thresholds_ISF" sheetId="48" r:id="rId11"/>
    <sheet name="Thresholds_PCC" sheetId="49" r:id="rId12"/>
    <sheet name="Thresholds_WaterSupply" sheetId="50" r:id="rId13"/>
    <sheet name="Thresholds_Leakage" sheetId="51" r:id="rId14"/>
    <sheet name="Frontier shift" sheetId="47" r:id="rId15"/>
    <sheet name="Inputs &gt;&gt;&gt;" sheetId="10" r:id="rId16"/>
    <sheet name="Assumptions" sheetId="20" r:id="rId17"/>
    <sheet name="Company data" sheetId="52" r:id="rId18"/>
    <sheet name="Standard ODI rates" sheetId="16" r:id="rId19"/>
    <sheet name="Proposed enhanced ODI rates" sheetId="9" r:id="rId20"/>
    <sheet name="Proposed thresholds" sheetId="37" r:id="rId21"/>
    <sheet name="Proposed PCLs" sheetId="23" r:id="rId22"/>
    <sheet name="Past performance" sheetId="46" r:id="rId23"/>
    <sheet name="WTP metadata" sheetId="21" r:id="rId24"/>
    <sheet name="Early certainty" sheetId="55" r:id="rId25"/>
    <sheet name="F_Inputs" sheetId="33" r:id="rId26"/>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A_output">'Benchmarking externality inputs'!$D$8:$D$12</definedName>
    <definedName name="A_PC">'Benchmarking externality inputs'!$C$8:$C$12</definedName>
    <definedName name="April_20">'Proposed PCLs'!$P:$P</definedName>
    <definedName name="April_21">'Proposed PCLs'!$Q:$Q</definedName>
    <definedName name="April_22">'Proposed PCLs'!$R:$R</definedName>
    <definedName name="April_23">'Proposed PCLs'!$S:$S</definedName>
    <definedName name="April_24">'Proposed PCLs'!$T:$T</definedName>
    <definedName name="Assumptions_BP">Assumptions!$D$25:$D$29</definedName>
    <definedName name="Assumptions_BP_PC">Assumptions!$C$25:$C$29</definedName>
    <definedName name="B_output">'Benchmarking externality inputs'!$E$101:$E$105</definedName>
    <definedName name="B_PC">'Benchmarking externality inputs'!$C$101:$C$105</definedName>
    <definedName name="C_output">'Benchmarking externality inputs'!$D$154:$D$158</definedName>
    <definedName name="C_PC">'Benchmarking externality inputs'!$C$154:$C$158</definedName>
    <definedName name="collar_company_leakage">Thresholds_Leakage!$D$326:$D$332</definedName>
    <definedName name="collar_ISF">Thresholds_ISF!$K$65</definedName>
    <definedName name="collar_PCC">Thresholds_PCC!$K$70</definedName>
    <definedName name="collar_pollution">Thresholds_Pollution!$K$65</definedName>
    <definedName name="collar_supply">Thresholds_WaterSupply!$K$69</definedName>
    <definedName name="collars_leakage">Thresholds_Leakage!$K$326:$O$332</definedName>
    <definedName name="Companydata_years">'Company data'!$G$29:$N$29</definedName>
    <definedName name="Costincentive_calib">Assumptions!$D$7</definedName>
    <definedName name="Discountfactor">Assumptions!$D$6</definedName>
    <definedName name="early_collar">'Early certainty'!$I:$I</definedName>
    <definedName name="early_ID">'Early certainty'!$D:$D</definedName>
    <definedName name="early_out">'Early certainty'!$H:$H</definedName>
    <definedName name="early_under">'Early certainty'!$G:$G</definedName>
    <definedName name="enhanced_ID">'Proposed enhanced ODI rates'!$C:$C</definedName>
    <definedName name="enhanced_out">'Proposed enhanced ODI rates'!$H:$H</definedName>
    <definedName name="enhanced_under">'Proposed enhanced ODI rates'!$G:$G</definedName>
    <definedName name="F" localSheetId="1" hidden="1">{"bal",#N/A,FALSE,"working papers";"income",#N/A,FALSE,"working papers"}</definedName>
    <definedName name="F" hidden="1">{"bal",#N/A,FALSE,"working papers";"income",#N/A,FALSE,"working papers"}</definedName>
    <definedName name="F_company">'Benchmarking externality inputs'!$E$165:$E$198</definedName>
    <definedName name="F_inputs_company">F_Inputs!$A:$A</definedName>
    <definedName name="F_inputs_data">F_Inputs!$F$4:$M$445</definedName>
    <definedName name="F_inputs_ID">F_Inputs!$B:$B</definedName>
    <definedName name="F_inputs_years">F_Inputs!$F$2:$M$2</definedName>
    <definedName name="fdraf" localSheetId="1" hidden="1">{"bal",#N/A,FALSE,"working papers";"income",#N/A,FALSE,"working papers"}</definedName>
    <definedName name="fdraf" hidden="1">{"bal",#N/A,FALSE,"working papers";"income",#N/A,FALSE,"working papers"}</definedName>
    <definedName name="Fdraft" localSheetId="1" hidden="1">{"bal",#N/A,FALSE,"working papers";"income",#N/A,FALSE,"working papers"}</definedName>
    <definedName name="Fdraft" hidden="1">{"bal",#N/A,FALSE,"working papers";"income",#N/A,FALSE,"working papers"}</definedName>
    <definedName name="frontiershift">'Frontier shift'!$G$46</definedName>
    <definedName name="H_company">'Benchmarking externality inputs'!$E$165:$E$188</definedName>
    <definedName name="H_ID">'Benchmarking externality inputs'!$D$165:$D$188</definedName>
    <definedName name="H_output">'Benchmarking externality inputs'!$I$165:$I$188</definedName>
    <definedName name="H_PC">'Benchmarking externality inputs'!$C$165:$C$188</definedName>
    <definedName name="Households_waste">'Company data'!$G$220:$N$236</definedName>
    <definedName name="Households_waste_average">'Company data'!$N$239</definedName>
    <definedName name="Households_waste_company">'Company data'!$D$220:$D$236</definedName>
    <definedName name="Households_waste_sum">'Company data'!$N$238</definedName>
    <definedName name="Households_water">'Company data'!$G$197:$N$213</definedName>
    <definedName name="Households_water_company">'Company data'!$D$197:$D$213</definedName>
    <definedName name="Households_water_sum">'Company data'!$N$215</definedName>
    <definedName name="hundred">Assumptions!$D$35</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F_ID">Rates!$F$73:$I$73</definedName>
    <definedName name="ISF_out">Rates!$F$90:$I$90</definedName>
    <definedName name="ISF_under">Rates!$F$92:$I$92</definedName>
    <definedName name="Leakage_ID">Rates!$F$12:$L$12</definedName>
    <definedName name="Leakage_mains">'Company data'!$G$55:$N$73</definedName>
    <definedName name="Leakage_mains_company">'Company data'!$D$55:$D$73</definedName>
    <definedName name="Leakage_out">Rates!$F$29:$L$29</definedName>
    <definedName name="Leakage_properties">'Company data'!$G$30:$N$48</definedName>
    <definedName name="Leakage_properties_companies">'Company data'!$D$30:$D$48</definedName>
    <definedName name="Leakage_under">Rates!$F$31:$L$31</definedName>
    <definedName name="million">Assumptions!$D$38</definedName>
    <definedName name="ODI_ID">'Standard ODI rates'!$D:$D</definedName>
    <definedName name="ODI_out">'Standard ODI rates'!$I:$I</definedName>
    <definedName name="ODI_under">'Standard ODI rates'!$H:$H</definedName>
    <definedName name="Out_PCC">Rates!$F$124:$G$124</definedName>
    <definedName name="PCC_ID">Rates!$F$107:$G$107</definedName>
    <definedName name="PCC_under">Rates!$F$126:$G$126</definedName>
    <definedName name="PCL_ID">'Proposed PCLs'!$C:$C</definedName>
    <definedName name="PCLhistorical_data">'Past performance'!$G$9:$M$104</definedName>
    <definedName name="PCLhistorical_ID">'Past performance'!$C$9:$C$104</definedName>
    <definedName name="PCLhistorical_years">'Past performance'!$G$8:$M$8</definedName>
    <definedName name="PCLProposedyears_April">'Proposed PCLs'!$P$9:$T$9</definedName>
    <definedName name="PCLpropsedyears_September">'Proposed PCLs'!$G$9:$K$9</definedName>
    <definedName name="PCLsProposed_April">'Proposed PCLs'!$P$10:$T$109</definedName>
    <definedName name="PCLsProposed_ID">'Proposed PCLs'!$C$10:$C$109</definedName>
    <definedName name="PCLsProposed_Sept">'Proposed PCLs'!$G$10:$K$109</definedName>
    <definedName name="Pollution_ID">Rates!$F$46:$I$46</definedName>
    <definedName name="Pollution_out">Rates!$F$63:$I$63</definedName>
    <definedName name="Pollution_under">Rates!$F$65:$I$65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Sept_20">'Proposed PCLs'!$G:$G</definedName>
    <definedName name="Sept_21">'Proposed PCLs'!$H:$H</definedName>
    <definedName name="Sept_22">'Proposed PCLs'!$I:$I</definedName>
    <definedName name="Sept_23">'Proposed PCLs'!$J:$J</definedName>
    <definedName name="Sept_24">'Proposed PCLs'!$K:$K</definedName>
    <definedName name="Sharingfactor">Assumptions!$D$8</definedName>
    <definedName name="Supply_ID">Rates!$F$134:$I$134</definedName>
    <definedName name="Supply_out">Rates!$F$151:$I$151</definedName>
    <definedName name="Supply_under">Rates!$F$153:$I$153</definedName>
    <definedName name="ten">Assumptions!$D$34</definedName>
    <definedName name="tenk">Assumptions!$D$37</definedName>
    <definedName name="thousand">Assumptions!$D$36</definedName>
    <definedName name="threshold_out_company_ISF">Thresholds_ISF!$D$87:$D$89</definedName>
    <definedName name="threshold_out_company_leakage">Thresholds_Leakage!$D$357:$D$363</definedName>
    <definedName name="threshold_out_company_PCC">Thresholds_PCC!$D$86:$D$88</definedName>
    <definedName name="threshold_out_company_pollution">Thresholds_Pollution!$D$82:$D$85</definedName>
    <definedName name="threshold_out_company_supply">Thresholds_WaterSupply!$D$86:$D$89</definedName>
    <definedName name="threshold_out_ISF">Thresholds_ISF!$K$87:$O$89</definedName>
    <definedName name="threshold_out_leakage">Thresholds_Leakage!$K$357:$O$363</definedName>
    <definedName name="threshold_out_PCC">Thresholds_PCC!$K$86:$O$88</definedName>
    <definedName name="threshold_out_pollution">Thresholds_Pollution!$K$82:$O$85</definedName>
    <definedName name="threshold_out_supply">Thresholds_WaterSupply!$K$86:$O$89</definedName>
    <definedName name="threshold_under_company_ISF">Thresholds_ISF!$D$95:$D$97</definedName>
    <definedName name="threshold_under_company_leakage">Thresholds_Leakage!$D$314:$D$320</definedName>
    <definedName name="threshold_under_company_PCC">Thresholds_PCC!$D$94:$D$96</definedName>
    <definedName name="threshold_under_company_pollution">Thresholds_Pollution!$D$91:$D$94</definedName>
    <definedName name="threshold_under_company_supply">Thresholds_WaterSupply!$D$94:$D$97</definedName>
    <definedName name="threshold_under_ISF">Thresholds_ISF!$K$95:$O$97</definedName>
    <definedName name="threshold_under_PCC">Thresholds_PCC!$K$94:$O$96</definedName>
    <definedName name="threshold_under_pollution">Thresholds_Pollution!$K$91:$O$94</definedName>
    <definedName name="threshold_under_supply">Thresholds_WaterSupply!$K$94:$O$97</definedName>
    <definedName name="threshold_year_pollution">Thresholds_Pollution!$K$81:$O$81</definedName>
    <definedName name="threshold_years_ISF">Thresholds_ISF!$K$86:$O$86</definedName>
    <definedName name="threshold_years_leakage">Thresholds_Leakage!$K$313:$O$313</definedName>
    <definedName name="threshold_years_PCC">Thresholds_PCC!$K$85:$O$85</definedName>
    <definedName name="threshold_years_supply">Thresholds_WaterSupply!$K$85:$O$85</definedName>
    <definedName name="thresholds_under_leakage">Thresholds_Leakage!$K$314:$O$320</definedName>
    <definedName name="thresholdsproposed">'Proposed thresholds'!$G$10:$K$54</definedName>
    <definedName name="thresholdsproposed_ID">'Proposed thresholds'!$C$10:$C$54</definedName>
    <definedName name="thresholdsproposed_years">'Proposed thresholds'!$G$9:$K$9</definedName>
    <definedName name="Type">Assumptions!$D$13:$D$17</definedName>
    <definedName name="Type_PC">Assumptions!$C$13:$C$17</definedName>
    <definedName name="wrn.papersdraft" localSheetId="1" hidden="1">{"bal",#N/A,FALSE,"working papers";"income",#N/A,FALSE,"working papers"}</definedName>
    <definedName name="wrn.papersdraft" hidden="1">{"bal",#N/A,FALSE,"working papers";"income",#N/A,FALSE,"working papers"}</definedName>
    <definedName name="wrn.wpapers." localSheetId="1" hidden="1">{"bal",#N/A,FALSE,"working papers";"income",#N/A,FALSE,"working papers"}</definedName>
    <definedName name="wrn.wpapers." hidden="1">{"bal",#N/A,FALSE,"working papers";"income",#N/A,FALSE,"working papers"}</definedName>
    <definedName name="WTP_1">'WTP metadata'!$H:$H</definedName>
    <definedName name="WTP_2">'WTP metadata'!$I:$I</definedName>
    <definedName name="WTP_ID">'WTP metadata'!$D:$D</definedName>
    <definedName name="Years">Assumptions!$D$9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44" i="51" l="1"/>
  <c r="E10" i="29"/>
  <c r="L70" i="48" l="1"/>
  <c r="M70" i="48"/>
  <c r="N70" i="48"/>
  <c r="O70" i="48"/>
  <c r="L71" i="48"/>
  <c r="M71" i="48"/>
  <c r="N71" i="48"/>
  <c r="O71" i="48"/>
  <c r="K71" i="48"/>
  <c r="K70" i="48"/>
  <c r="L337" i="51"/>
  <c r="L330" i="51" s="1"/>
  <c r="M337" i="51"/>
  <c r="M330" i="51" s="1"/>
  <c r="N337" i="51"/>
  <c r="N330" i="51" s="1"/>
  <c r="O337" i="51"/>
  <c r="O330" i="51" s="1"/>
  <c r="K337" i="51"/>
  <c r="K330" i="51" s="1"/>
  <c r="G27" i="54" s="1"/>
  <c r="G100" i="14"/>
  <c r="F100" i="14"/>
  <c r="G99" i="14"/>
  <c r="F99" i="14"/>
  <c r="F39" i="14"/>
  <c r="F38" i="14"/>
  <c r="J31" i="14" l="1"/>
  <c r="G16" i="54" s="1"/>
  <c r="J29" i="14" l="1"/>
  <c r="AD13" i="54"/>
  <c r="AD14" i="54"/>
  <c r="AD15" i="54"/>
  <c r="AD16" i="54"/>
  <c r="T16" i="54" s="1"/>
  <c r="AD17" i="54"/>
  <c r="AD18" i="54"/>
  <c r="AD12" i="54"/>
  <c r="H123" i="54" l="1"/>
  <c r="U123" i="54" s="1"/>
  <c r="G123" i="54"/>
  <c r="T123" i="54" s="1"/>
  <c r="H100" i="54"/>
  <c r="I100" i="54"/>
  <c r="J100" i="54"/>
  <c r="K100" i="54"/>
  <c r="G100" i="54"/>
  <c r="H99" i="54"/>
  <c r="I99" i="54"/>
  <c r="J99" i="54"/>
  <c r="K99" i="54"/>
  <c r="G99" i="54"/>
  <c r="H16" i="54" l="1"/>
  <c r="U16" i="54" s="1"/>
  <c r="H27" i="54"/>
  <c r="U27" i="54" s="1"/>
  <c r="I27" i="54"/>
  <c r="V27" i="54" s="1"/>
  <c r="J27" i="54"/>
  <c r="W27" i="54" s="1"/>
  <c r="K27" i="54"/>
  <c r="X27" i="54" s="1"/>
  <c r="T27" i="54"/>
  <c r="G92" i="14"/>
  <c r="G93" i="54" s="1"/>
  <c r="F92" i="14"/>
  <c r="G92" i="54" s="1"/>
  <c r="G90" i="14"/>
  <c r="H93" i="54" s="1"/>
  <c r="F90" i="14"/>
  <c r="H92" i="54" s="1"/>
  <c r="K77" i="50"/>
  <c r="N346" i="51"/>
  <c r="H15" i="51"/>
  <c r="H63" i="51" s="1"/>
  <c r="G119" i="52"/>
  <c r="G120" i="52"/>
  <c r="G121" i="52"/>
  <c r="G122" i="52"/>
  <c r="G123" i="52"/>
  <c r="G124" i="52"/>
  <c r="G125" i="52"/>
  <c r="G126" i="52"/>
  <c r="G127" i="52"/>
  <c r="G128" i="52"/>
  <c r="G129" i="52"/>
  <c r="G130" i="52"/>
  <c r="G131" i="52"/>
  <c r="G132" i="52"/>
  <c r="G133" i="52"/>
  <c r="G134" i="52"/>
  <c r="G135" i="52"/>
  <c r="D8" i="17"/>
  <c r="E11" i="51"/>
  <c r="E8" i="50"/>
  <c r="E8" i="49"/>
  <c r="E10" i="48"/>
  <c r="K345" i="51" l="1"/>
  <c r="L345" i="51"/>
  <c r="M345" i="51"/>
  <c r="N345" i="51"/>
  <c r="O345" i="51"/>
  <c r="K346" i="51"/>
  <c r="L346" i="51"/>
  <c r="M346" i="51"/>
  <c r="O346" i="51"/>
  <c r="K347" i="51"/>
  <c r="L347" i="51"/>
  <c r="M347" i="51"/>
  <c r="N347" i="51"/>
  <c r="O347" i="51"/>
  <c r="K348" i="51"/>
  <c r="L348" i="51"/>
  <c r="M348" i="51"/>
  <c r="N348" i="51"/>
  <c r="O348" i="51"/>
  <c r="K349" i="51"/>
  <c r="L349" i="51"/>
  <c r="M349" i="51"/>
  <c r="N349" i="51"/>
  <c r="O349" i="51"/>
  <c r="K350" i="51"/>
  <c r="L350" i="51"/>
  <c r="M350" i="51"/>
  <c r="N350" i="51"/>
  <c r="O350" i="51"/>
  <c r="L344" i="51"/>
  <c r="M344" i="51"/>
  <c r="N344" i="51"/>
  <c r="O344" i="51"/>
  <c r="O178" i="51"/>
  <c r="N178" i="51"/>
  <c r="M178" i="51"/>
  <c r="L178" i="51"/>
  <c r="K178" i="51"/>
  <c r="J178" i="51"/>
  <c r="I178" i="51"/>
  <c r="H178" i="51"/>
  <c r="O177" i="51"/>
  <c r="N177" i="51"/>
  <c r="M177" i="51"/>
  <c r="L177" i="51"/>
  <c r="K177" i="51"/>
  <c r="J177" i="51"/>
  <c r="I177" i="51"/>
  <c r="H177" i="51"/>
  <c r="O176" i="51"/>
  <c r="N176" i="51"/>
  <c r="M176" i="51"/>
  <c r="L176" i="51"/>
  <c r="K176" i="51"/>
  <c r="J176" i="51"/>
  <c r="I176" i="51"/>
  <c r="H176" i="51"/>
  <c r="O175" i="51"/>
  <c r="N175" i="51"/>
  <c r="M175" i="51"/>
  <c r="L175" i="51"/>
  <c r="K175" i="51"/>
  <c r="J175" i="51"/>
  <c r="I175" i="51"/>
  <c r="H175" i="51"/>
  <c r="O174" i="51"/>
  <c r="N174" i="51"/>
  <c r="M174" i="51"/>
  <c r="L174" i="51"/>
  <c r="K174" i="51"/>
  <c r="J174" i="51"/>
  <c r="I174" i="51"/>
  <c r="H174" i="51"/>
  <c r="H222" i="51" s="1"/>
  <c r="O173" i="51"/>
  <c r="N173" i="51"/>
  <c r="M173" i="51"/>
  <c r="L173" i="51"/>
  <c r="K173" i="51"/>
  <c r="J173" i="51"/>
  <c r="I173" i="51"/>
  <c r="H173" i="51"/>
  <c r="H221" i="51" s="1"/>
  <c r="O172" i="51"/>
  <c r="N172" i="51"/>
  <c r="M172" i="51"/>
  <c r="L172" i="51"/>
  <c r="K172" i="51"/>
  <c r="J172" i="51"/>
  <c r="I172" i="51"/>
  <c r="H172" i="51"/>
  <c r="O171" i="51"/>
  <c r="N171" i="51"/>
  <c r="M171" i="51"/>
  <c r="L171" i="51"/>
  <c r="K171" i="51"/>
  <c r="J171" i="51"/>
  <c r="I171" i="51"/>
  <c r="H171" i="51"/>
  <c r="O170" i="51"/>
  <c r="N170" i="51"/>
  <c r="M170" i="51"/>
  <c r="L170" i="51"/>
  <c r="K170" i="51"/>
  <c r="J170" i="51"/>
  <c r="I170" i="51"/>
  <c r="H170" i="51"/>
  <c r="O169" i="51"/>
  <c r="N169" i="51"/>
  <c r="M169" i="51"/>
  <c r="L169" i="51"/>
  <c r="K169" i="51"/>
  <c r="J169" i="51"/>
  <c r="I169" i="51"/>
  <c r="H169" i="51"/>
  <c r="O168" i="51"/>
  <c r="N168" i="51"/>
  <c r="M168" i="51"/>
  <c r="L168" i="51"/>
  <c r="K168" i="51"/>
  <c r="J168" i="51"/>
  <c r="I168" i="51"/>
  <c r="H168" i="51"/>
  <c r="O167" i="51"/>
  <c r="N167" i="51"/>
  <c r="M167" i="51"/>
  <c r="L167" i="51"/>
  <c r="K167" i="51"/>
  <c r="J167" i="51"/>
  <c r="I167" i="51"/>
  <c r="H167" i="51"/>
  <c r="O166" i="51"/>
  <c r="N166" i="51"/>
  <c r="M166" i="51"/>
  <c r="L166" i="51"/>
  <c r="K166" i="51"/>
  <c r="J166" i="51"/>
  <c r="I166" i="51"/>
  <c r="H166" i="51"/>
  <c r="O165" i="51"/>
  <c r="N165" i="51"/>
  <c r="M165" i="51"/>
  <c r="L165" i="51"/>
  <c r="K165" i="51"/>
  <c r="J165" i="51"/>
  <c r="I165" i="51"/>
  <c r="H165" i="51"/>
  <c r="O164" i="51"/>
  <c r="N164" i="51"/>
  <c r="M164" i="51"/>
  <c r="L164" i="51"/>
  <c r="K164" i="51"/>
  <c r="J164" i="51"/>
  <c r="I164" i="51"/>
  <c r="H164" i="51"/>
  <c r="O163" i="51"/>
  <c r="N163" i="51"/>
  <c r="M163" i="51"/>
  <c r="L163" i="51"/>
  <c r="K163" i="51"/>
  <c r="J163" i="51"/>
  <c r="I163" i="51"/>
  <c r="H163" i="51"/>
  <c r="H211" i="51" s="1"/>
  <c r="O162" i="51"/>
  <c r="N162" i="51"/>
  <c r="M162" i="51"/>
  <c r="L162" i="51"/>
  <c r="K162" i="51"/>
  <c r="J162" i="51"/>
  <c r="I162" i="51"/>
  <c r="H162" i="51"/>
  <c r="H210" i="51" s="1"/>
  <c r="O161" i="51"/>
  <c r="N161" i="51"/>
  <c r="M161" i="51"/>
  <c r="L161" i="51"/>
  <c r="K161" i="51"/>
  <c r="J161" i="51"/>
  <c r="I161" i="51"/>
  <c r="H161" i="51"/>
  <c r="O160" i="51"/>
  <c r="N160" i="51"/>
  <c r="M160" i="51"/>
  <c r="L160" i="51"/>
  <c r="K160" i="51"/>
  <c r="J160" i="51"/>
  <c r="I160" i="51"/>
  <c r="H160" i="51"/>
  <c r="H208" i="51" s="1"/>
  <c r="N192" i="52" l="1"/>
  <c r="M192" i="52"/>
  <c r="L192" i="52"/>
  <c r="K192" i="52"/>
  <c r="J192" i="52"/>
  <c r="I192" i="52"/>
  <c r="H192" i="52"/>
  <c r="G192" i="52"/>
  <c r="N191" i="52"/>
  <c r="M191" i="52"/>
  <c r="L191" i="52"/>
  <c r="K191" i="52"/>
  <c r="J191" i="52"/>
  <c r="I191" i="52"/>
  <c r="H191" i="52"/>
  <c r="G191" i="52"/>
  <c r="N190" i="52"/>
  <c r="M190" i="52"/>
  <c r="L190" i="52"/>
  <c r="K190" i="52"/>
  <c r="J190" i="52"/>
  <c r="I190" i="52"/>
  <c r="H190" i="52"/>
  <c r="G190" i="52"/>
  <c r="N189" i="52"/>
  <c r="M189" i="52"/>
  <c r="L189" i="52"/>
  <c r="K189" i="52"/>
  <c r="J189" i="52"/>
  <c r="I189" i="52"/>
  <c r="H189" i="52"/>
  <c r="G189" i="52"/>
  <c r="N188" i="52"/>
  <c r="M188" i="52"/>
  <c r="L188" i="52"/>
  <c r="K188" i="52"/>
  <c r="J188" i="52"/>
  <c r="I188" i="52"/>
  <c r="H188" i="52"/>
  <c r="G188" i="52"/>
  <c r="N187" i="52"/>
  <c r="M187" i="52"/>
  <c r="L187" i="52"/>
  <c r="K187" i="52"/>
  <c r="J187" i="52"/>
  <c r="I187" i="52"/>
  <c r="H187" i="52"/>
  <c r="G187" i="52"/>
  <c r="N186" i="52"/>
  <c r="M186" i="52"/>
  <c r="L186" i="52"/>
  <c r="K186" i="52"/>
  <c r="J186" i="52"/>
  <c r="I186" i="52"/>
  <c r="H186" i="52"/>
  <c r="G186" i="52"/>
  <c r="N185" i="52"/>
  <c r="M185" i="52"/>
  <c r="L185" i="52"/>
  <c r="K185" i="52"/>
  <c r="J185" i="52"/>
  <c r="I185" i="52"/>
  <c r="H185" i="52"/>
  <c r="G185" i="52"/>
  <c r="N184" i="52"/>
  <c r="M184" i="52"/>
  <c r="L184" i="52"/>
  <c r="K184" i="52"/>
  <c r="J184" i="52"/>
  <c r="I184" i="52"/>
  <c r="H184" i="52"/>
  <c r="G184" i="52"/>
  <c r="N183" i="52"/>
  <c r="M183" i="52"/>
  <c r="L183" i="52"/>
  <c r="K183" i="52"/>
  <c r="J183" i="52"/>
  <c r="I183" i="52"/>
  <c r="H183" i="52"/>
  <c r="G183" i="52"/>
  <c r="N182" i="52"/>
  <c r="M182" i="52"/>
  <c r="L182" i="52"/>
  <c r="K182" i="52"/>
  <c r="J182" i="52"/>
  <c r="I182" i="52"/>
  <c r="H182" i="52"/>
  <c r="G182" i="52"/>
  <c r="N181" i="52"/>
  <c r="M181" i="52"/>
  <c r="L181" i="52"/>
  <c r="K181" i="52"/>
  <c r="J181" i="52"/>
  <c r="I181" i="52"/>
  <c r="H181" i="52"/>
  <c r="G181" i="52"/>
  <c r="N180" i="52"/>
  <c r="M180" i="52"/>
  <c r="L180" i="52"/>
  <c r="K180" i="52"/>
  <c r="J180" i="52"/>
  <c r="I180" i="52"/>
  <c r="H180" i="52"/>
  <c r="G180" i="52"/>
  <c r="N179" i="52"/>
  <c r="M179" i="52"/>
  <c r="L179" i="52"/>
  <c r="K179" i="52"/>
  <c r="J179" i="52"/>
  <c r="I179" i="52"/>
  <c r="H179" i="52"/>
  <c r="G179" i="52"/>
  <c r="N178" i="52"/>
  <c r="M178" i="52"/>
  <c r="L178" i="52"/>
  <c r="K178" i="52"/>
  <c r="J178" i="52"/>
  <c r="I178" i="52"/>
  <c r="H178" i="52"/>
  <c r="G178" i="52"/>
  <c r="N177" i="52"/>
  <c r="M177" i="52"/>
  <c r="L177" i="52"/>
  <c r="K177" i="52"/>
  <c r="J177" i="52"/>
  <c r="I177" i="52"/>
  <c r="H177" i="52"/>
  <c r="G177" i="52"/>
  <c r="N176" i="52"/>
  <c r="M176" i="52"/>
  <c r="L176" i="52"/>
  <c r="K176" i="52"/>
  <c r="J176" i="52"/>
  <c r="I176" i="52"/>
  <c r="H176" i="52"/>
  <c r="G176" i="52"/>
  <c r="N173" i="52"/>
  <c r="M173" i="52"/>
  <c r="L173" i="52"/>
  <c r="K173" i="52"/>
  <c r="J173" i="52"/>
  <c r="I173" i="52"/>
  <c r="H173" i="52"/>
  <c r="G173" i="52"/>
  <c r="N172" i="52"/>
  <c r="M172" i="52"/>
  <c r="L172" i="52"/>
  <c r="K172" i="52"/>
  <c r="J172" i="52"/>
  <c r="I172" i="52"/>
  <c r="H172" i="52"/>
  <c r="G172" i="52"/>
  <c r="N171" i="52"/>
  <c r="M171" i="52"/>
  <c r="L171" i="52"/>
  <c r="K171" i="52"/>
  <c r="J171" i="52"/>
  <c r="I171" i="52"/>
  <c r="H171" i="52"/>
  <c r="G171" i="52"/>
  <c r="N170" i="52"/>
  <c r="M170" i="52"/>
  <c r="L170" i="52"/>
  <c r="K170" i="52"/>
  <c r="J170" i="52"/>
  <c r="I170" i="52"/>
  <c r="H170" i="52"/>
  <c r="G170" i="52"/>
  <c r="N169" i="52"/>
  <c r="M169" i="52"/>
  <c r="L169" i="52"/>
  <c r="K169" i="52"/>
  <c r="J169" i="52"/>
  <c r="I169" i="52"/>
  <c r="H169" i="52"/>
  <c r="G169" i="52"/>
  <c r="N168" i="52"/>
  <c r="M168" i="52"/>
  <c r="L168" i="52"/>
  <c r="K168" i="52"/>
  <c r="J168" i="52"/>
  <c r="I168" i="52"/>
  <c r="H168" i="52"/>
  <c r="G168" i="52"/>
  <c r="N167" i="52"/>
  <c r="M167" i="52"/>
  <c r="L167" i="52"/>
  <c r="K167" i="52"/>
  <c r="J167" i="52"/>
  <c r="I167" i="52"/>
  <c r="H167" i="52"/>
  <c r="G167" i="52"/>
  <c r="N166" i="52"/>
  <c r="M166" i="52"/>
  <c r="L166" i="52"/>
  <c r="K166" i="52"/>
  <c r="J166" i="52"/>
  <c r="I166" i="52"/>
  <c r="H166" i="52"/>
  <c r="G166" i="52"/>
  <c r="N165" i="52"/>
  <c r="M165" i="52"/>
  <c r="L165" i="52"/>
  <c r="K165" i="52"/>
  <c r="J165" i="52"/>
  <c r="I165" i="52"/>
  <c r="H165" i="52"/>
  <c r="G165" i="52"/>
  <c r="N164" i="52"/>
  <c r="M164" i="52"/>
  <c r="L164" i="52"/>
  <c r="K164" i="52"/>
  <c r="J164" i="52"/>
  <c r="I164" i="52"/>
  <c r="H164" i="52"/>
  <c r="G164" i="52"/>
  <c r="N163" i="52"/>
  <c r="M163" i="52"/>
  <c r="L163" i="52"/>
  <c r="K163" i="52"/>
  <c r="J163" i="52"/>
  <c r="I163" i="52"/>
  <c r="H163" i="52"/>
  <c r="G163" i="52"/>
  <c r="N162" i="52"/>
  <c r="M162" i="52"/>
  <c r="L162" i="52"/>
  <c r="K162" i="52"/>
  <c r="J162" i="52"/>
  <c r="I162" i="52"/>
  <c r="H162" i="52"/>
  <c r="G162" i="52"/>
  <c r="N161" i="52"/>
  <c r="M161" i="52"/>
  <c r="L161" i="52"/>
  <c r="K161" i="52"/>
  <c r="J161" i="52"/>
  <c r="I161" i="52"/>
  <c r="H161" i="52"/>
  <c r="G161" i="52"/>
  <c r="N160" i="52"/>
  <c r="M160" i="52"/>
  <c r="L160" i="52"/>
  <c r="K160" i="52"/>
  <c r="J160" i="52"/>
  <c r="I160" i="52"/>
  <c r="H160" i="52"/>
  <c r="G160" i="52"/>
  <c r="N159" i="52"/>
  <c r="M159" i="52"/>
  <c r="L159" i="52"/>
  <c r="K159" i="52"/>
  <c r="J159" i="52"/>
  <c r="I159" i="52"/>
  <c r="H159" i="52"/>
  <c r="G159" i="52"/>
  <c r="N158" i="52"/>
  <c r="M158" i="52"/>
  <c r="L158" i="52"/>
  <c r="K158" i="52"/>
  <c r="J158" i="52"/>
  <c r="I158" i="52"/>
  <c r="H158" i="52"/>
  <c r="G158" i="52"/>
  <c r="N157" i="52"/>
  <c r="M157" i="52"/>
  <c r="L157" i="52"/>
  <c r="K157" i="52"/>
  <c r="J157" i="52"/>
  <c r="I157" i="52"/>
  <c r="H157" i="52"/>
  <c r="G157" i="52"/>
  <c r="N154" i="52"/>
  <c r="M154" i="52"/>
  <c r="L154" i="52"/>
  <c r="K154" i="52"/>
  <c r="J154" i="52"/>
  <c r="I154" i="52"/>
  <c r="H154" i="52"/>
  <c r="G154" i="52"/>
  <c r="G236" i="52" s="1"/>
  <c r="N153" i="52"/>
  <c r="M153" i="52"/>
  <c r="L153" i="52"/>
  <c r="K153" i="52"/>
  <c r="J153" i="52"/>
  <c r="I153" i="52"/>
  <c r="H153" i="52"/>
  <c r="G153" i="52"/>
  <c r="G235" i="52" s="1"/>
  <c r="N152" i="52"/>
  <c r="M152" i="52"/>
  <c r="L152" i="52"/>
  <c r="K152" i="52"/>
  <c r="J152" i="52"/>
  <c r="I152" i="52"/>
  <c r="H152" i="52"/>
  <c r="G152" i="52"/>
  <c r="G234" i="52" s="1"/>
  <c r="N151" i="52"/>
  <c r="M151" i="52"/>
  <c r="L151" i="52"/>
  <c r="K151" i="52"/>
  <c r="J151" i="52"/>
  <c r="I151" i="52"/>
  <c r="H151" i="52"/>
  <c r="G151" i="52"/>
  <c r="G233" i="52" s="1"/>
  <c r="N150" i="52"/>
  <c r="M150" i="52"/>
  <c r="L150" i="52"/>
  <c r="K150" i="52"/>
  <c r="J150" i="52"/>
  <c r="I150" i="52"/>
  <c r="H150" i="52"/>
  <c r="G150" i="52"/>
  <c r="G232" i="52" s="1"/>
  <c r="N149" i="52"/>
  <c r="M149" i="52"/>
  <c r="L149" i="52"/>
  <c r="K149" i="52"/>
  <c r="J149" i="52"/>
  <c r="I149" i="52"/>
  <c r="H149" i="52"/>
  <c r="G149" i="52"/>
  <c r="G231" i="52" s="1"/>
  <c r="N148" i="52"/>
  <c r="M148" i="52"/>
  <c r="L148" i="52"/>
  <c r="K148" i="52"/>
  <c r="J148" i="52"/>
  <c r="I148" i="52"/>
  <c r="H148" i="52"/>
  <c r="G148" i="52"/>
  <c r="G230" i="52" s="1"/>
  <c r="N147" i="52"/>
  <c r="M147" i="52"/>
  <c r="L147" i="52"/>
  <c r="K147" i="52"/>
  <c r="J147" i="52"/>
  <c r="I147" i="52"/>
  <c r="H147" i="52"/>
  <c r="G147" i="52"/>
  <c r="G229" i="52" s="1"/>
  <c r="N146" i="52"/>
  <c r="M146" i="52"/>
  <c r="L146" i="52"/>
  <c r="K146" i="52"/>
  <c r="J146" i="52"/>
  <c r="I146" i="52"/>
  <c r="H146" i="52"/>
  <c r="G146" i="52"/>
  <c r="G228" i="52" s="1"/>
  <c r="N145" i="52"/>
  <c r="M145" i="52"/>
  <c r="L145" i="52"/>
  <c r="K145" i="52"/>
  <c r="J145" i="52"/>
  <c r="I145" i="52"/>
  <c r="H145" i="52"/>
  <c r="G145" i="52"/>
  <c r="G227" i="52" s="1"/>
  <c r="N144" i="52"/>
  <c r="M144" i="52"/>
  <c r="L144" i="52"/>
  <c r="K144" i="52"/>
  <c r="J144" i="52"/>
  <c r="I144" i="52"/>
  <c r="H144" i="52"/>
  <c r="G144" i="52"/>
  <c r="G226" i="52" s="1"/>
  <c r="N143" i="52"/>
  <c r="M143" i="52"/>
  <c r="L143" i="52"/>
  <c r="K143" i="52"/>
  <c r="J143" i="52"/>
  <c r="I143" i="52"/>
  <c r="H143" i="52"/>
  <c r="G143" i="52"/>
  <c r="G225" i="52" s="1"/>
  <c r="N142" i="52"/>
  <c r="M142" i="52"/>
  <c r="L142" i="52"/>
  <c r="K142" i="52"/>
  <c r="J142" i="52"/>
  <c r="I142" i="52"/>
  <c r="H142" i="52"/>
  <c r="G142" i="52"/>
  <c r="G224" i="52" s="1"/>
  <c r="N141" i="52"/>
  <c r="M141" i="52"/>
  <c r="L141" i="52"/>
  <c r="K141" i="52"/>
  <c r="J141" i="52"/>
  <c r="I141" i="52"/>
  <c r="H141" i="52"/>
  <c r="G141" i="52"/>
  <c r="G223" i="52" s="1"/>
  <c r="N140" i="52"/>
  <c r="M140" i="52"/>
  <c r="L140" i="52"/>
  <c r="K140" i="52"/>
  <c r="J140" i="52"/>
  <c r="I140" i="52"/>
  <c r="H140" i="52"/>
  <c r="G140" i="52"/>
  <c r="G222" i="52" s="1"/>
  <c r="N139" i="52"/>
  <c r="M139" i="52"/>
  <c r="L139" i="52"/>
  <c r="K139" i="52"/>
  <c r="J139" i="52"/>
  <c r="I139" i="52"/>
  <c r="H139" i="52"/>
  <c r="G139" i="52"/>
  <c r="G221" i="52" s="1"/>
  <c r="N138" i="52"/>
  <c r="M138" i="52"/>
  <c r="L138" i="52"/>
  <c r="K138" i="52"/>
  <c r="J138" i="52"/>
  <c r="I138" i="52"/>
  <c r="H138" i="52"/>
  <c r="G138" i="52"/>
  <c r="G220" i="52" s="1"/>
  <c r="N135" i="52"/>
  <c r="N236" i="52" s="1"/>
  <c r="M135" i="52"/>
  <c r="M236" i="52" s="1"/>
  <c r="L135" i="52"/>
  <c r="L236" i="52" s="1"/>
  <c r="K135" i="52"/>
  <c r="K236" i="52" s="1"/>
  <c r="J135" i="52"/>
  <c r="J236" i="52" s="1"/>
  <c r="I135" i="52"/>
  <c r="I236" i="52" s="1"/>
  <c r="H135" i="52"/>
  <c r="H236" i="52" s="1"/>
  <c r="N134" i="52"/>
  <c r="M134" i="52"/>
  <c r="L134" i="52"/>
  <c r="K134" i="52"/>
  <c r="J134" i="52"/>
  <c r="I134" i="52"/>
  <c r="H134" i="52"/>
  <c r="N133" i="52"/>
  <c r="M133" i="52"/>
  <c r="L133" i="52"/>
  <c r="K133" i="52"/>
  <c r="J133" i="52"/>
  <c r="I133" i="52"/>
  <c r="H133" i="52"/>
  <c r="N132" i="52"/>
  <c r="M132" i="52"/>
  <c r="L132" i="52"/>
  <c r="K132" i="52"/>
  <c r="J132" i="52"/>
  <c r="I132" i="52"/>
  <c r="H132" i="52"/>
  <c r="N131" i="52"/>
  <c r="N232" i="52" s="1"/>
  <c r="M131" i="52"/>
  <c r="M232" i="52" s="1"/>
  <c r="L131" i="52"/>
  <c r="L232" i="52" s="1"/>
  <c r="K131" i="52"/>
  <c r="K232" i="52" s="1"/>
  <c r="J131" i="52"/>
  <c r="J232" i="52" s="1"/>
  <c r="I131" i="52"/>
  <c r="I232" i="52" s="1"/>
  <c r="H131" i="52"/>
  <c r="H232" i="52" s="1"/>
  <c r="N130" i="52"/>
  <c r="M130" i="52"/>
  <c r="L130" i="52"/>
  <c r="K130" i="52"/>
  <c r="J130" i="52"/>
  <c r="I130" i="52"/>
  <c r="H130" i="52"/>
  <c r="N129" i="52"/>
  <c r="M129" i="52"/>
  <c r="L129" i="52"/>
  <c r="K129" i="52"/>
  <c r="J129" i="52"/>
  <c r="I129" i="52"/>
  <c r="H129" i="52"/>
  <c r="N128" i="52"/>
  <c r="M128" i="52"/>
  <c r="L128" i="52"/>
  <c r="K128" i="52"/>
  <c r="J128" i="52"/>
  <c r="I128" i="52"/>
  <c r="H128" i="52"/>
  <c r="N127" i="52"/>
  <c r="N228" i="52" s="1"/>
  <c r="M127" i="52"/>
  <c r="M228" i="52" s="1"/>
  <c r="L127" i="52"/>
  <c r="L228" i="52" s="1"/>
  <c r="K127" i="52"/>
  <c r="K228" i="52" s="1"/>
  <c r="J127" i="52"/>
  <c r="J228" i="52" s="1"/>
  <c r="I127" i="52"/>
  <c r="I228" i="52" s="1"/>
  <c r="H127" i="52"/>
  <c r="H228" i="52" s="1"/>
  <c r="N126" i="52"/>
  <c r="M126" i="52"/>
  <c r="L126" i="52"/>
  <c r="K126" i="52"/>
  <c r="J126" i="52"/>
  <c r="I126" i="52"/>
  <c r="H126" i="52"/>
  <c r="N125" i="52"/>
  <c r="M125" i="52"/>
  <c r="L125" i="52"/>
  <c r="K125" i="52"/>
  <c r="J125" i="52"/>
  <c r="I125" i="52"/>
  <c r="H125" i="52"/>
  <c r="N124" i="52"/>
  <c r="M124" i="52"/>
  <c r="L124" i="52"/>
  <c r="K124" i="52"/>
  <c r="J124" i="52"/>
  <c r="I124" i="52"/>
  <c r="H124" i="52"/>
  <c r="N123" i="52"/>
  <c r="N224" i="52" s="1"/>
  <c r="G173" i="17" s="1"/>
  <c r="M123" i="52"/>
  <c r="M224" i="52" s="1"/>
  <c r="L123" i="52"/>
  <c r="L224" i="52" s="1"/>
  <c r="K123" i="52"/>
  <c r="K224" i="52" s="1"/>
  <c r="J123" i="52"/>
  <c r="J224" i="52" s="1"/>
  <c r="I123" i="52"/>
  <c r="I224" i="52" s="1"/>
  <c r="H123" i="52"/>
  <c r="H224" i="52" s="1"/>
  <c r="N122" i="52"/>
  <c r="M122" i="52"/>
  <c r="L122" i="52"/>
  <c r="K122" i="52"/>
  <c r="J122" i="52"/>
  <c r="I122" i="52"/>
  <c r="H122" i="52"/>
  <c r="N121" i="52"/>
  <c r="M121" i="52"/>
  <c r="L121" i="52"/>
  <c r="K121" i="52"/>
  <c r="J121" i="52"/>
  <c r="I121" i="52"/>
  <c r="H121" i="52"/>
  <c r="N120" i="52"/>
  <c r="M120" i="52"/>
  <c r="L120" i="52"/>
  <c r="K120" i="52"/>
  <c r="J120" i="52"/>
  <c r="I120" i="52"/>
  <c r="H120" i="52"/>
  <c r="N119" i="52"/>
  <c r="N220" i="52" s="1"/>
  <c r="M119" i="52"/>
  <c r="M220" i="52" s="1"/>
  <c r="L119" i="52"/>
  <c r="L220" i="52" s="1"/>
  <c r="K119" i="52"/>
  <c r="J119" i="52"/>
  <c r="J220" i="52" s="1"/>
  <c r="I119" i="52"/>
  <c r="I220" i="52" s="1"/>
  <c r="H119" i="52"/>
  <c r="H220" i="52" s="1"/>
  <c r="N116" i="52"/>
  <c r="M116" i="52"/>
  <c r="L116" i="52"/>
  <c r="K116" i="52"/>
  <c r="J116" i="52"/>
  <c r="I116" i="52"/>
  <c r="H116" i="52"/>
  <c r="G116" i="52"/>
  <c r="N115" i="52"/>
  <c r="M115" i="52"/>
  <c r="L115" i="52"/>
  <c r="K115" i="52"/>
  <c r="J115" i="52"/>
  <c r="I115" i="52"/>
  <c r="H115" i="52"/>
  <c r="G115" i="52"/>
  <c r="N114" i="52"/>
  <c r="M114" i="52"/>
  <c r="L114" i="52"/>
  <c r="K114" i="52"/>
  <c r="J114" i="52"/>
  <c r="I114" i="52"/>
  <c r="H114" i="52"/>
  <c r="G114" i="52"/>
  <c r="N113" i="52"/>
  <c r="M113" i="52"/>
  <c r="L113" i="52"/>
  <c r="K113" i="52"/>
  <c r="J113" i="52"/>
  <c r="I113" i="52"/>
  <c r="H113" i="52"/>
  <c r="G113" i="52"/>
  <c r="N112" i="52"/>
  <c r="M112" i="52"/>
  <c r="L112" i="52"/>
  <c r="K112" i="52"/>
  <c r="J112" i="52"/>
  <c r="I112" i="52"/>
  <c r="H112" i="52"/>
  <c r="G112" i="52"/>
  <c r="N111" i="52"/>
  <c r="M111" i="52"/>
  <c r="L111" i="52"/>
  <c r="K111" i="52"/>
  <c r="J111" i="52"/>
  <c r="I111" i="52"/>
  <c r="H111" i="52"/>
  <c r="G111" i="52"/>
  <c r="N110" i="52"/>
  <c r="M110" i="52"/>
  <c r="L110" i="52"/>
  <c r="K110" i="52"/>
  <c r="J110" i="52"/>
  <c r="I110" i="52"/>
  <c r="H110" i="52"/>
  <c r="G110" i="52"/>
  <c r="N109" i="52"/>
  <c r="M109" i="52"/>
  <c r="L109" i="52"/>
  <c r="K109" i="52"/>
  <c r="J109" i="52"/>
  <c r="I109" i="52"/>
  <c r="H109" i="52"/>
  <c r="G109" i="52"/>
  <c r="N108" i="52"/>
  <c r="M108" i="52"/>
  <c r="L108" i="52"/>
  <c r="K108" i="52"/>
  <c r="J108" i="52"/>
  <c r="I108" i="52"/>
  <c r="H108" i="52"/>
  <c r="G108" i="52"/>
  <c r="N107" i="52"/>
  <c r="M107" i="52"/>
  <c r="L107" i="52"/>
  <c r="K107" i="52"/>
  <c r="J107" i="52"/>
  <c r="I107" i="52"/>
  <c r="H107" i="52"/>
  <c r="G107" i="52"/>
  <c r="N106" i="52"/>
  <c r="M106" i="52"/>
  <c r="L106" i="52"/>
  <c r="K106" i="52"/>
  <c r="J106" i="52"/>
  <c r="I106" i="52"/>
  <c r="H106" i="52"/>
  <c r="G106" i="52"/>
  <c r="N105" i="52"/>
  <c r="M105" i="52"/>
  <c r="L105" i="52"/>
  <c r="K105" i="52"/>
  <c r="J105" i="52"/>
  <c r="I105" i="52"/>
  <c r="H105" i="52"/>
  <c r="G105" i="52"/>
  <c r="N104" i="52"/>
  <c r="M104" i="52"/>
  <c r="L104" i="52"/>
  <c r="K104" i="52"/>
  <c r="J104" i="52"/>
  <c r="I104" i="52"/>
  <c r="H104" i="52"/>
  <c r="G104" i="52"/>
  <c r="N103" i="52"/>
  <c r="M103" i="52"/>
  <c r="L103" i="52"/>
  <c r="K103" i="52"/>
  <c r="J103" i="52"/>
  <c r="I103" i="52"/>
  <c r="H103" i="52"/>
  <c r="G103" i="52"/>
  <c r="N102" i="52"/>
  <c r="M102" i="52"/>
  <c r="L102" i="52"/>
  <c r="K102" i="52"/>
  <c r="J102" i="52"/>
  <c r="I102" i="52"/>
  <c r="H102" i="52"/>
  <c r="G102" i="52"/>
  <c r="N101" i="52"/>
  <c r="M101" i="52"/>
  <c r="L101" i="52"/>
  <c r="K101" i="52"/>
  <c r="J101" i="52"/>
  <c r="I101" i="52"/>
  <c r="H101" i="52"/>
  <c r="G101" i="52"/>
  <c r="N100" i="52"/>
  <c r="M100" i="52"/>
  <c r="L100" i="52"/>
  <c r="K100" i="52"/>
  <c r="J100" i="52"/>
  <c r="I100" i="52"/>
  <c r="H100" i="52"/>
  <c r="G100" i="52"/>
  <c r="H81" i="52"/>
  <c r="I81" i="52"/>
  <c r="J81" i="52"/>
  <c r="K81" i="52"/>
  <c r="L81" i="52"/>
  <c r="M81" i="52"/>
  <c r="N81" i="52"/>
  <c r="H82" i="52"/>
  <c r="I82" i="52"/>
  <c r="J82" i="52"/>
  <c r="K82" i="52"/>
  <c r="L82" i="52"/>
  <c r="M82" i="52"/>
  <c r="N82" i="52"/>
  <c r="H83" i="52"/>
  <c r="H199" i="52" s="1"/>
  <c r="I83" i="52"/>
  <c r="J83" i="52"/>
  <c r="K83" i="52"/>
  <c r="L83" i="52"/>
  <c r="L199" i="52" s="1"/>
  <c r="M83" i="52"/>
  <c r="N83" i="52"/>
  <c r="H84" i="52"/>
  <c r="I84" i="52"/>
  <c r="J84" i="52"/>
  <c r="K84" i="52"/>
  <c r="L84" i="52"/>
  <c r="M84" i="52"/>
  <c r="N84" i="52"/>
  <c r="H85" i="52"/>
  <c r="I85" i="52"/>
  <c r="J85" i="52"/>
  <c r="K85" i="52"/>
  <c r="L85" i="52"/>
  <c r="M85" i="52"/>
  <c r="N85" i="52"/>
  <c r="H86" i="52"/>
  <c r="I86" i="52"/>
  <c r="J86" i="52"/>
  <c r="K86" i="52"/>
  <c r="L86" i="52"/>
  <c r="M86" i="52"/>
  <c r="N86" i="52"/>
  <c r="H87" i="52"/>
  <c r="H203" i="52" s="1"/>
  <c r="I87" i="52"/>
  <c r="J87" i="52"/>
  <c r="K87" i="52"/>
  <c r="L87" i="52"/>
  <c r="L203" i="52" s="1"/>
  <c r="M87" i="52"/>
  <c r="N87" i="52"/>
  <c r="H88" i="52"/>
  <c r="I88" i="52"/>
  <c r="J88" i="52"/>
  <c r="K88" i="52"/>
  <c r="L88" i="52"/>
  <c r="M88" i="52"/>
  <c r="N88" i="52"/>
  <c r="H89" i="52"/>
  <c r="I89" i="52"/>
  <c r="J89" i="52"/>
  <c r="K89" i="52"/>
  <c r="L89" i="52"/>
  <c r="M89" i="52"/>
  <c r="N89" i="52"/>
  <c r="H90" i="52"/>
  <c r="I90" i="52"/>
  <c r="J90" i="52"/>
  <c r="K90" i="52"/>
  <c r="L90" i="52"/>
  <c r="M90" i="52"/>
  <c r="N90" i="52"/>
  <c r="H91" i="52"/>
  <c r="H207" i="52" s="1"/>
  <c r="I91" i="52"/>
  <c r="J91" i="52"/>
  <c r="K91" i="52"/>
  <c r="L91" i="52"/>
  <c r="L207" i="52" s="1"/>
  <c r="M91" i="52"/>
  <c r="N91" i="52"/>
  <c r="H92" i="52"/>
  <c r="I92" i="52"/>
  <c r="J92" i="52"/>
  <c r="K92" i="52"/>
  <c r="L92" i="52"/>
  <c r="M92" i="52"/>
  <c r="N92" i="52"/>
  <c r="H93" i="52"/>
  <c r="I93" i="52"/>
  <c r="J93" i="52"/>
  <c r="K93" i="52"/>
  <c r="L93" i="52"/>
  <c r="M93" i="52"/>
  <c r="N93" i="52"/>
  <c r="H94" i="52"/>
  <c r="I94" i="52"/>
  <c r="J94" i="52"/>
  <c r="K94" i="52"/>
  <c r="L94" i="52"/>
  <c r="M94" i="52"/>
  <c r="N94" i="52"/>
  <c r="H95" i="52"/>
  <c r="H211" i="52" s="1"/>
  <c r="I95" i="52"/>
  <c r="J95" i="52"/>
  <c r="K95" i="52"/>
  <c r="L95" i="52"/>
  <c r="L211" i="52" s="1"/>
  <c r="M95" i="52"/>
  <c r="N95" i="52"/>
  <c r="H96" i="52"/>
  <c r="I96" i="52"/>
  <c r="J96" i="52"/>
  <c r="K96" i="52"/>
  <c r="L96" i="52"/>
  <c r="M96" i="52"/>
  <c r="N96" i="52"/>
  <c r="H97" i="52"/>
  <c r="I97" i="52"/>
  <c r="J97" i="52"/>
  <c r="K97" i="52"/>
  <c r="L97" i="52"/>
  <c r="M97" i="52"/>
  <c r="N97" i="52"/>
  <c r="G82" i="52"/>
  <c r="G83" i="52"/>
  <c r="G84" i="52"/>
  <c r="G85" i="52"/>
  <c r="G86" i="52"/>
  <c r="G87" i="52"/>
  <c r="G88" i="52"/>
  <c r="G89" i="52"/>
  <c r="G90" i="52"/>
  <c r="G91" i="52"/>
  <c r="G92" i="52"/>
  <c r="G93" i="52"/>
  <c r="G94" i="52"/>
  <c r="G95" i="52"/>
  <c r="G96" i="52"/>
  <c r="G97" i="52"/>
  <c r="G81" i="52"/>
  <c r="H55" i="52"/>
  <c r="I184" i="51" s="1"/>
  <c r="I208" i="51" s="1"/>
  <c r="I55" i="52"/>
  <c r="J184" i="51" s="1"/>
  <c r="J208" i="51" s="1"/>
  <c r="J55" i="52"/>
  <c r="K184" i="51" s="1"/>
  <c r="K208" i="51" s="1"/>
  <c r="K55" i="52"/>
  <c r="L184" i="51" s="1"/>
  <c r="L208" i="51" s="1"/>
  <c r="L55" i="52"/>
  <c r="M184" i="51" s="1"/>
  <c r="M208" i="51" s="1"/>
  <c r="M55" i="52"/>
  <c r="N184" i="51" s="1"/>
  <c r="N208" i="51" s="1"/>
  <c r="N55" i="52"/>
  <c r="O184" i="51" s="1"/>
  <c r="O208" i="51" s="1"/>
  <c r="H56" i="52"/>
  <c r="I185" i="51" s="1"/>
  <c r="I209" i="51" s="1"/>
  <c r="I56" i="52"/>
  <c r="J185" i="51" s="1"/>
  <c r="J209" i="51" s="1"/>
  <c r="J56" i="52"/>
  <c r="K185" i="51" s="1"/>
  <c r="K209" i="51" s="1"/>
  <c r="K56" i="52"/>
  <c r="L185" i="51" s="1"/>
  <c r="L209" i="51" s="1"/>
  <c r="L56" i="52"/>
  <c r="M185" i="51" s="1"/>
  <c r="M209" i="51" s="1"/>
  <c r="M56" i="52"/>
  <c r="N185" i="51" s="1"/>
  <c r="N209" i="51" s="1"/>
  <c r="N56" i="52"/>
  <c r="O185" i="51" s="1"/>
  <c r="O209" i="51" s="1"/>
  <c r="H57" i="52"/>
  <c r="I186" i="51" s="1"/>
  <c r="I210" i="51" s="1"/>
  <c r="I57" i="52"/>
  <c r="J186" i="51" s="1"/>
  <c r="J210" i="51" s="1"/>
  <c r="J57" i="52"/>
  <c r="K186" i="51" s="1"/>
  <c r="K210" i="51" s="1"/>
  <c r="K57" i="52"/>
  <c r="L186" i="51" s="1"/>
  <c r="L210" i="51" s="1"/>
  <c r="L57" i="52"/>
  <c r="M186" i="51" s="1"/>
  <c r="M210" i="51" s="1"/>
  <c r="M57" i="52"/>
  <c r="N186" i="51" s="1"/>
  <c r="N210" i="51" s="1"/>
  <c r="N57" i="52"/>
  <c r="O186" i="51" s="1"/>
  <c r="O210" i="51" s="1"/>
  <c r="H58" i="52"/>
  <c r="I187" i="51" s="1"/>
  <c r="I211" i="51" s="1"/>
  <c r="I58" i="52"/>
  <c r="J187" i="51" s="1"/>
  <c r="J211" i="51" s="1"/>
  <c r="J58" i="52"/>
  <c r="K187" i="51" s="1"/>
  <c r="K211" i="51" s="1"/>
  <c r="K58" i="52"/>
  <c r="L187" i="51" s="1"/>
  <c r="L211" i="51" s="1"/>
  <c r="L58" i="52"/>
  <c r="M187" i="51" s="1"/>
  <c r="M211" i="51" s="1"/>
  <c r="M58" i="52"/>
  <c r="N187" i="51" s="1"/>
  <c r="N211" i="51" s="1"/>
  <c r="N58" i="52"/>
  <c r="O187" i="51" s="1"/>
  <c r="O211" i="51" s="1"/>
  <c r="H59" i="52"/>
  <c r="I188" i="51" s="1"/>
  <c r="I212" i="51" s="1"/>
  <c r="I59" i="52"/>
  <c r="J188" i="51" s="1"/>
  <c r="J212" i="51" s="1"/>
  <c r="J59" i="52"/>
  <c r="K188" i="51" s="1"/>
  <c r="K212" i="51" s="1"/>
  <c r="K59" i="52"/>
  <c r="L188" i="51" s="1"/>
  <c r="L212" i="51" s="1"/>
  <c r="L59" i="52"/>
  <c r="M188" i="51" s="1"/>
  <c r="M212" i="51" s="1"/>
  <c r="M59" i="52"/>
  <c r="N188" i="51" s="1"/>
  <c r="N212" i="51" s="1"/>
  <c r="N59" i="52"/>
  <c r="O188" i="51" s="1"/>
  <c r="O212" i="51" s="1"/>
  <c r="H60" i="52"/>
  <c r="I189" i="51" s="1"/>
  <c r="I213" i="51" s="1"/>
  <c r="I60" i="52"/>
  <c r="J189" i="51" s="1"/>
  <c r="J213" i="51" s="1"/>
  <c r="J60" i="52"/>
  <c r="K189" i="51" s="1"/>
  <c r="K213" i="51" s="1"/>
  <c r="K60" i="52"/>
  <c r="L189" i="51" s="1"/>
  <c r="L213" i="51" s="1"/>
  <c r="L60" i="52"/>
  <c r="M189" i="51" s="1"/>
  <c r="M213" i="51" s="1"/>
  <c r="M60" i="52"/>
  <c r="N189" i="51" s="1"/>
  <c r="N213" i="51" s="1"/>
  <c r="N60" i="52"/>
  <c r="O189" i="51" s="1"/>
  <c r="O213" i="51" s="1"/>
  <c r="H61" i="52"/>
  <c r="I190" i="51" s="1"/>
  <c r="I214" i="51" s="1"/>
  <c r="I61" i="52"/>
  <c r="J190" i="51" s="1"/>
  <c r="J214" i="51" s="1"/>
  <c r="J61" i="52"/>
  <c r="K190" i="51" s="1"/>
  <c r="K214" i="51" s="1"/>
  <c r="K61" i="52"/>
  <c r="L190" i="51" s="1"/>
  <c r="L214" i="51" s="1"/>
  <c r="L61" i="52"/>
  <c r="M190" i="51" s="1"/>
  <c r="M214" i="51" s="1"/>
  <c r="M61" i="52"/>
  <c r="N190" i="51" s="1"/>
  <c r="N214" i="51" s="1"/>
  <c r="N61" i="52"/>
  <c r="O190" i="51" s="1"/>
  <c r="O214" i="51" s="1"/>
  <c r="H62" i="52"/>
  <c r="I191" i="51" s="1"/>
  <c r="I215" i="51" s="1"/>
  <c r="I62" i="52"/>
  <c r="J191" i="51" s="1"/>
  <c r="J215" i="51" s="1"/>
  <c r="J62" i="52"/>
  <c r="K191" i="51" s="1"/>
  <c r="K215" i="51" s="1"/>
  <c r="K62" i="52"/>
  <c r="L191" i="51" s="1"/>
  <c r="L215" i="51" s="1"/>
  <c r="L62" i="52"/>
  <c r="M191" i="51" s="1"/>
  <c r="M215" i="51" s="1"/>
  <c r="M62" i="52"/>
  <c r="N191" i="51" s="1"/>
  <c r="N215" i="51" s="1"/>
  <c r="N62" i="52"/>
  <c r="O191" i="51" s="1"/>
  <c r="O215" i="51" s="1"/>
  <c r="H63" i="52"/>
  <c r="I192" i="51" s="1"/>
  <c r="I216" i="51" s="1"/>
  <c r="I63" i="52"/>
  <c r="J192" i="51" s="1"/>
  <c r="J216" i="51" s="1"/>
  <c r="J63" i="52"/>
  <c r="K192" i="51" s="1"/>
  <c r="K216" i="51" s="1"/>
  <c r="K63" i="52"/>
  <c r="L192" i="51" s="1"/>
  <c r="L216" i="51" s="1"/>
  <c r="L63" i="52"/>
  <c r="M192" i="51" s="1"/>
  <c r="M216" i="51" s="1"/>
  <c r="M63" i="52"/>
  <c r="N192" i="51" s="1"/>
  <c r="N216" i="51" s="1"/>
  <c r="N63" i="52"/>
  <c r="O192" i="51" s="1"/>
  <c r="O216" i="51" s="1"/>
  <c r="H64" i="52"/>
  <c r="I193" i="51" s="1"/>
  <c r="I217" i="51" s="1"/>
  <c r="I64" i="52"/>
  <c r="J193" i="51" s="1"/>
  <c r="J217" i="51" s="1"/>
  <c r="J64" i="52"/>
  <c r="K193" i="51" s="1"/>
  <c r="K217" i="51" s="1"/>
  <c r="K64" i="52"/>
  <c r="L193" i="51" s="1"/>
  <c r="L217" i="51" s="1"/>
  <c r="L64" i="52"/>
  <c r="M193" i="51" s="1"/>
  <c r="M217" i="51" s="1"/>
  <c r="M64" i="52"/>
  <c r="N193" i="51" s="1"/>
  <c r="N217" i="51" s="1"/>
  <c r="N64" i="52"/>
  <c r="O193" i="51" s="1"/>
  <c r="O217" i="51" s="1"/>
  <c r="H65" i="52"/>
  <c r="I194" i="51" s="1"/>
  <c r="I218" i="51" s="1"/>
  <c r="I65" i="52"/>
  <c r="J194" i="51" s="1"/>
  <c r="J218" i="51" s="1"/>
  <c r="J65" i="52"/>
  <c r="K194" i="51" s="1"/>
  <c r="K218" i="51" s="1"/>
  <c r="K65" i="52"/>
  <c r="L194" i="51" s="1"/>
  <c r="L218" i="51" s="1"/>
  <c r="L65" i="52"/>
  <c r="M194" i="51" s="1"/>
  <c r="M218" i="51" s="1"/>
  <c r="M65" i="52"/>
  <c r="N194" i="51" s="1"/>
  <c r="N218" i="51" s="1"/>
  <c r="N65" i="52"/>
  <c r="O194" i="51" s="1"/>
  <c r="O218" i="51" s="1"/>
  <c r="H66" i="52"/>
  <c r="I195" i="51" s="1"/>
  <c r="I219" i="51" s="1"/>
  <c r="I66" i="52"/>
  <c r="J195" i="51" s="1"/>
  <c r="J219" i="51" s="1"/>
  <c r="J66" i="52"/>
  <c r="K195" i="51" s="1"/>
  <c r="K219" i="51" s="1"/>
  <c r="K66" i="52"/>
  <c r="L195" i="51" s="1"/>
  <c r="L219" i="51" s="1"/>
  <c r="L66" i="52"/>
  <c r="M195" i="51" s="1"/>
  <c r="M219" i="51" s="1"/>
  <c r="M66" i="52"/>
  <c r="N195" i="51" s="1"/>
  <c r="N219" i="51" s="1"/>
  <c r="N66" i="52"/>
  <c r="O195" i="51" s="1"/>
  <c r="O219" i="51" s="1"/>
  <c r="H67" i="52"/>
  <c r="I196" i="51" s="1"/>
  <c r="I220" i="51" s="1"/>
  <c r="I67" i="52"/>
  <c r="J196" i="51" s="1"/>
  <c r="J220" i="51" s="1"/>
  <c r="J67" i="52"/>
  <c r="K196" i="51" s="1"/>
  <c r="K220" i="51" s="1"/>
  <c r="K67" i="52"/>
  <c r="L196" i="51" s="1"/>
  <c r="L220" i="51" s="1"/>
  <c r="L67" i="52"/>
  <c r="M196" i="51" s="1"/>
  <c r="M220" i="51" s="1"/>
  <c r="M67" i="52"/>
  <c r="N196" i="51" s="1"/>
  <c r="N220" i="51" s="1"/>
  <c r="N67" i="52"/>
  <c r="O196" i="51" s="1"/>
  <c r="O220" i="51" s="1"/>
  <c r="H68" i="52"/>
  <c r="I197" i="51" s="1"/>
  <c r="I221" i="51" s="1"/>
  <c r="I68" i="52"/>
  <c r="J197" i="51" s="1"/>
  <c r="J221" i="51" s="1"/>
  <c r="J68" i="52"/>
  <c r="K197" i="51" s="1"/>
  <c r="K221" i="51" s="1"/>
  <c r="K68" i="52"/>
  <c r="L197" i="51" s="1"/>
  <c r="L221" i="51" s="1"/>
  <c r="L68" i="52"/>
  <c r="M197" i="51" s="1"/>
  <c r="M221" i="51" s="1"/>
  <c r="M68" i="52"/>
  <c r="N197" i="51" s="1"/>
  <c r="N221" i="51" s="1"/>
  <c r="N68" i="52"/>
  <c r="O197" i="51" s="1"/>
  <c r="O221" i="51" s="1"/>
  <c r="H69" i="52"/>
  <c r="I198" i="51" s="1"/>
  <c r="I222" i="51" s="1"/>
  <c r="I69" i="52"/>
  <c r="J198" i="51" s="1"/>
  <c r="J222" i="51" s="1"/>
  <c r="J69" i="52"/>
  <c r="K198" i="51" s="1"/>
  <c r="K222" i="51" s="1"/>
  <c r="K69" i="52"/>
  <c r="L198" i="51" s="1"/>
  <c r="L222" i="51" s="1"/>
  <c r="L69" i="52"/>
  <c r="M198" i="51" s="1"/>
  <c r="M222" i="51" s="1"/>
  <c r="M69" i="52"/>
  <c r="N198" i="51" s="1"/>
  <c r="N222" i="51" s="1"/>
  <c r="N69" i="52"/>
  <c r="O198" i="51" s="1"/>
  <c r="O222" i="51" s="1"/>
  <c r="H70" i="52"/>
  <c r="I199" i="51" s="1"/>
  <c r="I223" i="51" s="1"/>
  <c r="I70" i="52"/>
  <c r="J199" i="51" s="1"/>
  <c r="J223" i="51" s="1"/>
  <c r="J70" i="52"/>
  <c r="K199" i="51" s="1"/>
  <c r="K223" i="51" s="1"/>
  <c r="K70" i="52"/>
  <c r="L199" i="51" s="1"/>
  <c r="L223" i="51" s="1"/>
  <c r="L70" i="52"/>
  <c r="M199" i="51" s="1"/>
  <c r="M223" i="51" s="1"/>
  <c r="M70" i="52"/>
  <c r="N199" i="51" s="1"/>
  <c r="N223" i="51" s="1"/>
  <c r="N70" i="52"/>
  <c r="O199" i="51" s="1"/>
  <c r="O223" i="51" s="1"/>
  <c r="H71" i="52"/>
  <c r="I200" i="51" s="1"/>
  <c r="I224" i="51" s="1"/>
  <c r="I71" i="52"/>
  <c r="J200" i="51" s="1"/>
  <c r="J224" i="51" s="1"/>
  <c r="J71" i="52"/>
  <c r="K200" i="51" s="1"/>
  <c r="K224" i="51" s="1"/>
  <c r="K71" i="52"/>
  <c r="L200" i="51" s="1"/>
  <c r="L224" i="51" s="1"/>
  <c r="L71" i="52"/>
  <c r="M200" i="51" s="1"/>
  <c r="M224" i="51" s="1"/>
  <c r="M71" i="52"/>
  <c r="N200" i="51" s="1"/>
  <c r="N224" i="51" s="1"/>
  <c r="N71" i="52"/>
  <c r="O200" i="51" s="1"/>
  <c r="O224" i="51" s="1"/>
  <c r="H72" i="52"/>
  <c r="I201" i="51" s="1"/>
  <c r="I225" i="51" s="1"/>
  <c r="I72" i="52"/>
  <c r="J201" i="51" s="1"/>
  <c r="J225" i="51" s="1"/>
  <c r="J72" i="52"/>
  <c r="K201" i="51" s="1"/>
  <c r="K225" i="51" s="1"/>
  <c r="K72" i="52"/>
  <c r="L201" i="51" s="1"/>
  <c r="L225" i="51" s="1"/>
  <c r="L72" i="52"/>
  <c r="M201" i="51" s="1"/>
  <c r="M225" i="51" s="1"/>
  <c r="M72" i="52"/>
  <c r="N201" i="51" s="1"/>
  <c r="N225" i="51" s="1"/>
  <c r="N72" i="52"/>
  <c r="O201" i="51" s="1"/>
  <c r="O225" i="51" s="1"/>
  <c r="H73" i="52"/>
  <c r="I202" i="51" s="1"/>
  <c r="I226" i="51" s="1"/>
  <c r="I73" i="52"/>
  <c r="J202" i="51" s="1"/>
  <c r="J226" i="51" s="1"/>
  <c r="J73" i="52"/>
  <c r="K202" i="51" s="1"/>
  <c r="K226" i="51" s="1"/>
  <c r="K73" i="52"/>
  <c r="L202" i="51" s="1"/>
  <c r="L226" i="51" s="1"/>
  <c r="L73" i="52"/>
  <c r="M202" i="51" s="1"/>
  <c r="M226" i="51" s="1"/>
  <c r="M73" i="52"/>
  <c r="N202" i="51" s="1"/>
  <c r="N226" i="51" s="1"/>
  <c r="N73" i="52"/>
  <c r="O202" i="51" s="1"/>
  <c r="O226" i="51" s="1"/>
  <c r="G56" i="52"/>
  <c r="H185" i="51" s="1"/>
  <c r="H209" i="51" s="1"/>
  <c r="G57" i="52"/>
  <c r="H186" i="51" s="1"/>
  <c r="G58" i="52"/>
  <c r="H187" i="51" s="1"/>
  <c r="G59" i="52"/>
  <c r="H188" i="51" s="1"/>
  <c r="H212" i="51" s="1"/>
  <c r="G60" i="52"/>
  <c r="H189" i="51" s="1"/>
  <c r="H213" i="51" s="1"/>
  <c r="G61" i="52"/>
  <c r="H190" i="51" s="1"/>
  <c r="H214" i="51" s="1"/>
  <c r="G62" i="52"/>
  <c r="H191" i="51" s="1"/>
  <c r="H215" i="51" s="1"/>
  <c r="G63" i="52"/>
  <c r="H192" i="51" s="1"/>
  <c r="H216" i="51" s="1"/>
  <c r="G64" i="52"/>
  <c r="H193" i="51" s="1"/>
  <c r="H217" i="51" s="1"/>
  <c r="G65" i="52"/>
  <c r="H194" i="51" s="1"/>
  <c r="H218" i="51" s="1"/>
  <c r="G66" i="52"/>
  <c r="H195" i="51" s="1"/>
  <c r="H219" i="51" s="1"/>
  <c r="G67" i="52"/>
  <c r="H196" i="51" s="1"/>
  <c r="H220" i="51" s="1"/>
  <c r="G68" i="52"/>
  <c r="H197" i="51" s="1"/>
  <c r="G69" i="52"/>
  <c r="H198" i="51" s="1"/>
  <c r="G70" i="52"/>
  <c r="H199" i="51" s="1"/>
  <c r="H223" i="51" s="1"/>
  <c r="G71" i="52"/>
  <c r="H200" i="51" s="1"/>
  <c r="H224" i="51" s="1"/>
  <c r="G72" i="52"/>
  <c r="H201" i="51" s="1"/>
  <c r="H225" i="51" s="1"/>
  <c r="G73" i="52"/>
  <c r="H202" i="51" s="1"/>
  <c r="H226" i="51" s="1"/>
  <c r="G55" i="52"/>
  <c r="H184" i="51" s="1"/>
  <c r="H30" i="52"/>
  <c r="I39" i="51" s="1"/>
  <c r="I30" i="52"/>
  <c r="J39" i="51" s="1"/>
  <c r="J30" i="52"/>
  <c r="K39" i="51" s="1"/>
  <c r="K30" i="52"/>
  <c r="L39" i="51" s="1"/>
  <c r="L30" i="52"/>
  <c r="M39" i="51" s="1"/>
  <c r="M30" i="52"/>
  <c r="N39" i="51" s="1"/>
  <c r="N30" i="52"/>
  <c r="O39" i="51" s="1"/>
  <c r="H31" i="52"/>
  <c r="I40" i="51" s="1"/>
  <c r="I31" i="52"/>
  <c r="J40" i="51" s="1"/>
  <c r="J31" i="52"/>
  <c r="K40" i="51" s="1"/>
  <c r="K31" i="52"/>
  <c r="L40" i="51" s="1"/>
  <c r="L31" i="52"/>
  <c r="M40" i="51" s="1"/>
  <c r="M31" i="52"/>
  <c r="N40" i="51" s="1"/>
  <c r="N31" i="52"/>
  <c r="G165" i="17" s="1"/>
  <c r="H32" i="52"/>
  <c r="I41" i="51" s="1"/>
  <c r="I32" i="52"/>
  <c r="J41" i="51" s="1"/>
  <c r="J32" i="52"/>
  <c r="K41" i="51" s="1"/>
  <c r="K32" i="52"/>
  <c r="L41" i="51" s="1"/>
  <c r="L32" i="52"/>
  <c r="M41" i="51" s="1"/>
  <c r="M32" i="52"/>
  <c r="N41" i="51" s="1"/>
  <c r="N32" i="52"/>
  <c r="O41" i="51" s="1"/>
  <c r="H33" i="52"/>
  <c r="I42" i="51" s="1"/>
  <c r="I33" i="52"/>
  <c r="J42" i="51" s="1"/>
  <c r="J33" i="52"/>
  <c r="K42" i="51" s="1"/>
  <c r="K33" i="52"/>
  <c r="L42" i="51" s="1"/>
  <c r="L33" i="52"/>
  <c r="M42" i="51" s="1"/>
  <c r="M33" i="52"/>
  <c r="N42" i="51" s="1"/>
  <c r="N33" i="52"/>
  <c r="O42" i="51" s="1"/>
  <c r="H34" i="52"/>
  <c r="I43" i="51" s="1"/>
  <c r="I34" i="52"/>
  <c r="J43" i="51" s="1"/>
  <c r="J34" i="52"/>
  <c r="K43" i="51" s="1"/>
  <c r="K34" i="52"/>
  <c r="L43" i="51" s="1"/>
  <c r="L34" i="52"/>
  <c r="M34" i="52"/>
  <c r="N43" i="51" s="1"/>
  <c r="N34" i="52"/>
  <c r="H35" i="52"/>
  <c r="I44" i="51" s="1"/>
  <c r="I35" i="52"/>
  <c r="J44" i="51" s="1"/>
  <c r="J35" i="52"/>
  <c r="K44" i="51" s="1"/>
  <c r="K35" i="52"/>
  <c r="L44" i="51" s="1"/>
  <c r="L35" i="52"/>
  <c r="M35" i="52"/>
  <c r="N44" i="51" s="1"/>
  <c r="N35" i="52"/>
  <c r="H36" i="52"/>
  <c r="I45" i="51" s="1"/>
  <c r="I36" i="52"/>
  <c r="J45" i="51" s="1"/>
  <c r="J36" i="52"/>
  <c r="K45" i="51" s="1"/>
  <c r="K36" i="52"/>
  <c r="L45" i="51" s="1"/>
  <c r="L36" i="52"/>
  <c r="M45" i="51" s="1"/>
  <c r="M36" i="52"/>
  <c r="N45" i="51" s="1"/>
  <c r="N36" i="52"/>
  <c r="O45" i="51" s="1"/>
  <c r="H37" i="52"/>
  <c r="I46" i="51" s="1"/>
  <c r="I37" i="52"/>
  <c r="J46" i="51" s="1"/>
  <c r="J37" i="52"/>
  <c r="K46" i="51" s="1"/>
  <c r="K37" i="52"/>
  <c r="L46" i="51" s="1"/>
  <c r="L37" i="52"/>
  <c r="M46" i="51" s="1"/>
  <c r="M37" i="52"/>
  <c r="N46" i="51" s="1"/>
  <c r="N37" i="52"/>
  <c r="G168" i="17" s="1"/>
  <c r="H38" i="52"/>
  <c r="I47" i="51" s="1"/>
  <c r="I38" i="52"/>
  <c r="J47" i="51" s="1"/>
  <c r="J38" i="52"/>
  <c r="K47" i="51" s="1"/>
  <c r="K38" i="52"/>
  <c r="L47" i="51" s="1"/>
  <c r="L38" i="52"/>
  <c r="M47" i="51" s="1"/>
  <c r="M38" i="52"/>
  <c r="N47" i="51" s="1"/>
  <c r="N38" i="52"/>
  <c r="O47" i="51" s="1"/>
  <c r="H39" i="52"/>
  <c r="I48" i="51" s="1"/>
  <c r="I39" i="52"/>
  <c r="J48" i="51" s="1"/>
  <c r="J39" i="52"/>
  <c r="K48" i="51" s="1"/>
  <c r="K39" i="52"/>
  <c r="L48" i="51" s="1"/>
  <c r="L39" i="52"/>
  <c r="M48" i="51" s="1"/>
  <c r="M39" i="52"/>
  <c r="N48" i="51" s="1"/>
  <c r="N39" i="52"/>
  <c r="O48" i="51" s="1"/>
  <c r="H40" i="52"/>
  <c r="I49" i="51" s="1"/>
  <c r="I40" i="52"/>
  <c r="J49" i="51" s="1"/>
  <c r="J40" i="52"/>
  <c r="K49" i="51" s="1"/>
  <c r="K40" i="52"/>
  <c r="L49" i="51" s="1"/>
  <c r="L40" i="52"/>
  <c r="M40" i="52"/>
  <c r="N49" i="51" s="1"/>
  <c r="N40" i="52"/>
  <c r="H41" i="52"/>
  <c r="I50" i="51" s="1"/>
  <c r="I41" i="52"/>
  <c r="J50" i="51" s="1"/>
  <c r="J41" i="52"/>
  <c r="K50" i="51" s="1"/>
  <c r="K41" i="52"/>
  <c r="L50" i="51" s="1"/>
  <c r="L41" i="52"/>
  <c r="M41" i="52"/>
  <c r="N50" i="51" s="1"/>
  <c r="N41" i="52"/>
  <c r="H42" i="52"/>
  <c r="I51" i="51" s="1"/>
  <c r="I42" i="52"/>
  <c r="J51" i="51" s="1"/>
  <c r="J42" i="52"/>
  <c r="K51" i="51" s="1"/>
  <c r="K42" i="52"/>
  <c r="L51" i="51" s="1"/>
  <c r="L42" i="52"/>
  <c r="M51" i="51" s="1"/>
  <c r="M42" i="52"/>
  <c r="N51" i="51" s="1"/>
  <c r="N42" i="52"/>
  <c r="O51" i="51" s="1"/>
  <c r="H43" i="52"/>
  <c r="I52" i="51" s="1"/>
  <c r="I43" i="52"/>
  <c r="J52" i="51" s="1"/>
  <c r="J43" i="52"/>
  <c r="K52" i="51" s="1"/>
  <c r="K43" i="52"/>
  <c r="L52" i="51" s="1"/>
  <c r="L43" i="52"/>
  <c r="M52" i="51" s="1"/>
  <c r="M43" i="52"/>
  <c r="N52" i="51" s="1"/>
  <c r="N43" i="52"/>
  <c r="G169" i="17" s="1"/>
  <c r="H44" i="52"/>
  <c r="I53" i="51" s="1"/>
  <c r="I44" i="52"/>
  <c r="J53" i="51" s="1"/>
  <c r="J44" i="52"/>
  <c r="K53" i="51" s="1"/>
  <c r="K44" i="52"/>
  <c r="L53" i="51" s="1"/>
  <c r="L44" i="52"/>
  <c r="M53" i="51" s="1"/>
  <c r="M44" i="52"/>
  <c r="N53" i="51" s="1"/>
  <c r="N44" i="52"/>
  <c r="O53" i="51" s="1"/>
  <c r="H45" i="52"/>
  <c r="I54" i="51" s="1"/>
  <c r="I45" i="52"/>
  <c r="J54" i="51" s="1"/>
  <c r="J45" i="52"/>
  <c r="K54" i="51" s="1"/>
  <c r="K45" i="52"/>
  <c r="L54" i="51" s="1"/>
  <c r="L45" i="52"/>
  <c r="M54" i="51" s="1"/>
  <c r="M45" i="52"/>
  <c r="N54" i="51" s="1"/>
  <c r="N45" i="52"/>
  <c r="G170" i="17" s="1"/>
  <c r="H46" i="52"/>
  <c r="I55" i="51" s="1"/>
  <c r="I46" i="52"/>
  <c r="J55" i="51" s="1"/>
  <c r="J46" i="52"/>
  <c r="K55" i="51" s="1"/>
  <c r="K46" i="52"/>
  <c r="L55" i="51" s="1"/>
  <c r="L46" i="52"/>
  <c r="M55" i="51" s="1"/>
  <c r="M46" i="52"/>
  <c r="N55" i="51" s="1"/>
  <c r="N46" i="52"/>
  <c r="O55" i="51" s="1"/>
  <c r="H47" i="52"/>
  <c r="I56" i="51" s="1"/>
  <c r="I47" i="52"/>
  <c r="J56" i="51" s="1"/>
  <c r="J47" i="52"/>
  <c r="K56" i="51" s="1"/>
  <c r="K47" i="52"/>
  <c r="L56" i="51" s="1"/>
  <c r="L47" i="52"/>
  <c r="M56" i="51" s="1"/>
  <c r="M47" i="52"/>
  <c r="N56" i="51" s="1"/>
  <c r="N47" i="52"/>
  <c r="G171" i="17" s="1"/>
  <c r="H48" i="52"/>
  <c r="I57" i="51" s="1"/>
  <c r="I48" i="52"/>
  <c r="J57" i="51" s="1"/>
  <c r="J48" i="52"/>
  <c r="K57" i="51" s="1"/>
  <c r="K48" i="52"/>
  <c r="L57" i="51" s="1"/>
  <c r="L48" i="52"/>
  <c r="M57" i="51" s="1"/>
  <c r="M48" i="52"/>
  <c r="N57" i="51" s="1"/>
  <c r="N48" i="52"/>
  <c r="G172" i="17" s="1"/>
  <c r="G31" i="52"/>
  <c r="H40" i="51" s="1"/>
  <c r="G32" i="52"/>
  <c r="H41" i="51" s="1"/>
  <c r="G33" i="52"/>
  <c r="H42" i="51" s="1"/>
  <c r="G34" i="52"/>
  <c r="H43" i="51" s="1"/>
  <c r="G35" i="52"/>
  <c r="H44" i="51" s="1"/>
  <c r="G36" i="52"/>
  <c r="H45" i="51" s="1"/>
  <c r="G37" i="52"/>
  <c r="H46" i="51" s="1"/>
  <c r="G38" i="52"/>
  <c r="H47" i="51" s="1"/>
  <c r="G39" i="52"/>
  <c r="H48" i="51" s="1"/>
  <c r="G40" i="52"/>
  <c r="H49" i="51" s="1"/>
  <c r="G41" i="52"/>
  <c r="H50" i="51" s="1"/>
  <c r="G42" i="52"/>
  <c r="H51" i="51" s="1"/>
  <c r="G43" i="52"/>
  <c r="H52" i="51" s="1"/>
  <c r="G44" i="52"/>
  <c r="H53" i="51" s="1"/>
  <c r="G45" i="52"/>
  <c r="H54" i="51" s="1"/>
  <c r="G46" i="52"/>
  <c r="H55" i="51" s="1"/>
  <c r="G47" i="52"/>
  <c r="H56" i="51" s="1"/>
  <c r="G48" i="52"/>
  <c r="H57" i="51" s="1"/>
  <c r="G30" i="52"/>
  <c r="H39" i="51" s="1"/>
  <c r="H32" i="51"/>
  <c r="I32" i="51"/>
  <c r="J32" i="51"/>
  <c r="K32" i="51"/>
  <c r="L32" i="51"/>
  <c r="M32" i="51"/>
  <c r="N32" i="51"/>
  <c r="O32" i="51"/>
  <c r="H33" i="51"/>
  <c r="I33" i="51"/>
  <c r="J33" i="51"/>
  <c r="K33" i="51"/>
  <c r="L33" i="51"/>
  <c r="M33" i="51"/>
  <c r="N33" i="51"/>
  <c r="O33" i="51"/>
  <c r="O31" i="51"/>
  <c r="N31" i="51"/>
  <c r="M31" i="51"/>
  <c r="L31" i="51"/>
  <c r="K31" i="51"/>
  <c r="J31" i="51"/>
  <c r="I31" i="51"/>
  <c r="H31" i="51"/>
  <c r="O30" i="51"/>
  <c r="N30" i="51"/>
  <c r="M30" i="51"/>
  <c r="L30" i="51"/>
  <c r="K30" i="51"/>
  <c r="J30" i="51"/>
  <c r="I30" i="51"/>
  <c r="H30" i="51"/>
  <c r="O29" i="51"/>
  <c r="N29" i="51"/>
  <c r="M29" i="51"/>
  <c r="L29" i="51"/>
  <c r="K29" i="51"/>
  <c r="J29" i="51"/>
  <c r="I29" i="51"/>
  <c r="H29" i="51"/>
  <c r="H77" i="51" s="1"/>
  <c r="O28" i="51"/>
  <c r="N28" i="51"/>
  <c r="M28" i="51"/>
  <c r="L28" i="51"/>
  <c r="K28" i="51"/>
  <c r="J28" i="51"/>
  <c r="I28" i="51"/>
  <c r="H28" i="51"/>
  <c r="H76" i="51" s="1"/>
  <c r="O27" i="51"/>
  <c r="N27" i="51"/>
  <c r="M27" i="51"/>
  <c r="L27" i="51"/>
  <c r="K27" i="51"/>
  <c r="J27" i="51"/>
  <c r="I27" i="51"/>
  <c r="H27" i="51"/>
  <c r="O26" i="51"/>
  <c r="N26" i="51"/>
  <c r="M26" i="51"/>
  <c r="L26" i="51"/>
  <c r="K26" i="51"/>
  <c r="J26" i="51"/>
  <c r="I26" i="51"/>
  <c r="H26" i="51"/>
  <c r="O25" i="51"/>
  <c r="N25" i="51"/>
  <c r="M25" i="51"/>
  <c r="L25" i="51"/>
  <c r="K25" i="51"/>
  <c r="J25" i="51"/>
  <c r="I25" i="51"/>
  <c r="H25" i="51"/>
  <c r="O24" i="51"/>
  <c r="N24" i="51"/>
  <c r="M24" i="51"/>
  <c r="L24" i="51"/>
  <c r="K24" i="51"/>
  <c r="J24" i="51"/>
  <c r="I24" i="51"/>
  <c r="H24" i="51"/>
  <c r="O23" i="51"/>
  <c r="N23" i="51"/>
  <c r="M23" i="51"/>
  <c r="L23" i="51"/>
  <c r="K23" i="51"/>
  <c r="J23" i="51"/>
  <c r="I23" i="51"/>
  <c r="H23" i="51"/>
  <c r="O22" i="51"/>
  <c r="N22" i="51"/>
  <c r="M22" i="51"/>
  <c r="L22" i="51"/>
  <c r="K22" i="51"/>
  <c r="J22" i="51"/>
  <c r="I22" i="51"/>
  <c r="H22" i="51"/>
  <c r="O21" i="51"/>
  <c r="N21" i="51"/>
  <c r="M21" i="51"/>
  <c r="L21" i="51"/>
  <c r="K21" i="51"/>
  <c r="J21" i="51"/>
  <c r="I21" i="51"/>
  <c r="H21" i="51"/>
  <c r="O20" i="51"/>
  <c r="N20" i="51"/>
  <c r="M20" i="51"/>
  <c r="L20" i="51"/>
  <c r="K20" i="51"/>
  <c r="J20" i="51"/>
  <c r="I20" i="51"/>
  <c r="H20" i="51"/>
  <c r="O19" i="51"/>
  <c r="N19" i="51"/>
  <c r="M19" i="51"/>
  <c r="L19" i="51"/>
  <c r="K19" i="51"/>
  <c r="J19" i="51"/>
  <c r="I19" i="51"/>
  <c r="H19" i="51"/>
  <c r="O18" i="51"/>
  <c r="N18" i="51"/>
  <c r="M18" i="51"/>
  <c r="L18" i="51"/>
  <c r="K18" i="51"/>
  <c r="J18" i="51"/>
  <c r="I18" i="51"/>
  <c r="H18" i="51"/>
  <c r="H66" i="51" s="1"/>
  <c r="O17" i="51"/>
  <c r="N17" i="51"/>
  <c r="M17" i="51"/>
  <c r="L17" i="51"/>
  <c r="K17" i="51"/>
  <c r="J17" i="51"/>
  <c r="I17" i="51"/>
  <c r="H17" i="51"/>
  <c r="H65" i="51" s="1"/>
  <c r="O16" i="51"/>
  <c r="N16" i="51"/>
  <c r="M16" i="51"/>
  <c r="L16" i="51"/>
  <c r="K16" i="51"/>
  <c r="J16" i="51"/>
  <c r="I16" i="51"/>
  <c r="H16" i="51"/>
  <c r="O15" i="51"/>
  <c r="N15" i="51"/>
  <c r="M15" i="51"/>
  <c r="L15" i="51"/>
  <c r="K15" i="51"/>
  <c r="J15" i="51"/>
  <c r="I15" i="51"/>
  <c r="K78" i="50"/>
  <c r="L78" i="50"/>
  <c r="M78" i="50"/>
  <c r="N78" i="50"/>
  <c r="O78" i="50"/>
  <c r="K79" i="50"/>
  <c r="L79" i="50"/>
  <c r="M79" i="50"/>
  <c r="N79" i="50"/>
  <c r="O79" i="50"/>
  <c r="K80" i="50"/>
  <c r="L80" i="50"/>
  <c r="M80" i="50"/>
  <c r="N80" i="50"/>
  <c r="O80" i="50"/>
  <c r="O77" i="50"/>
  <c r="N77" i="50"/>
  <c r="M77" i="50"/>
  <c r="L77" i="50"/>
  <c r="O29" i="50"/>
  <c r="N29" i="50"/>
  <c r="M29" i="50"/>
  <c r="L29" i="50"/>
  <c r="K29" i="50"/>
  <c r="J29" i="50"/>
  <c r="I29" i="50"/>
  <c r="H29" i="50"/>
  <c r="O28" i="50"/>
  <c r="N28" i="50"/>
  <c r="M28" i="50"/>
  <c r="L28" i="50"/>
  <c r="K28" i="50"/>
  <c r="J28" i="50"/>
  <c r="I28" i="50"/>
  <c r="H28" i="50"/>
  <c r="O27" i="50"/>
  <c r="N27" i="50"/>
  <c r="M27" i="50"/>
  <c r="L27" i="50"/>
  <c r="K27" i="50"/>
  <c r="J27" i="50"/>
  <c r="I27" i="50"/>
  <c r="H27" i="50"/>
  <c r="O26" i="50"/>
  <c r="N26" i="50"/>
  <c r="M26" i="50"/>
  <c r="L26" i="50"/>
  <c r="K26" i="50"/>
  <c r="J26" i="50"/>
  <c r="I26" i="50"/>
  <c r="H26" i="50"/>
  <c r="O25" i="50"/>
  <c r="N25" i="50"/>
  <c r="M25" i="50"/>
  <c r="L25" i="50"/>
  <c r="K25" i="50"/>
  <c r="J25" i="50"/>
  <c r="I25" i="50"/>
  <c r="H25" i="50"/>
  <c r="O24" i="50"/>
  <c r="N24" i="50"/>
  <c r="M24" i="50"/>
  <c r="L24" i="50"/>
  <c r="K24" i="50"/>
  <c r="J24" i="50"/>
  <c r="I24" i="50"/>
  <c r="H24" i="50"/>
  <c r="O23" i="50"/>
  <c r="N23" i="50"/>
  <c r="M23" i="50"/>
  <c r="L23" i="50"/>
  <c r="K23" i="50"/>
  <c r="J23" i="50"/>
  <c r="I23" i="50"/>
  <c r="H23" i="50"/>
  <c r="O22" i="50"/>
  <c r="N22" i="50"/>
  <c r="M22" i="50"/>
  <c r="L22" i="50"/>
  <c r="K22" i="50"/>
  <c r="J22" i="50"/>
  <c r="I22" i="50"/>
  <c r="H22" i="50"/>
  <c r="O21" i="50"/>
  <c r="N21" i="50"/>
  <c r="M21" i="50"/>
  <c r="L21" i="50"/>
  <c r="K21" i="50"/>
  <c r="J21" i="50"/>
  <c r="I21" i="50"/>
  <c r="H21" i="50"/>
  <c r="O20" i="50"/>
  <c r="N20" i="50"/>
  <c r="M20" i="50"/>
  <c r="L20" i="50"/>
  <c r="K20" i="50"/>
  <c r="J20" i="50"/>
  <c r="I20" i="50"/>
  <c r="H20" i="50"/>
  <c r="O19" i="50"/>
  <c r="N19" i="50"/>
  <c r="M19" i="50"/>
  <c r="L19" i="50"/>
  <c r="K19" i="50"/>
  <c r="J19" i="50"/>
  <c r="I19" i="50"/>
  <c r="H19" i="50"/>
  <c r="O18" i="50"/>
  <c r="N18" i="50"/>
  <c r="M18" i="50"/>
  <c r="L18" i="50"/>
  <c r="K18" i="50"/>
  <c r="J18" i="50"/>
  <c r="I18" i="50"/>
  <c r="H18" i="50"/>
  <c r="O17" i="50"/>
  <c r="N17" i="50"/>
  <c r="M17" i="50"/>
  <c r="L17" i="50"/>
  <c r="K17" i="50"/>
  <c r="J17" i="50"/>
  <c r="I17" i="50"/>
  <c r="H17" i="50"/>
  <c r="O16" i="50"/>
  <c r="N16" i="50"/>
  <c r="M16" i="50"/>
  <c r="L16" i="50"/>
  <c r="K16" i="50"/>
  <c r="J16" i="50"/>
  <c r="I16" i="50"/>
  <c r="H16" i="50"/>
  <c r="O15" i="50"/>
  <c r="N15" i="50"/>
  <c r="M15" i="50"/>
  <c r="L15" i="50"/>
  <c r="K15" i="50"/>
  <c r="J15" i="50"/>
  <c r="I15" i="50"/>
  <c r="H15" i="50"/>
  <c r="O14" i="50"/>
  <c r="N14" i="50"/>
  <c r="M14" i="50"/>
  <c r="L14" i="50"/>
  <c r="K14" i="50"/>
  <c r="J14" i="50"/>
  <c r="I14" i="50"/>
  <c r="H14" i="50"/>
  <c r="O13" i="50"/>
  <c r="O56" i="50" s="1"/>
  <c r="N13" i="50"/>
  <c r="M13" i="50"/>
  <c r="L13" i="50"/>
  <c r="K13" i="50"/>
  <c r="J13" i="50"/>
  <c r="I13" i="50"/>
  <c r="H13" i="50"/>
  <c r="K79" i="49"/>
  <c r="L78" i="49"/>
  <c r="M78" i="49"/>
  <c r="N78" i="49"/>
  <c r="O78" i="49"/>
  <c r="L79" i="49"/>
  <c r="M79" i="49"/>
  <c r="N79" i="49"/>
  <c r="O79" i="49"/>
  <c r="L80" i="49"/>
  <c r="M80" i="49"/>
  <c r="N80" i="49"/>
  <c r="O80" i="49"/>
  <c r="K80" i="49"/>
  <c r="K78" i="49"/>
  <c r="H15" i="29"/>
  <c r="H14" i="49"/>
  <c r="I14" i="49"/>
  <c r="J14" i="49"/>
  <c r="K14" i="49"/>
  <c r="L14" i="49"/>
  <c r="M14" i="49"/>
  <c r="N14" i="49"/>
  <c r="O14" i="49"/>
  <c r="H15" i="49"/>
  <c r="I15" i="49"/>
  <c r="J15" i="49"/>
  <c r="K15" i="49"/>
  <c r="L15" i="49"/>
  <c r="M15" i="49"/>
  <c r="N15" i="49"/>
  <c r="O15" i="49"/>
  <c r="H16" i="49"/>
  <c r="I16" i="49"/>
  <c r="J16" i="49"/>
  <c r="K16" i="49"/>
  <c r="L16" i="49"/>
  <c r="M16" i="49"/>
  <c r="N16" i="49"/>
  <c r="O16" i="49"/>
  <c r="H17" i="49"/>
  <c r="I17" i="49"/>
  <c r="J17" i="49"/>
  <c r="K17" i="49"/>
  <c r="L17" i="49"/>
  <c r="M17" i="49"/>
  <c r="N17" i="49"/>
  <c r="O17" i="49"/>
  <c r="H18" i="49"/>
  <c r="I18" i="49"/>
  <c r="J18" i="49"/>
  <c r="K18" i="49"/>
  <c r="L18" i="49"/>
  <c r="M18" i="49"/>
  <c r="N18" i="49"/>
  <c r="O18" i="49"/>
  <c r="H19" i="49"/>
  <c r="I19" i="49"/>
  <c r="J19" i="49"/>
  <c r="K19" i="49"/>
  <c r="L19" i="49"/>
  <c r="M19" i="49"/>
  <c r="N19" i="49"/>
  <c r="O19" i="49"/>
  <c r="H20" i="49"/>
  <c r="I20" i="49"/>
  <c r="J20" i="49"/>
  <c r="K20" i="49"/>
  <c r="L20" i="49"/>
  <c r="M20" i="49"/>
  <c r="N20" i="49"/>
  <c r="O20" i="49"/>
  <c r="H21" i="49"/>
  <c r="I21" i="49"/>
  <c r="J21" i="49"/>
  <c r="K21" i="49"/>
  <c r="L21" i="49"/>
  <c r="M21" i="49"/>
  <c r="N21" i="49"/>
  <c r="O21" i="49"/>
  <c r="H22" i="49"/>
  <c r="I22" i="49"/>
  <c r="J22" i="49"/>
  <c r="K22" i="49"/>
  <c r="L22" i="49"/>
  <c r="M22" i="49"/>
  <c r="N22" i="49"/>
  <c r="O22" i="49"/>
  <c r="H23" i="49"/>
  <c r="I23" i="49"/>
  <c r="J23" i="49"/>
  <c r="K23" i="49"/>
  <c r="L23" i="49"/>
  <c r="M23" i="49"/>
  <c r="N23" i="49"/>
  <c r="O23" i="49"/>
  <c r="H24" i="49"/>
  <c r="I24" i="49"/>
  <c r="J24" i="49"/>
  <c r="K24" i="49"/>
  <c r="L24" i="49"/>
  <c r="M24" i="49"/>
  <c r="N24" i="49"/>
  <c r="O24" i="49"/>
  <c r="H25" i="49"/>
  <c r="I25" i="49"/>
  <c r="J25" i="49"/>
  <c r="K25" i="49"/>
  <c r="L25" i="49"/>
  <c r="M25" i="49"/>
  <c r="N25" i="49"/>
  <c r="O25" i="49"/>
  <c r="H26" i="49"/>
  <c r="I26" i="49"/>
  <c r="J26" i="49"/>
  <c r="K26" i="49"/>
  <c r="L26" i="49"/>
  <c r="M26" i="49"/>
  <c r="N26" i="49"/>
  <c r="O26" i="49"/>
  <c r="H27" i="49"/>
  <c r="I27" i="49"/>
  <c r="J27" i="49"/>
  <c r="K27" i="49"/>
  <c r="L27" i="49"/>
  <c r="M27" i="49"/>
  <c r="N27" i="49"/>
  <c r="O27" i="49"/>
  <c r="H28" i="49"/>
  <c r="I28" i="49"/>
  <c r="J28" i="49"/>
  <c r="K28" i="49"/>
  <c r="L28" i="49"/>
  <c r="M28" i="49"/>
  <c r="N28" i="49"/>
  <c r="O28" i="49"/>
  <c r="H29" i="49"/>
  <c r="I29" i="49"/>
  <c r="J29" i="49"/>
  <c r="K29" i="49"/>
  <c r="L29" i="49"/>
  <c r="M29" i="49"/>
  <c r="N29" i="49"/>
  <c r="O29" i="49"/>
  <c r="H30" i="49"/>
  <c r="I30" i="49"/>
  <c r="J30" i="49"/>
  <c r="K30" i="49"/>
  <c r="L30" i="49"/>
  <c r="M30" i="49"/>
  <c r="N30" i="49"/>
  <c r="O30" i="49"/>
  <c r="H13" i="49"/>
  <c r="I13" i="49"/>
  <c r="J13" i="49"/>
  <c r="K13" i="49"/>
  <c r="L13" i="49"/>
  <c r="M13" i="49"/>
  <c r="N13" i="49"/>
  <c r="O13" i="49"/>
  <c r="K80" i="48"/>
  <c r="O81" i="48"/>
  <c r="N81" i="48"/>
  <c r="M81" i="48"/>
  <c r="L81" i="48"/>
  <c r="K81" i="48"/>
  <c r="O80" i="48"/>
  <c r="N80" i="48"/>
  <c r="M80" i="48"/>
  <c r="L80" i="48"/>
  <c r="O79" i="48"/>
  <c r="N79" i="48"/>
  <c r="M79" i="48"/>
  <c r="L79" i="48"/>
  <c r="K79" i="48"/>
  <c r="O25" i="48"/>
  <c r="N25" i="48"/>
  <c r="M25" i="48"/>
  <c r="L25" i="48"/>
  <c r="K25" i="48"/>
  <c r="J25" i="48"/>
  <c r="I25" i="48"/>
  <c r="H25" i="48"/>
  <c r="O24" i="48"/>
  <c r="N24" i="48"/>
  <c r="M24" i="48"/>
  <c r="L24" i="48"/>
  <c r="K24" i="48"/>
  <c r="J24" i="48"/>
  <c r="I24" i="48"/>
  <c r="H24" i="48"/>
  <c r="O23" i="48"/>
  <c r="N23" i="48"/>
  <c r="M23" i="48"/>
  <c r="L23" i="48"/>
  <c r="K23" i="48"/>
  <c r="J23" i="48"/>
  <c r="I23" i="48"/>
  <c r="H23" i="48"/>
  <c r="O22" i="48"/>
  <c r="N22" i="48"/>
  <c r="M22" i="48"/>
  <c r="L22" i="48"/>
  <c r="K22" i="48"/>
  <c r="J22" i="48"/>
  <c r="I22" i="48"/>
  <c r="H22" i="48"/>
  <c r="O21" i="48"/>
  <c r="N21" i="48"/>
  <c r="M21" i="48"/>
  <c r="L21" i="48"/>
  <c r="K21" i="48"/>
  <c r="J21" i="48"/>
  <c r="I21" i="48"/>
  <c r="H21" i="48"/>
  <c r="O20" i="48"/>
  <c r="N20" i="48"/>
  <c r="M20" i="48"/>
  <c r="L20" i="48"/>
  <c r="K20" i="48"/>
  <c r="J20" i="48"/>
  <c r="I20" i="48"/>
  <c r="H20" i="48"/>
  <c r="O19" i="48"/>
  <c r="N19" i="48"/>
  <c r="M19" i="48"/>
  <c r="L19" i="48"/>
  <c r="K19" i="48"/>
  <c r="J19" i="48"/>
  <c r="I19" i="48"/>
  <c r="H19" i="48"/>
  <c r="O18" i="48"/>
  <c r="N18" i="48"/>
  <c r="M18" i="48"/>
  <c r="L18" i="48"/>
  <c r="K18" i="48"/>
  <c r="J18" i="48"/>
  <c r="I18" i="48"/>
  <c r="H18" i="48"/>
  <c r="O17" i="48"/>
  <c r="N17" i="48"/>
  <c r="M17" i="48"/>
  <c r="L17" i="48"/>
  <c r="K17" i="48"/>
  <c r="J17" i="48"/>
  <c r="I17" i="48"/>
  <c r="H17" i="48"/>
  <c r="O16" i="48"/>
  <c r="N16" i="48"/>
  <c r="M16" i="48"/>
  <c r="L16" i="48"/>
  <c r="K16" i="48"/>
  <c r="J16" i="48"/>
  <c r="I16" i="48"/>
  <c r="H16" i="48"/>
  <c r="O15" i="48"/>
  <c r="N15" i="48"/>
  <c r="M15" i="48"/>
  <c r="L15" i="48"/>
  <c r="K15" i="48"/>
  <c r="J15" i="48"/>
  <c r="I15" i="48"/>
  <c r="H15" i="48"/>
  <c r="G206" i="52" l="1"/>
  <c r="K213" i="52"/>
  <c r="G210" i="52"/>
  <c r="K220" i="52"/>
  <c r="K209" i="52"/>
  <c r="J34" i="48"/>
  <c r="H56" i="50"/>
  <c r="M57" i="49"/>
  <c r="K57" i="49"/>
  <c r="L57" i="49"/>
  <c r="L52" i="48"/>
  <c r="M34" i="48"/>
  <c r="N34" i="48"/>
  <c r="N56" i="50"/>
  <c r="G213" i="52"/>
  <c r="G201" i="52"/>
  <c r="G209" i="52"/>
  <c r="K210" i="52"/>
  <c r="H223" i="52"/>
  <c r="H227" i="52"/>
  <c r="H231" i="52"/>
  <c r="L231" i="52"/>
  <c r="N55" i="17" s="1"/>
  <c r="H235" i="52"/>
  <c r="L235" i="52"/>
  <c r="M213" i="52"/>
  <c r="I213" i="52"/>
  <c r="L212" i="52"/>
  <c r="H212" i="52"/>
  <c r="M209" i="52"/>
  <c r="I209" i="52"/>
  <c r="M205" i="52"/>
  <c r="I205" i="52"/>
  <c r="M201" i="52"/>
  <c r="I201" i="52"/>
  <c r="I197" i="52"/>
  <c r="G205" i="52"/>
  <c r="L223" i="52"/>
  <c r="L227" i="52"/>
  <c r="L213" i="52"/>
  <c r="H213" i="52"/>
  <c r="L209" i="52"/>
  <c r="I222" i="52"/>
  <c r="M222" i="52"/>
  <c r="I226" i="52"/>
  <c r="M226" i="52"/>
  <c r="I230" i="52"/>
  <c r="M230" i="52"/>
  <c r="I234" i="52"/>
  <c r="M234" i="52"/>
  <c r="L210" i="52"/>
  <c r="H210" i="52"/>
  <c r="G211" i="52"/>
  <c r="G207" i="52"/>
  <c r="G203" i="52"/>
  <c r="K212" i="52"/>
  <c r="H209" i="52"/>
  <c r="K208" i="52"/>
  <c r="L205" i="52"/>
  <c r="H205" i="52"/>
  <c r="L201" i="52"/>
  <c r="H201" i="52"/>
  <c r="H221" i="52"/>
  <c r="L221" i="52"/>
  <c r="N50" i="17" s="1"/>
  <c r="H225" i="52"/>
  <c r="L225" i="52"/>
  <c r="H229" i="52"/>
  <c r="L229" i="52"/>
  <c r="H233" i="52"/>
  <c r="L233" i="52"/>
  <c r="N46" i="17" s="1"/>
  <c r="M197" i="52"/>
  <c r="N211" i="52"/>
  <c r="J211" i="52"/>
  <c r="N207" i="52"/>
  <c r="J207" i="52"/>
  <c r="N203" i="52"/>
  <c r="G181" i="17" s="1"/>
  <c r="J203" i="52"/>
  <c r="N199" i="52"/>
  <c r="J199" i="52"/>
  <c r="J221" i="52"/>
  <c r="N221" i="52"/>
  <c r="J225" i="52"/>
  <c r="N225" i="52"/>
  <c r="J229" i="52"/>
  <c r="N229" i="52"/>
  <c r="J233" i="52"/>
  <c r="N233" i="52"/>
  <c r="G174" i="17" s="1"/>
  <c r="K65" i="48"/>
  <c r="I221" i="52"/>
  <c r="M221" i="52"/>
  <c r="I225" i="52"/>
  <c r="M225" i="52"/>
  <c r="I229" i="52"/>
  <c r="M229" i="52"/>
  <c r="I233" i="52"/>
  <c r="M233" i="52"/>
  <c r="H57" i="49"/>
  <c r="K56" i="50"/>
  <c r="J223" i="52"/>
  <c r="N223" i="52"/>
  <c r="J227" i="52"/>
  <c r="N227" i="52"/>
  <c r="J231" i="52"/>
  <c r="N231" i="52"/>
  <c r="G178" i="17" s="1"/>
  <c r="J235" i="52"/>
  <c r="N235" i="52"/>
  <c r="G175" i="17" s="1"/>
  <c r="L197" i="52"/>
  <c r="H197" i="52"/>
  <c r="H52" i="48"/>
  <c r="G202" i="52"/>
  <c r="G198" i="52"/>
  <c r="M211" i="52"/>
  <c r="I211" i="52"/>
  <c r="M207" i="52"/>
  <c r="I207" i="52"/>
  <c r="H206" i="52"/>
  <c r="K205" i="52"/>
  <c r="L202" i="52"/>
  <c r="N26" i="17" s="1"/>
  <c r="H202" i="52"/>
  <c r="K201" i="52"/>
  <c r="L198" i="52"/>
  <c r="H198" i="52"/>
  <c r="K197" i="52"/>
  <c r="J222" i="52"/>
  <c r="N222" i="52"/>
  <c r="J226" i="52"/>
  <c r="N226" i="52"/>
  <c r="J230" i="52"/>
  <c r="N230" i="52"/>
  <c r="G177" i="17" s="1"/>
  <c r="J234" i="52"/>
  <c r="N234" i="52"/>
  <c r="L56" i="50"/>
  <c r="N212" i="52"/>
  <c r="G183" i="17" s="1"/>
  <c r="J212" i="52"/>
  <c r="N208" i="52"/>
  <c r="J208" i="52"/>
  <c r="N204" i="52"/>
  <c r="J204" i="52"/>
  <c r="N200" i="52"/>
  <c r="J200" i="52"/>
  <c r="K223" i="52"/>
  <c r="K227" i="52"/>
  <c r="K231" i="52"/>
  <c r="K235" i="52"/>
  <c r="N213" i="52"/>
  <c r="J213" i="52"/>
  <c r="N209" i="52"/>
  <c r="J209" i="52"/>
  <c r="N205" i="52"/>
  <c r="G182" i="17" s="1"/>
  <c r="J205" i="52"/>
  <c r="N201" i="52"/>
  <c r="G185" i="17" s="1"/>
  <c r="J201" i="52"/>
  <c r="N197" i="52"/>
  <c r="K222" i="52"/>
  <c r="K226" i="52"/>
  <c r="K230" i="52"/>
  <c r="K234" i="52"/>
  <c r="G212" i="52"/>
  <c r="G208" i="52"/>
  <c r="G204" i="52"/>
  <c r="G200" i="52"/>
  <c r="K211" i="52"/>
  <c r="N210" i="52"/>
  <c r="J210" i="52"/>
  <c r="L208" i="52"/>
  <c r="H208" i="52"/>
  <c r="K207" i="52"/>
  <c r="N206" i="52"/>
  <c r="J206" i="52"/>
  <c r="L204" i="52"/>
  <c r="H204" i="52"/>
  <c r="K203" i="52"/>
  <c r="N202" i="52"/>
  <c r="J202" i="52"/>
  <c r="L200" i="52"/>
  <c r="H200" i="52"/>
  <c r="K199" i="52"/>
  <c r="N198" i="52"/>
  <c r="J198" i="52"/>
  <c r="K221" i="52"/>
  <c r="H222" i="52"/>
  <c r="L222" i="52"/>
  <c r="I223" i="52"/>
  <c r="M223" i="52"/>
  <c r="K225" i="52"/>
  <c r="H226" i="52"/>
  <c r="L226" i="52"/>
  <c r="I227" i="52"/>
  <c r="M227" i="52"/>
  <c r="K229" i="52"/>
  <c r="H230" i="52"/>
  <c r="L230" i="52"/>
  <c r="N54" i="17" s="1"/>
  <c r="I231" i="52"/>
  <c r="M231" i="52"/>
  <c r="K233" i="52"/>
  <c r="H234" i="52"/>
  <c r="L234" i="52"/>
  <c r="I235" i="52"/>
  <c r="M235" i="52"/>
  <c r="G199" i="52"/>
  <c r="M210" i="52"/>
  <c r="I210" i="52"/>
  <c r="M206" i="52"/>
  <c r="I206" i="52"/>
  <c r="K204" i="52"/>
  <c r="G186" i="17"/>
  <c r="M202" i="52"/>
  <c r="I202" i="52"/>
  <c r="K200" i="52"/>
  <c r="M198" i="52"/>
  <c r="I198" i="52"/>
  <c r="G187" i="17"/>
  <c r="L206" i="52"/>
  <c r="N88" i="17" s="1"/>
  <c r="M203" i="52"/>
  <c r="I203" i="52"/>
  <c r="M199" i="52"/>
  <c r="I199" i="52"/>
  <c r="O24" i="17"/>
  <c r="G166" i="17"/>
  <c r="G184" i="17"/>
  <c r="G188" i="17"/>
  <c r="M212" i="52"/>
  <c r="I212" i="52"/>
  <c r="M208" i="52"/>
  <c r="I208" i="52"/>
  <c r="K206" i="52"/>
  <c r="M204" i="52"/>
  <c r="I204" i="52"/>
  <c r="K202" i="52"/>
  <c r="M200" i="52"/>
  <c r="I200" i="52"/>
  <c r="K198" i="52"/>
  <c r="J197" i="52"/>
  <c r="O25" i="17"/>
  <c r="G167" i="17"/>
  <c r="G176" i="17"/>
  <c r="G180" i="17"/>
  <c r="G197" i="52"/>
  <c r="N34" i="17"/>
  <c r="N42" i="17"/>
  <c r="N48" i="17"/>
  <c r="O50" i="51"/>
  <c r="O74" i="51" s="1"/>
  <c r="O31" i="17"/>
  <c r="O71" i="17"/>
  <c r="M49" i="51"/>
  <c r="M73" i="51" s="1"/>
  <c r="N30" i="17"/>
  <c r="N70" i="17"/>
  <c r="N81" i="17"/>
  <c r="N22" i="17"/>
  <c r="N63" i="17"/>
  <c r="N51" i="17"/>
  <c r="N40" i="17"/>
  <c r="N57" i="17"/>
  <c r="M44" i="51"/>
  <c r="M68" i="51" s="1"/>
  <c r="N25" i="17"/>
  <c r="O56" i="17"/>
  <c r="O45" i="17"/>
  <c r="N58" i="17"/>
  <c r="N47" i="17"/>
  <c r="N38" i="17"/>
  <c r="N78" i="17"/>
  <c r="N95" i="17"/>
  <c r="M50" i="51"/>
  <c r="M74" i="51" s="1"/>
  <c r="N31" i="17"/>
  <c r="N71" i="17"/>
  <c r="N45" i="17"/>
  <c r="N56" i="17"/>
  <c r="N49" i="17"/>
  <c r="N60" i="17"/>
  <c r="N41" i="17"/>
  <c r="N52" i="17"/>
  <c r="O60" i="17"/>
  <c r="O49" i="17"/>
  <c r="L123" i="17"/>
  <c r="L131" i="17"/>
  <c r="O49" i="51"/>
  <c r="O73" i="51" s="1"/>
  <c r="O30" i="17"/>
  <c r="O70" i="17"/>
  <c r="M43" i="51"/>
  <c r="M67" i="51" s="1"/>
  <c r="N24" i="17"/>
  <c r="N53" i="17"/>
  <c r="N44" i="17"/>
  <c r="N59" i="17"/>
  <c r="H234" i="51"/>
  <c r="H251" i="51"/>
  <c r="H67" i="51"/>
  <c r="L70" i="51"/>
  <c r="H71" i="51"/>
  <c r="L74" i="51"/>
  <c r="M63" i="51"/>
  <c r="J252" i="51"/>
  <c r="K285" i="51"/>
  <c r="K292" i="51" s="1"/>
  <c r="L66" i="51"/>
  <c r="H75" i="51"/>
  <c r="L78" i="51"/>
  <c r="I67" i="51"/>
  <c r="O88" i="17"/>
  <c r="O43" i="51"/>
  <c r="O67" i="51" s="1"/>
  <c r="O57" i="51"/>
  <c r="O81" i="51" s="1"/>
  <c r="I71" i="51"/>
  <c r="O54" i="51"/>
  <c r="O78" i="51" s="1"/>
  <c r="O46" i="51"/>
  <c r="O70" i="51" s="1"/>
  <c r="O56" i="51"/>
  <c r="O80" i="51" s="1"/>
  <c r="O52" i="51"/>
  <c r="O76" i="51" s="1"/>
  <c r="O44" i="51"/>
  <c r="O68" i="51" s="1"/>
  <c r="O40" i="51"/>
  <c r="O64" i="51" s="1"/>
  <c r="K56" i="49"/>
  <c r="N57" i="49"/>
  <c r="O57" i="49"/>
  <c r="J39" i="49"/>
  <c r="H38" i="50"/>
  <c r="J56" i="50"/>
  <c r="J56" i="49"/>
  <c r="J57" i="49"/>
  <c r="N65" i="48"/>
  <c r="O65" i="48"/>
  <c r="L65" i="48"/>
  <c r="M65" i="48"/>
  <c r="O70" i="49"/>
  <c r="L70" i="49"/>
  <c r="K70" i="49"/>
  <c r="M70" i="49"/>
  <c r="N70" i="49"/>
  <c r="L69" i="50"/>
  <c r="K69" i="50"/>
  <c r="M69" i="50"/>
  <c r="N69" i="50"/>
  <c r="O69" i="50"/>
  <c r="M71" i="51"/>
  <c r="J64" i="51"/>
  <c r="J68" i="51"/>
  <c r="J72" i="51"/>
  <c r="N72" i="51"/>
  <c r="N76" i="51"/>
  <c r="I75" i="51"/>
  <c r="M75" i="51"/>
  <c r="I79" i="51"/>
  <c r="M79" i="51"/>
  <c r="O34" i="48"/>
  <c r="N64" i="51"/>
  <c r="N68" i="51"/>
  <c r="J76" i="51"/>
  <c r="K39" i="49"/>
  <c r="K65" i="51"/>
  <c r="O65" i="51"/>
  <c r="K69" i="51"/>
  <c r="O69" i="51"/>
  <c r="K73" i="51"/>
  <c r="K77" i="51"/>
  <c r="O77" i="51"/>
  <c r="K81" i="51"/>
  <c r="M252" i="51"/>
  <c r="H64" i="51"/>
  <c r="L65" i="51"/>
  <c r="H68" i="51"/>
  <c r="L69" i="51"/>
  <c r="H72" i="51"/>
  <c r="L73" i="51"/>
  <c r="L77" i="51"/>
  <c r="H79" i="51"/>
  <c r="I251" i="51"/>
  <c r="I234" i="51"/>
  <c r="I64" i="51"/>
  <c r="M64" i="51"/>
  <c r="I68" i="51"/>
  <c r="J65" i="51"/>
  <c r="N65" i="51"/>
  <c r="J69" i="51"/>
  <c r="N69" i="51"/>
  <c r="J73" i="51"/>
  <c r="N73" i="51"/>
  <c r="J77" i="51"/>
  <c r="N77" i="51"/>
  <c r="M234" i="51"/>
  <c r="L251" i="51"/>
  <c r="L285" i="51"/>
  <c r="H252" i="51"/>
  <c r="L234" i="51"/>
  <c r="O285" i="51"/>
  <c r="N285" i="51"/>
  <c r="I252" i="51"/>
  <c r="L276" i="51" s="1"/>
  <c r="M285" i="51"/>
  <c r="M292" i="51" s="1"/>
  <c r="O63" i="51"/>
  <c r="K67" i="51"/>
  <c r="K71" i="51"/>
  <c r="O71" i="51"/>
  <c r="K75" i="51"/>
  <c r="O75" i="51"/>
  <c r="K79" i="51"/>
  <c r="O79" i="51"/>
  <c r="M251" i="51"/>
  <c r="L252" i="51"/>
  <c r="N252" i="51"/>
  <c r="K251" i="51"/>
  <c r="O251" i="51"/>
  <c r="K234" i="51"/>
  <c r="N234" i="51"/>
  <c r="O252" i="51"/>
  <c r="O234" i="51"/>
  <c r="N251" i="51"/>
  <c r="K252" i="51"/>
  <c r="J251" i="51"/>
  <c r="J234" i="51"/>
  <c r="J66" i="51"/>
  <c r="N66" i="51"/>
  <c r="J70" i="51"/>
  <c r="N70" i="51"/>
  <c r="J74" i="51"/>
  <c r="N74" i="51"/>
  <c r="L64" i="51"/>
  <c r="L68" i="51"/>
  <c r="H69" i="51"/>
  <c r="L72" i="51"/>
  <c r="H73" i="51"/>
  <c r="L76" i="51"/>
  <c r="M81" i="51"/>
  <c r="I81" i="51"/>
  <c r="I65" i="51"/>
  <c r="M65" i="51"/>
  <c r="I69" i="51"/>
  <c r="M69" i="51"/>
  <c r="I73" i="51"/>
  <c r="I77" i="51"/>
  <c r="M77" i="51"/>
  <c r="H81" i="51"/>
  <c r="L80" i="51"/>
  <c r="J78" i="51"/>
  <c r="N78" i="51"/>
  <c r="I66" i="51"/>
  <c r="M66" i="51"/>
  <c r="I70" i="51"/>
  <c r="M70" i="51"/>
  <c r="I74" i="51"/>
  <c r="I78" i="51"/>
  <c r="M78" i="51"/>
  <c r="L81" i="51"/>
  <c r="H80" i="51"/>
  <c r="J67" i="51"/>
  <c r="N67" i="51"/>
  <c r="J71" i="51"/>
  <c r="N71" i="51"/>
  <c r="J75" i="51"/>
  <c r="N75" i="51"/>
  <c r="J79" i="51"/>
  <c r="N79" i="51"/>
  <c r="K80" i="51"/>
  <c r="H78" i="51"/>
  <c r="H74" i="51"/>
  <c r="N81" i="51"/>
  <c r="J81" i="51"/>
  <c r="M80" i="51"/>
  <c r="I80" i="51"/>
  <c r="L79" i="51"/>
  <c r="K78" i="51"/>
  <c r="L75" i="51"/>
  <c r="K74" i="51"/>
  <c r="K70" i="51"/>
  <c r="O66" i="51"/>
  <c r="K66" i="51"/>
  <c r="K64" i="51"/>
  <c r="K68" i="51"/>
  <c r="K72" i="51"/>
  <c r="O72" i="51"/>
  <c r="K76" i="51"/>
  <c r="L63" i="51"/>
  <c r="L67" i="51"/>
  <c r="H70" i="51"/>
  <c r="L71" i="51"/>
  <c r="I72" i="51"/>
  <c r="M72" i="51"/>
  <c r="I76" i="51"/>
  <c r="M76" i="51"/>
  <c r="N80" i="51"/>
  <c r="J80" i="51"/>
  <c r="K63" i="51"/>
  <c r="N63" i="51"/>
  <c r="J63" i="51"/>
  <c r="I63" i="51"/>
  <c r="K34" i="48"/>
  <c r="O39" i="49"/>
  <c r="O56" i="49"/>
  <c r="N39" i="49"/>
  <c r="N56" i="49"/>
  <c r="M39" i="49"/>
  <c r="I39" i="49"/>
  <c r="M56" i="49"/>
  <c r="I56" i="49"/>
  <c r="I57" i="49"/>
  <c r="L64" i="49" s="1"/>
  <c r="H39" i="49"/>
  <c r="L39" i="49"/>
  <c r="H56" i="49"/>
  <c r="L56" i="49"/>
  <c r="H55" i="50"/>
  <c r="M56" i="50"/>
  <c r="J38" i="50"/>
  <c r="J55" i="50"/>
  <c r="K38" i="50"/>
  <c r="O38" i="50"/>
  <c r="K55" i="50"/>
  <c r="O55" i="50"/>
  <c r="L38" i="50"/>
  <c r="L55" i="50"/>
  <c r="N38" i="50"/>
  <c r="N55" i="50"/>
  <c r="I38" i="50"/>
  <c r="M38" i="50"/>
  <c r="I55" i="50"/>
  <c r="M55" i="50"/>
  <c r="I56" i="50"/>
  <c r="K63" i="50" s="1"/>
  <c r="K94" i="50" s="1"/>
  <c r="G168" i="54" s="1"/>
  <c r="H51" i="48"/>
  <c r="M51" i="48"/>
  <c r="I52" i="48"/>
  <c r="M52" i="48"/>
  <c r="I51" i="48"/>
  <c r="I34" i="48"/>
  <c r="J51" i="48"/>
  <c r="N51" i="48"/>
  <c r="J52" i="48"/>
  <c r="N52" i="48"/>
  <c r="H34" i="48"/>
  <c r="L34" i="48"/>
  <c r="K51" i="48"/>
  <c r="O51" i="48"/>
  <c r="K52" i="48"/>
  <c r="O52" i="48"/>
  <c r="L51" i="48"/>
  <c r="L73" i="29"/>
  <c r="M73" i="29"/>
  <c r="N73" i="29"/>
  <c r="O73" i="29"/>
  <c r="L74" i="29"/>
  <c r="M74" i="29"/>
  <c r="N74" i="29"/>
  <c r="O74" i="29"/>
  <c r="L75" i="29"/>
  <c r="M75" i="29"/>
  <c r="N75" i="29"/>
  <c r="O75" i="29"/>
  <c r="L76" i="29"/>
  <c r="M76" i="29"/>
  <c r="N76" i="29"/>
  <c r="O76" i="29"/>
  <c r="K74" i="29"/>
  <c r="K75" i="29"/>
  <c r="K76" i="29"/>
  <c r="K73" i="29"/>
  <c r="G179" i="17" l="1"/>
  <c r="N39" i="17"/>
  <c r="N84" i="17"/>
  <c r="N66" i="17"/>
  <c r="N215" i="52"/>
  <c r="N43" i="17"/>
  <c r="N216" i="52"/>
  <c r="F41" i="49"/>
  <c r="F36" i="48"/>
  <c r="G163" i="54"/>
  <c r="H163" i="54"/>
  <c r="I163" i="54"/>
  <c r="K163" i="54"/>
  <c r="J163" i="54"/>
  <c r="F40" i="50"/>
  <c r="O59" i="48"/>
  <c r="O95" i="48" s="1"/>
  <c r="K106" i="54" s="1"/>
  <c r="K59" i="48"/>
  <c r="K95" i="48" s="1"/>
  <c r="G106" i="54" s="1"/>
  <c r="N91" i="17"/>
  <c r="N74" i="17"/>
  <c r="F236" i="51"/>
  <c r="J160" i="54"/>
  <c r="J161" i="54"/>
  <c r="J162" i="54"/>
  <c r="G160" i="54"/>
  <c r="K161" i="54"/>
  <c r="K162" i="54"/>
  <c r="H160" i="54"/>
  <c r="G161" i="54"/>
  <c r="K160" i="54"/>
  <c r="H161" i="54"/>
  <c r="I160" i="54"/>
  <c r="I162" i="54"/>
  <c r="H162" i="54"/>
  <c r="I161" i="54"/>
  <c r="G162" i="54"/>
  <c r="I129" i="54"/>
  <c r="V129" i="54" s="1"/>
  <c r="I131" i="54"/>
  <c r="V131" i="54" s="1"/>
  <c r="G131" i="54"/>
  <c r="T131" i="54" s="1"/>
  <c r="J131" i="54"/>
  <c r="W131" i="54" s="1"/>
  <c r="J129" i="54"/>
  <c r="W129" i="54" s="1"/>
  <c r="G129" i="54"/>
  <c r="T129" i="54" s="1"/>
  <c r="K129" i="54"/>
  <c r="X129" i="54" s="1"/>
  <c r="K131" i="54"/>
  <c r="X131" i="54" s="1"/>
  <c r="H129" i="54"/>
  <c r="U129" i="54" s="1"/>
  <c r="H131" i="54"/>
  <c r="U131" i="54" s="1"/>
  <c r="H101" i="54"/>
  <c r="I101" i="54"/>
  <c r="J101" i="54"/>
  <c r="K101" i="54"/>
  <c r="G101" i="54"/>
  <c r="I254" i="51"/>
  <c r="N238" i="52"/>
  <c r="H166" i="17"/>
  <c r="H184" i="17"/>
  <c r="O33" i="17"/>
  <c r="O73" i="17"/>
  <c r="O90" i="17"/>
  <c r="H182" i="17"/>
  <c r="O29" i="17"/>
  <c r="O69" i="17"/>
  <c r="L115" i="17"/>
  <c r="L135" i="17"/>
  <c r="O87" i="17"/>
  <c r="L144" i="17"/>
  <c r="O28" i="17"/>
  <c r="O68" i="17"/>
  <c r="L114" i="17"/>
  <c r="L134" i="17"/>
  <c r="O86" i="17"/>
  <c r="L143" i="17"/>
  <c r="O27" i="17"/>
  <c r="L113" i="17"/>
  <c r="O85" i="17"/>
  <c r="L142" i="17"/>
  <c r="O67" i="17"/>
  <c r="N85" i="17"/>
  <c r="N27" i="17"/>
  <c r="N67" i="17"/>
  <c r="N35" i="17"/>
  <c r="N75" i="17"/>
  <c r="N92" i="17"/>
  <c r="L121" i="17"/>
  <c r="O57" i="17"/>
  <c r="O46" i="17"/>
  <c r="L128" i="17"/>
  <c r="L125" i="17"/>
  <c r="L129" i="17"/>
  <c r="L126" i="17"/>
  <c r="O58" i="17"/>
  <c r="L124" i="17"/>
  <c r="O47" i="17"/>
  <c r="N239" i="52"/>
  <c r="H176" i="17" s="1"/>
  <c r="H167" i="17"/>
  <c r="H171" i="17"/>
  <c r="H170" i="17"/>
  <c r="O36" i="17"/>
  <c r="O76" i="17"/>
  <c r="O93" i="17"/>
  <c r="L146" i="17"/>
  <c r="L136" i="17"/>
  <c r="L138" i="17"/>
  <c r="O38" i="17"/>
  <c r="O78" i="17"/>
  <c r="L116" i="17"/>
  <c r="O95" i="17"/>
  <c r="L148" i="17"/>
  <c r="N37" i="17"/>
  <c r="N77" i="17"/>
  <c r="N94" i="17"/>
  <c r="N86" i="17"/>
  <c r="N28" i="17"/>
  <c r="N68" i="17"/>
  <c r="H185" i="17"/>
  <c r="O65" i="17"/>
  <c r="O83" i="17"/>
  <c r="N29" i="17"/>
  <c r="N69" i="17"/>
  <c r="N87" i="17"/>
  <c r="N89" i="17"/>
  <c r="N72" i="17"/>
  <c r="N32" i="17"/>
  <c r="N33" i="17"/>
  <c r="N73" i="17"/>
  <c r="N90" i="17"/>
  <c r="N61" i="17"/>
  <c r="N79" i="17"/>
  <c r="N20" i="17"/>
  <c r="N93" i="17"/>
  <c r="N76" i="17"/>
  <c r="N36" i="17"/>
  <c r="N21" i="17"/>
  <c r="N62" i="17"/>
  <c r="N80" i="17"/>
  <c r="O92" i="17"/>
  <c r="L145" i="17"/>
  <c r="O35" i="17"/>
  <c r="O75" i="17"/>
  <c r="N65" i="17"/>
  <c r="N83" i="17"/>
  <c r="O81" i="17"/>
  <c r="O22" i="17"/>
  <c r="O63" i="17"/>
  <c r="L117" i="17"/>
  <c r="L137" i="17"/>
  <c r="L141" i="17"/>
  <c r="O37" i="17"/>
  <c r="O77" i="17"/>
  <c r="L118" i="17"/>
  <c r="O94" i="17"/>
  <c r="L119" i="17"/>
  <c r="L139" i="17"/>
  <c r="L147" i="17"/>
  <c r="L140" i="17"/>
  <c r="O48" i="17"/>
  <c r="L133" i="17"/>
  <c r="L122" i="17"/>
  <c r="L130" i="17"/>
  <c r="L132" i="17"/>
  <c r="O59" i="17"/>
  <c r="O44" i="17"/>
  <c r="O55" i="17"/>
  <c r="O53" i="17"/>
  <c r="O42" i="17"/>
  <c r="L127" i="17"/>
  <c r="L120" i="17"/>
  <c r="O50" i="17"/>
  <c r="O39" i="17"/>
  <c r="O80" i="17"/>
  <c r="O21" i="17"/>
  <c r="O62" i="17"/>
  <c r="O20" i="17"/>
  <c r="O61" i="17"/>
  <c r="O79" i="17"/>
  <c r="O23" i="17"/>
  <c r="O64" i="17"/>
  <c r="O82" i="17"/>
  <c r="N82" i="17"/>
  <c r="N23" i="17"/>
  <c r="N64" i="17"/>
  <c r="O40" i="17"/>
  <c r="O51" i="17"/>
  <c r="H188" i="17"/>
  <c r="O54" i="17"/>
  <c r="O43" i="17"/>
  <c r="O52" i="17"/>
  <c r="O41" i="17"/>
  <c r="H165" i="17"/>
  <c r="I165" i="17" s="1"/>
  <c r="H169" i="17"/>
  <c r="H168" i="17"/>
  <c r="O32" i="17"/>
  <c r="O72" i="17"/>
  <c r="O89" i="17"/>
  <c r="O84" i="17"/>
  <c r="O66" i="17"/>
  <c r="O26" i="17"/>
  <c r="O34" i="17"/>
  <c r="O74" i="17"/>
  <c r="O91" i="17"/>
  <c r="H107" i="51"/>
  <c r="H106" i="51"/>
  <c r="H89" i="51"/>
  <c r="K140" i="51"/>
  <c r="H183" i="17"/>
  <c r="H187" i="17"/>
  <c r="H186" i="17"/>
  <c r="H181" i="17"/>
  <c r="O273" i="51"/>
  <c r="O274" i="51"/>
  <c r="O275" i="51"/>
  <c r="O276" i="51"/>
  <c r="O277" i="51"/>
  <c r="O278" i="51"/>
  <c r="O279" i="51"/>
  <c r="K277" i="51"/>
  <c r="L273" i="51"/>
  <c r="L274" i="51"/>
  <c r="L275" i="51"/>
  <c r="L277" i="51"/>
  <c r="L278" i="51"/>
  <c r="L279" i="51"/>
  <c r="K274" i="51"/>
  <c r="K278" i="51"/>
  <c r="N273" i="51"/>
  <c r="N275" i="51"/>
  <c r="N277" i="51"/>
  <c r="N279" i="51"/>
  <c r="K273" i="51"/>
  <c r="N274" i="51"/>
  <c r="N276" i="51"/>
  <c r="N278" i="51"/>
  <c r="K276" i="51"/>
  <c r="M273" i="51"/>
  <c r="M275" i="51"/>
  <c r="M279" i="51"/>
  <c r="K279" i="51"/>
  <c r="M274" i="51"/>
  <c r="M276" i="51"/>
  <c r="M278" i="51"/>
  <c r="K275" i="51"/>
  <c r="M277" i="51"/>
  <c r="N288" i="51"/>
  <c r="N289" i="51"/>
  <c r="N290" i="51"/>
  <c r="N291" i="51"/>
  <c r="N292" i="51"/>
  <c r="N293" i="51"/>
  <c r="N294" i="51"/>
  <c r="L288" i="51"/>
  <c r="L289" i="51"/>
  <c r="L290" i="51"/>
  <c r="L291" i="51"/>
  <c r="L292" i="51"/>
  <c r="L294" i="51"/>
  <c r="L293" i="51"/>
  <c r="O288" i="51"/>
  <c r="O289" i="51"/>
  <c r="O290" i="51"/>
  <c r="O291" i="51"/>
  <c r="O292" i="51"/>
  <c r="O293" i="51"/>
  <c r="O294" i="51"/>
  <c r="K291" i="51"/>
  <c r="K288" i="51"/>
  <c r="K290" i="51"/>
  <c r="K294" i="51"/>
  <c r="K289" i="51"/>
  <c r="K293" i="51"/>
  <c r="M291" i="51"/>
  <c r="M293" i="51"/>
  <c r="M289" i="51"/>
  <c r="M294" i="51"/>
  <c r="M290" i="51"/>
  <c r="M288" i="51"/>
  <c r="J254" i="51"/>
  <c r="M254" i="51"/>
  <c r="L254" i="51"/>
  <c r="N254" i="51"/>
  <c r="O140" i="51"/>
  <c r="L140" i="51"/>
  <c r="L146" i="51" s="1"/>
  <c r="N140" i="51"/>
  <c r="M140" i="51"/>
  <c r="K254" i="51"/>
  <c r="O254" i="51"/>
  <c r="O106" i="51"/>
  <c r="I106" i="51"/>
  <c r="I107" i="51"/>
  <c r="I89" i="51"/>
  <c r="J106" i="51"/>
  <c r="J89" i="51"/>
  <c r="J107" i="51"/>
  <c r="K89" i="51"/>
  <c r="K106" i="51"/>
  <c r="K107" i="51"/>
  <c r="M106" i="51"/>
  <c r="N106" i="51"/>
  <c r="N107" i="51"/>
  <c r="N89" i="51"/>
  <c r="O107" i="51"/>
  <c r="M107" i="51"/>
  <c r="L107" i="51"/>
  <c r="L89" i="51"/>
  <c r="L106" i="51"/>
  <c r="M89" i="51"/>
  <c r="O89" i="51"/>
  <c r="M64" i="49"/>
  <c r="M94" i="49" s="1"/>
  <c r="I136" i="54" s="1"/>
  <c r="V136" i="54" s="1"/>
  <c r="K54" i="48"/>
  <c r="K97" i="50"/>
  <c r="G171" i="54" s="1"/>
  <c r="K96" i="50"/>
  <c r="G170" i="54" s="1"/>
  <c r="L58" i="50"/>
  <c r="N58" i="50"/>
  <c r="L63" i="50"/>
  <c r="K58" i="50"/>
  <c r="I58" i="50"/>
  <c r="O63" i="50"/>
  <c r="J58" i="50"/>
  <c r="M63" i="50"/>
  <c r="M95" i="50" s="1"/>
  <c r="I169" i="54" s="1"/>
  <c r="N63" i="50"/>
  <c r="M58" i="50"/>
  <c r="O58" i="50"/>
  <c r="K95" i="50"/>
  <c r="G169" i="54" s="1"/>
  <c r="L95" i="49"/>
  <c r="N64" i="49"/>
  <c r="N95" i="49" s="1"/>
  <c r="O64" i="49"/>
  <c r="O94" i="49" s="1"/>
  <c r="K136" i="54" s="1"/>
  <c r="X136" i="54" s="1"/>
  <c r="M59" i="49"/>
  <c r="K64" i="49"/>
  <c r="K96" i="49" s="1"/>
  <c r="G138" i="54" s="1"/>
  <c r="T138" i="54" s="1"/>
  <c r="O59" i="49"/>
  <c r="I59" i="49"/>
  <c r="L59" i="49"/>
  <c r="J59" i="49"/>
  <c r="N59" i="49"/>
  <c r="K59" i="49"/>
  <c r="L96" i="49"/>
  <c r="H138" i="54" s="1"/>
  <c r="U138" i="54" s="1"/>
  <c r="K94" i="49"/>
  <c r="G136" i="54" s="1"/>
  <c r="T136" i="54" s="1"/>
  <c r="N59" i="48"/>
  <c r="N96" i="48" s="1"/>
  <c r="J107" i="54" s="1"/>
  <c r="M59" i="48"/>
  <c r="M97" i="48" s="1"/>
  <c r="I108" i="54" s="1"/>
  <c r="O54" i="48"/>
  <c r="K97" i="48"/>
  <c r="G108" i="54" s="1"/>
  <c r="L59" i="48"/>
  <c r="L97" i="48" s="1"/>
  <c r="H108" i="54" s="1"/>
  <c r="M54" i="48"/>
  <c r="J54" i="48"/>
  <c r="I54" i="48"/>
  <c r="N54" i="48"/>
  <c r="L54" i="48"/>
  <c r="L329" i="51" l="1"/>
  <c r="H26" i="54" s="1"/>
  <c r="U26" i="54" s="1"/>
  <c r="O97" i="48"/>
  <c r="K108" i="54" s="1"/>
  <c r="O96" i="48"/>
  <c r="K107" i="54" s="1"/>
  <c r="K132" i="51"/>
  <c r="K318" i="51" s="1"/>
  <c r="G38" i="54" s="1"/>
  <c r="T38" i="54" s="1"/>
  <c r="N131" i="51"/>
  <c r="N317" i="51" s="1"/>
  <c r="J37" i="54" s="1"/>
  <c r="W37" i="54" s="1"/>
  <c r="K128" i="51"/>
  <c r="K314" i="51" s="1"/>
  <c r="F91" i="51"/>
  <c r="M95" i="49"/>
  <c r="N97" i="48"/>
  <c r="J108" i="54" s="1"/>
  <c r="H175" i="17"/>
  <c r="H180" i="17"/>
  <c r="G78" i="14"/>
  <c r="I51" i="14"/>
  <c r="F51" i="14"/>
  <c r="H78" i="14"/>
  <c r="G51" i="14"/>
  <c r="H51" i="14"/>
  <c r="F78" i="14"/>
  <c r="G139" i="14"/>
  <c r="G17" i="14"/>
  <c r="K17" i="14"/>
  <c r="I139" i="14"/>
  <c r="F139" i="14"/>
  <c r="H17" i="14"/>
  <c r="L17" i="14"/>
  <c r="H139" i="14"/>
  <c r="G112" i="14"/>
  <c r="I17" i="14"/>
  <c r="F17" i="14"/>
  <c r="F112" i="14"/>
  <c r="J17" i="14"/>
  <c r="H177" i="17"/>
  <c r="H172" i="17"/>
  <c r="H173" i="17"/>
  <c r="H178" i="17"/>
  <c r="H179" i="17"/>
  <c r="H174" i="17"/>
  <c r="I109" i="51"/>
  <c r="M109" i="51"/>
  <c r="M96" i="49"/>
  <c r="I138" i="54" s="1"/>
  <c r="V138" i="54" s="1"/>
  <c r="O109" i="51"/>
  <c r="K144" i="51"/>
  <c r="K148" i="51"/>
  <c r="K145" i="51"/>
  <c r="K328" i="51" s="1"/>
  <c r="K149" i="51"/>
  <c r="K143" i="51"/>
  <c r="K326" i="51" s="1"/>
  <c r="K147" i="51"/>
  <c r="K146" i="51"/>
  <c r="N146" i="51"/>
  <c r="N147" i="51"/>
  <c r="N149" i="51"/>
  <c r="N143" i="51"/>
  <c r="N145" i="51"/>
  <c r="N148" i="51"/>
  <c r="N144" i="51"/>
  <c r="L147" i="51"/>
  <c r="L148" i="51"/>
  <c r="L149" i="51"/>
  <c r="L143" i="51"/>
  <c r="L144" i="51"/>
  <c r="L145" i="51"/>
  <c r="O128" i="51"/>
  <c r="O314" i="51" s="1"/>
  <c r="K34" i="54" s="1"/>
  <c r="X34" i="54" s="1"/>
  <c r="O129" i="51"/>
  <c r="O315" i="51" s="1"/>
  <c r="K35" i="54" s="1"/>
  <c r="X35" i="54" s="1"/>
  <c r="O130" i="51"/>
  <c r="O316" i="51" s="1"/>
  <c r="K36" i="54" s="1"/>
  <c r="X36" i="54" s="1"/>
  <c r="O131" i="51"/>
  <c r="O317" i="51" s="1"/>
  <c r="K37" i="54" s="1"/>
  <c r="X37" i="54" s="1"/>
  <c r="O132" i="51"/>
  <c r="O318" i="51" s="1"/>
  <c r="K38" i="54" s="1"/>
  <c r="X38" i="54" s="1"/>
  <c r="O133" i="51"/>
  <c r="O319" i="51" s="1"/>
  <c r="K39" i="54" s="1"/>
  <c r="X39" i="54" s="1"/>
  <c r="O134" i="51"/>
  <c r="O320" i="51" s="1"/>
  <c r="K40" i="54" s="1"/>
  <c r="X40" i="54" s="1"/>
  <c r="L128" i="51"/>
  <c r="L314" i="51" s="1"/>
  <c r="H34" i="54" s="1"/>
  <c r="U34" i="54" s="1"/>
  <c r="L129" i="51"/>
  <c r="L315" i="51" s="1"/>
  <c r="H35" i="54" s="1"/>
  <c r="U35" i="54" s="1"/>
  <c r="L130" i="51"/>
  <c r="L316" i="51" s="1"/>
  <c r="H36" i="54" s="1"/>
  <c r="U36" i="54" s="1"/>
  <c r="L131" i="51"/>
  <c r="L317" i="51" s="1"/>
  <c r="H37" i="54" s="1"/>
  <c r="U37" i="54" s="1"/>
  <c r="L132" i="51"/>
  <c r="L318" i="51" s="1"/>
  <c r="H38" i="54" s="1"/>
  <c r="U38" i="54" s="1"/>
  <c r="L133" i="51"/>
  <c r="L319" i="51" s="1"/>
  <c r="H39" i="54" s="1"/>
  <c r="U39" i="54" s="1"/>
  <c r="L134" i="51"/>
  <c r="L320" i="51" s="1"/>
  <c r="H40" i="54" s="1"/>
  <c r="U40" i="54" s="1"/>
  <c r="K129" i="51"/>
  <c r="K315" i="51" s="1"/>
  <c r="G35" i="54" s="1"/>
  <c r="T35" i="54" s="1"/>
  <c r="K133" i="51"/>
  <c r="K319" i="51" s="1"/>
  <c r="G39" i="54" s="1"/>
  <c r="T39" i="54" s="1"/>
  <c r="N128" i="51"/>
  <c r="N314" i="51" s="1"/>
  <c r="J34" i="54" s="1"/>
  <c r="W34" i="54" s="1"/>
  <c r="N130" i="51"/>
  <c r="N316" i="51" s="1"/>
  <c r="J36" i="54" s="1"/>
  <c r="W36" i="54" s="1"/>
  <c r="N132" i="51"/>
  <c r="N318" i="51" s="1"/>
  <c r="J38" i="54" s="1"/>
  <c r="W38" i="54" s="1"/>
  <c r="N134" i="51"/>
  <c r="N320" i="51" s="1"/>
  <c r="J40" i="54" s="1"/>
  <c r="W40" i="54" s="1"/>
  <c r="M129" i="51"/>
  <c r="M315" i="51" s="1"/>
  <c r="I35" i="54" s="1"/>
  <c r="V35" i="54" s="1"/>
  <c r="M131" i="51"/>
  <c r="M317" i="51" s="1"/>
  <c r="I37" i="54" s="1"/>
  <c r="V37" i="54" s="1"/>
  <c r="M133" i="51"/>
  <c r="M319" i="51" s="1"/>
  <c r="I39" i="54" s="1"/>
  <c r="V39" i="54" s="1"/>
  <c r="K130" i="51"/>
  <c r="K316" i="51" s="1"/>
  <c r="G36" i="54" s="1"/>
  <c r="T36" i="54" s="1"/>
  <c r="N129" i="51"/>
  <c r="N315" i="51" s="1"/>
  <c r="J35" i="54" s="1"/>
  <c r="W35" i="54" s="1"/>
  <c r="N133" i="51"/>
  <c r="N319" i="51" s="1"/>
  <c r="J39" i="54" s="1"/>
  <c r="W39" i="54" s="1"/>
  <c r="K131" i="51"/>
  <c r="K317" i="51" s="1"/>
  <c r="G37" i="54" s="1"/>
  <c r="T37" i="54" s="1"/>
  <c r="M128" i="51"/>
  <c r="M314" i="51" s="1"/>
  <c r="I34" i="54" s="1"/>
  <c r="V34" i="54" s="1"/>
  <c r="M130" i="51"/>
  <c r="M316" i="51" s="1"/>
  <c r="I36" i="54" s="1"/>
  <c r="V36" i="54" s="1"/>
  <c r="M132" i="51"/>
  <c r="M318" i="51" s="1"/>
  <c r="I38" i="54" s="1"/>
  <c r="V38" i="54" s="1"/>
  <c r="M134" i="51"/>
  <c r="M320" i="51" s="1"/>
  <c r="I40" i="54" s="1"/>
  <c r="V40" i="54" s="1"/>
  <c r="K134" i="51"/>
  <c r="K320" i="51" s="1"/>
  <c r="G40" i="54" s="1"/>
  <c r="T40" i="54" s="1"/>
  <c r="M147" i="51"/>
  <c r="M148" i="51"/>
  <c r="M149" i="51"/>
  <c r="M143" i="51"/>
  <c r="M145" i="51"/>
  <c r="M144" i="51"/>
  <c r="M146" i="51"/>
  <c r="O143" i="51"/>
  <c r="O144" i="51"/>
  <c r="O145" i="51"/>
  <c r="O147" i="51"/>
  <c r="O149" i="51"/>
  <c r="O146" i="51"/>
  <c r="O148" i="51"/>
  <c r="N109" i="51"/>
  <c r="J109" i="51"/>
  <c r="L109" i="51"/>
  <c r="K109" i="51"/>
  <c r="M97" i="50"/>
  <c r="I171" i="54" s="1"/>
  <c r="M96" i="50"/>
  <c r="I170" i="54" s="1"/>
  <c r="L96" i="50"/>
  <c r="H170" i="54" s="1"/>
  <c r="L97" i="50"/>
  <c r="H171" i="54" s="1"/>
  <c r="N96" i="50"/>
  <c r="J170" i="54" s="1"/>
  <c r="N97" i="50"/>
  <c r="J171" i="54" s="1"/>
  <c r="O97" i="50"/>
  <c r="K171" i="54" s="1"/>
  <c r="O96" i="50"/>
  <c r="K170" i="54" s="1"/>
  <c r="L94" i="50"/>
  <c r="H168" i="54" s="1"/>
  <c r="O94" i="50"/>
  <c r="K168" i="54" s="1"/>
  <c r="L95" i="50"/>
  <c r="H169" i="54" s="1"/>
  <c r="O95" i="50"/>
  <c r="K169" i="54" s="1"/>
  <c r="N95" i="50"/>
  <c r="J169" i="54" s="1"/>
  <c r="N94" i="50"/>
  <c r="J168" i="54" s="1"/>
  <c r="M94" i="50"/>
  <c r="I168" i="54" s="1"/>
  <c r="M96" i="48"/>
  <c r="I107" i="54" s="1"/>
  <c r="N94" i="49"/>
  <c r="J136" i="54" s="1"/>
  <c r="W136" i="54" s="1"/>
  <c r="N96" i="49"/>
  <c r="J138" i="54" s="1"/>
  <c r="W138" i="54" s="1"/>
  <c r="L94" i="49"/>
  <c r="H136" i="54" s="1"/>
  <c r="U136" i="54" s="1"/>
  <c r="O95" i="49"/>
  <c r="O96" i="49"/>
  <c r="K138" i="54" s="1"/>
  <c r="X138" i="54" s="1"/>
  <c r="K95" i="49"/>
  <c r="M95" i="48"/>
  <c r="I106" i="54" s="1"/>
  <c r="N95" i="48"/>
  <c r="J106" i="54" s="1"/>
  <c r="L96" i="48"/>
  <c r="H107" i="54" s="1"/>
  <c r="L95" i="48"/>
  <c r="H106" i="54" s="1"/>
  <c r="K96" i="48"/>
  <c r="G107" i="54" s="1"/>
  <c r="I15" i="47"/>
  <c r="J15" i="47"/>
  <c r="I16" i="47"/>
  <c r="J16" i="47"/>
  <c r="I17" i="47"/>
  <c r="J17" i="47"/>
  <c r="I18" i="47"/>
  <c r="J18" i="47"/>
  <c r="I19" i="47"/>
  <c r="J19" i="47"/>
  <c r="I20" i="47"/>
  <c r="J20" i="47"/>
  <c r="I21" i="47"/>
  <c r="J21" i="47"/>
  <c r="I22" i="47"/>
  <c r="J22" i="47"/>
  <c r="I23" i="47"/>
  <c r="J23" i="47"/>
  <c r="I24" i="47"/>
  <c r="J24" i="47"/>
  <c r="I25" i="47"/>
  <c r="J25" i="47"/>
  <c r="I26" i="47"/>
  <c r="J26" i="47"/>
  <c r="I27" i="47"/>
  <c r="J27" i="47"/>
  <c r="I28" i="47"/>
  <c r="J28" i="47"/>
  <c r="I29" i="47"/>
  <c r="J29" i="47"/>
  <c r="I30" i="47"/>
  <c r="J30" i="47"/>
  <c r="I31" i="47"/>
  <c r="J31" i="47"/>
  <c r="I32" i="47"/>
  <c r="J32" i="47"/>
  <c r="H16" i="47"/>
  <c r="H17" i="47"/>
  <c r="H18" i="47"/>
  <c r="H19" i="47"/>
  <c r="H20" i="47"/>
  <c r="H21" i="47"/>
  <c r="H22" i="47"/>
  <c r="H23" i="47"/>
  <c r="H24" i="47"/>
  <c r="H25" i="47"/>
  <c r="H26" i="47"/>
  <c r="H27" i="47"/>
  <c r="H28" i="47"/>
  <c r="H29" i="47"/>
  <c r="H30" i="47"/>
  <c r="H31" i="47"/>
  <c r="H32" i="47"/>
  <c r="H15" i="47"/>
  <c r="E10" i="47"/>
  <c r="M15" i="47" s="1"/>
  <c r="I15" i="29"/>
  <c r="J15" i="29"/>
  <c r="K15" i="29"/>
  <c r="L15" i="29"/>
  <c r="M15" i="29"/>
  <c r="N15" i="29"/>
  <c r="O15" i="29"/>
  <c r="H16" i="29"/>
  <c r="I16" i="29"/>
  <c r="J16" i="29"/>
  <c r="K16" i="29"/>
  <c r="L16" i="29"/>
  <c r="M16" i="29"/>
  <c r="N16" i="29"/>
  <c r="O16" i="29"/>
  <c r="H17" i="29"/>
  <c r="I17" i="29"/>
  <c r="J17" i="29"/>
  <c r="K17" i="29"/>
  <c r="L17" i="29"/>
  <c r="M17" i="29"/>
  <c r="N17" i="29"/>
  <c r="O17" i="29"/>
  <c r="H18" i="29"/>
  <c r="I18" i="29"/>
  <c r="J18" i="29"/>
  <c r="K18" i="29"/>
  <c r="L18" i="29"/>
  <c r="M18" i="29"/>
  <c r="N18" i="29"/>
  <c r="O18" i="29"/>
  <c r="H19" i="29"/>
  <c r="I19" i="29"/>
  <c r="J19" i="29"/>
  <c r="K19" i="29"/>
  <c r="L19" i="29"/>
  <c r="M19" i="29"/>
  <c r="N19" i="29"/>
  <c r="O19" i="29"/>
  <c r="H20" i="29"/>
  <c r="I20" i="29"/>
  <c r="J20" i="29"/>
  <c r="K20" i="29"/>
  <c r="L20" i="29"/>
  <c r="M20" i="29"/>
  <c r="N20" i="29"/>
  <c r="O20" i="29"/>
  <c r="H21" i="29"/>
  <c r="I21" i="29"/>
  <c r="J21" i="29"/>
  <c r="K21" i="29"/>
  <c r="L21" i="29"/>
  <c r="M21" i="29"/>
  <c r="N21" i="29"/>
  <c r="O21" i="29"/>
  <c r="H22" i="29"/>
  <c r="I22" i="29"/>
  <c r="J22" i="29"/>
  <c r="K22" i="29"/>
  <c r="L22" i="29"/>
  <c r="M22" i="29"/>
  <c r="N22" i="29"/>
  <c r="O22" i="29"/>
  <c r="H23" i="29"/>
  <c r="I23" i="29"/>
  <c r="J23" i="29"/>
  <c r="K23" i="29"/>
  <c r="L23" i="29"/>
  <c r="M23" i="29"/>
  <c r="N23" i="29"/>
  <c r="O23" i="29"/>
  <c r="H24" i="29"/>
  <c r="I24" i="29"/>
  <c r="J24" i="29"/>
  <c r="K24" i="29"/>
  <c r="L24" i="29"/>
  <c r="M24" i="29"/>
  <c r="N24" i="29"/>
  <c r="O24" i="29"/>
  <c r="H25" i="29"/>
  <c r="I25" i="29"/>
  <c r="J25" i="29"/>
  <c r="K25" i="29"/>
  <c r="L25" i="29"/>
  <c r="M25" i="29"/>
  <c r="N25" i="29"/>
  <c r="O25" i="29"/>
  <c r="I40" i="47" l="1"/>
  <c r="H40" i="47"/>
  <c r="M326" i="51"/>
  <c r="I23" i="54" s="1"/>
  <c r="V23" i="54" s="1"/>
  <c r="L327" i="51"/>
  <c r="H24" i="54" s="1"/>
  <c r="U24" i="54" s="1"/>
  <c r="K329" i="51"/>
  <c r="G26" i="54" s="1"/>
  <c r="T26" i="54" s="1"/>
  <c r="G25" i="54"/>
  <c r="T25" i="54" s="1"/>
  <c r="M329" i="51"/>
  <c r="I26" i="54" s="1"/>
  <c r="V26" i="54" s="1"/>
  <c r="M332" i="51"/>
  <c r="I29" i="54" s="1"/>
  <c r="V29" i="54" s="1"/>
  <c r="G34" i="54"/>
  <c r="T34" i="54" s="1"/>
  <c r="L326" i="51"/>
  <c r="H23" i="54" s="1"/>
  <c r="U23" i="54" s="1"/>
  <c r="N327" i="51"/>
  <c r="J24" i="54" s="1"/>
  <c r="W24" i="54" s="1"/>
  <c r="N332" i="51"/>
  <c r="J29" i="54" s="1"/>
  <c r="W29" i="54" s="1"/>
  <c r="K331" i="51"/>
  <c r="G28" i="54" s="1"/>
  <c r="T28" i="54" s="1"/>
  <c r="O326" i="51"/>
  <c r="K23" i="54" s="1"/>
  <c r="X23" i="54" s="1"/>
  <c r="O331" i="51"/>
  <c r="K28" i="54" s="1"/>
  <c r="X28" i="54" s="1"/>
  <c r="M327" i="51"/>
  <c r="I24" i="54" s="1"/>
  <c r="V24" i="54" s="1"/>
  <c r="L332" i="51"/>
  <c r="H29" i="54" s="1"/>
  <c r="U29" i="54" s="1"/>
  <c r="N331" i="51"/>
  <c r="J28" i="54" s="1"/>
  <c r="W28" i="54" s="1"/>
  <c r="G23" i="54"/>
  <c r="T23" i="54" s="1"/>
  <c r="K327" i="51"/>
  <c r="G24" i="54" s="1"/>
  <c r="T24" i="54" s="1"/>
  <c r="O332" i="51"/>
  <c r="K29" i="54" s="1"/>
  <c r="X29" i="54" s="1"/>
  <c r="N326" i="51"/>
  <c r="J23" i="54" s="1"/>
  <c r="W23" i="54" s="1"/>
  <c r="O328" i="51"/>
  <c r="K25" i="54" s="1"/>
  <c r="X25" i="54" s="1"/>
  <c r="M331" i="51"/>
  <c r="I28" i="54" s="1"/>
  <c r="V28" i="54" s="1"/>
  <c r="O329" i="51"/>
  <c r="K26" i="54" s="1"/>
  <c r="X26" i="54" s="1"/>
  <c r="O327" i="51"/>
  <c r="K24" i="54" s="1"/>
  <c r="X24" i="54" s="1"/>
  <c r="M328" i="51"/>
  <c r="I25" i="54" s="1"/>
  <c r="V25" i="54" s="1"/>
  <c r="L328" i="51"/>
  <c r="H25" i="54" s="1"/>
  <c r="U25" i="54" s="1"/>
  <c r="L331" i="51"/>
  <c r="H28" i="54" s="1"/>
  <c r="U28" i="54" s="1"/>
  <c r="N328" i="51"/>
  <c r="J25" i="54" s="1"/>
  <c r="W25" i="54" s="1"/>
  <c r="N329" i="51"/>
  <c r="J26" i="54" s="1"/>
  <c r="W26" i="54" s="1"/>
  <c r="K332" i="51"/>
  <c r="G29" i="54" s="1"/>
  <c r="T29" i="54" s="1"/>
  <c r="K65" i="29"/>
  <c r="J40" i="47"/>
  <c r="N65" i="29"/>
  <c r="O65" i="29"/>
  <c r="L65" i="29"/>
  <c r="M65" i="29"/>
  <c r="H52" i="29"/>
  <c r="H51" i="29"/>
  <c r="M32" i="47"/>
  <c r="M28" i="47"/>
  <c r="L27" i="47"/>
  <c r="K26" i="47"/>
  <c r="N25" i="47"/>
  <c r="M20" i="47"/>
  <c r="L15" i="47"/>
  <c r="L32" i="47"/>
  <c r="O31" i="47"/>
  <c r="K31" i="47"/>
  <c r="N30" i="47"/>
  <c r="M29" i="47"/>
  <c r="L28" i="47"/>
  <c r="O27" i="47"/>
  <c r="K27" i="47"/>
  <c r="N26" i="47"/>
  <c r="M25" i="47"/>
  <c r="L24" i="47"/>
  <c r="O23" i="47"/>
  <c r="K23" i="47"/>
  <c r="N22" i="47"/>
  <c r="M21" i="47"/>
  <c r="L20" i="47"/>
  <c r="O19" i="47"/>
  <c r="K19" i="47"/>
  <c r="N18" i="47"/>
  <c r="M17" i="47"/>
  <c r="L16" i="47"/>
  <c r="O15" i="47"/>
  <c r="K15" i="47"/>
  <c r="L31" i="47"/>
  <c r="O30" i="47"/>
  <c r="K30" i="47"/>
  <c r="N29" i="47"/>
  <c r="M24" i="47"/>
  <c r="L19" i="47"/>
  <c r="O18" i="47"/>
  <c r="K18" i="47"/>
  <c r="N17" i="47"/>
  <c r="O32" i="47"/>
  <c r="K32" i="47"/>
  <c r="N31" i="47"/>
  <c r="M30" i="47"/>
  <c r="L29" i="47"/>
  <c r="O28" i="47"/>
  <c r="K28" i="47"/>
  <c r="N27" i="47"/>
  <c r="M26" i="47"/>
  <c r="L25" i="47"/>
  <c r="O24" i="47"/>
  <c r="K24" i="47"/>
  <c r="N23" i="47"/>
  <c r="M22" i="47"/>
  <c r="L21" i="47"/>
  <c r="O20" i="47"/>
  <c r="K20" i="47"/>
  <c r="N19" i="47"/>
  <c r="M18" i="47"/>
  <c r="L17" i="47"/>
  <c r="O16" i="47"/>
  <c r="K16" i="47"/>
  <c r="N15" i="47"/>
  <c r="O26" i="47"/>
  <c r="L23" i="47"/>
  <c r="O22" i="47"/>
  <c r="K22" i="47"/>
  <c r="N21" i="47"/>
  <c r="M16" i="47"/>
  <c r="N32" i="47"/>
  <c r="M31" i="47"/>
  <c r="L30" i="47"/>
  <c r="O29" i="47"/>
  <c r="K29" i="47"/>
  <c r="N28" i="47"/>
  <c r="M27" i="47"/>
  <c r="L26" i="47"/>
  <c r="O25" i="47"/>
  <c r="K25" i="47"/>
  <c r="N24" i="47"/>
  <c r="M23" i="47"/>
  <c r="L22" i="47"/>
  <c r="O21" i="47"/>
  <c r="K21" i="47"/>
  <c r="N20" i="47"/>
  <c r="M19" i="47"/>
  <c r="L18" i="47"/>
  <c r="O17" i="47"/>
  <c r="K17" i="47"/>
  <c r="N16" i="47"/>
  <c r="J42" i="47" l="1"/>
  <c r="I42" i="47"/>
  <c r="N40" i="47"/>
  <c r="O40" i="47"/>
  <c r="K66" i="54"/>
  <c r="X66" i="54" s="1"/>
  <c r="K67" i="54"/>
  <c r="X67" i="54" s="1"/>
  <c r="K68" i="54"/>
  <c r="X68" i="54" s="1"/>
  <c r="K69" i="54"/>
  <c r="X69" i="54" s="1"/>
  <c r="G66" i="54"/>
  <c r="T66" i="54" s="1"/>
  <c r="I66" i="54"/>
  <c r="V66" i="54" s="1"/>
  <c r="I68" i="54"/>
  <c r="V68" i="54" s="1"/>
  <c r="G68" i="54"/>
  <c r="T68" i="54" s="1"/>
  <c r="J67" i="54"/>
  <c r="W67" i="54" s="1"/>
  <c r="J69" i="54"/>
  <c r="W69" i="54" s="1"/>
  <c r="H66" i="54"/>
  <c r="U66" i="54" s="1"/>
  <c r="H67" i="54"/>
  <c r="U67" i="54" s="1"/>
  <c r="H68" i="54"/>
  <c r="U68" i="54" s="1"/>
  <c r="H69" i="54"/>
  <c r="U69" i="54" s="1"/>
  <c r="G67" i="54"/>
  <c r="T67" i="54" s="1"/>
  <c r="I67" i="54"/>
  <c r="V67" i="54" s="1"/>
  <c r="I69" i="54"/>
  <c r="V69" i="54" s="1"/>
  <c r="J66" i="54"/>
  <c r="W66" i="54" s="1"/>
  <c r="J68" i="54"/>
  <c r="W68" i="54" s="1"/>
  <c r="G69" i="54"/>
  <c r="T69" i="54" s="1"/>
  <c r="K40" i="47"/>
  <c r="K42" i="47" s="1"/>
  <c r="L40" i="47"/>
  <c r="M40" i="47"/>
  <c r="A1" i="44"/>
  <c r="O42" i="47" l="1"/>
  <c r="N42" i="47"/>
  <c r="L42" i="47"/>
  <c r="M42" i="47"/>
  <c r="G44" i="47" l="1"/>
  <c r="G46" i="47" s="1"/>
  <c r="F96" i="51" l="1"/>
  <c r="F98" i="51" s="1"/>
  <c r="K116" i="51" s="1"/>
  <c r="F241" i="51"/>
  <c r="F243" i="51" s="1"/>
  <c r="F46" i="49"/>
  <c r="F48" i="49" s="1"/>
  <c r="K63" i="49" s="1"/>
  <c r="L63" i="49" s="1"/>
  <c r="F45" i="50"/>
  <c r="F47" i="50" s="1"/>
  <c r="K62" i="50" s="1"/>
  <c r="K86" i="50" s="1"/>
  <c r="G176" i="54" s="1"/>
  <c r="F41" i="48"/>
  <c r="F43" i="48" s="1"/>
  <c r="K58" i="48" s="1"/>
  <c r="K87" i="48" s="1"/>
  <c r="G113" i="54" s="1"/>
  <c r="F41" i="29"/>
  <c r="N265" i="51" l="1"/>
  <c r="K261" i="51"/>
  <c r="K118" i="51"/>
  <c r="L118" i="51" s="1"/>
  <c r="K121" i="51"/>
  <c r="L121" i="51" s="1"/>
  <c r="K117" i="51"/>
  <c r="L117" i="51" s="1"/>
  <c r="K87" i="49"/>
  <c r="K119" i="51"/>
  <c r="L119" i="51" s="1"/>
  <c r="K120" i="51"/>
  <c r="L120" i="51" s="1"/>
  <c r="K88" i="49"/>
  <c r="G145" i="54" s="1"/>
  <c r="T145" i="54" s="1"/>
  <c r="K122" i="51"/>
  <c r="L122" i="51" s="1"/>
  <c r="O261" i="51"/>
  <c r="O262" i="51"/>
  <c r="O263" i="51"/>
  <c r="O264" i="51"/>
  <c r="O265" i="51"/>
  <c r="O266" i="51"/>
  <c r="O267" i="51"/>
  <c r="K265" i="51"/>
  <c r="L261" i="51"/>
  <c r="L262" i="51"/>
  <c r="L263" i="51"/>
  <c r="L264" i="51"/>
  <c r="L265" i="51"/>
  <c r="L266" i="51"/>
  <c r="L267" i="51"/>
  <c r="K262" i="51"/>
  <c r="K266" i="51"/>
  <c r="N262" i="51"/>
  <c r="N264" i="51"/>
  <c r="N266" i="51"/>
  <c r="K264" i="51"/>
  <c r="N261" i="51"/>
  <c r="N267" i="51"/>
  <c r="M264" i="51"/>
  <c r="K263" i="51"/>
  <c r="M261" i="51"/>
  <c r="M263" i="51"/>
  <c r="M265" i="51"/>
  <c r="M267" i="51"/>
  <c r="K267" i="51"/>
  <c r="N263" i="51"/>
  <c r="M262" i="51"/>
  <c r="M266" i="51"/>
  <c r="K88" i="50"/>
  <c r="G178" i="54" s="1"/>
  <c r="K89" i="50"/>
  <c r="G179" i="54" s="1"/>
  <c r="K86" i="49"/>
  <c r="G143" i="54" s="1"/>
  <c r="T143" i="54" s="1"/>
  <c r="K87" i="50"/>
  <c r="G177" i="54" s="1"/>
  <c r="L62" i="50"/>
  <c r="L86" i="49"/>
  <c r="H143" i="54" s="1"/>
  <c r="U143" i="54" s="1"/>
  <c r="M63" i="49"/>
  <c r="L88" i="49"/>
  <c r="H145" i="54" s="1"/>
  <c r="U145" i="54" s="1"/>
  <c r="L87" i="49"/>
  <c r="L58" i="48"/>
  <c r="K88" i="48"/>
  <c r="G114" i="54" s="1"/>
  <c r="K89" i="48"/>
  <c r="G115" i="54" s="1"/>
  <c r="K304" i="51" l="1"/>
  <c r="K359" i="51" s="1"/>
  <c r="G47" i="54" s="1"/>
  <c r="T47" i="54" s="1"/>
  <c r="K302" i="51"/>
  <c r="K357" i="51" s="1"/>
  <c r="G45" i="54" s="1"/>
  <c r="T45" i="54" s="1"/>
  <c r="K303" i="51"/>
  <c r="K358" i="51" s="1"/>
  <c r="G46" i="54" s="1"/>
  <c r="T46" i="54" s="1"/>
  <c r="K308" i="51"/>
  <c r="K307" i="51"/>
  <c r="K362" i="51" s="1"/>
  <c r="G50" i="54" s="1"/>
  <c r="T50" i="54" s="1"/>
  <c r="K305" i="51"/>
  <c r="K360" i="51" s="1"/>
  <c r="G48" i="54" s="1"/>
  <c r="T48" i="54" s="1"/>
  <c r="L116" i="51"/>
  <c r="M116" i="51" s="1"/>
  <c r="K306" i="51"/>
  <c r="K361" i="51" s="1"/>
  <c r="G49" i="54" s="1"/>
  <c r="T49" i="54" s="1"/>
  <c r="M121" i="51"/>
  <c r="L307" i="51"/>
  <c r="L362" i="51" s="1"/>
  <c r="H50" i="54" s="1"/>
  <c r="U50" i="54" s="1"/>
  <c r="M118" i="51"/>
  <c r="L304" i="51"/>
  <c r="L359" i="51" s="1"/>
  <c r="H47" i="54" s="1"/>
  <c r="U47" i="54" s="1"/>
  <c r="M119" i="51"/>
  <c r="L305" i="51"/>
  <c r="L360" i="51" s="1"/>
  <c r="H48" i="54" s="1"/>
  <c r="U48" i="54" s="1"/>
  <c r="M120" i="51"/>
  <c r="L306" i="51"/>
  <c r="L361" i="51" s="1"/>
  <c r="H49" i="54" s="1"/>
  <c r="U49" i="54" s="1"/>
  <c r="M117" i="51"/>
  <c r="L303" i="51"/>
  <c r="L358" i="51" s="1"/>
  <c r="H46" i="54" s="1"/>
  <c r="U46" i="54" s="1"/>
  <c r="M122" i="51"/>
  <c r="L308" i="51"/>
  <c r="L363" i="51" s="1"/>
  <c r="H51" i="54" s="1"/>
  <c r="U51" i="54" s="1"/>
  <c r="M62" i="50"/>
  <c r="L89" i="50"/>
  <c r="H179" i="54" s="1"/>
  <c r="L88" i="50"/>
  <c r="H178" i="54" s="1"/>
  <c r="L86" i="50"/>
  <c r="H176" i="54" s="1"/>
  <c r="L87" i="50"/>
  <c r="H177" i="54" s="1"/>
  <c r="N63" i="49"/>
  <c r="M88" i="49"/>
  <c r="I145" i="54" s="1"/>
  <c r="V145" i="54" s="1"/>
  <c r="M87" i="49"/>
  <c r="M86" i="49"/>
  <c r="I143" i="54" s="1"/>
  <c r="V143" i="54" s="1"/>
  <c r="M58" i="48"/>
  <c r="L89" i="48"/>
  <c r="H115" i="54" s="1"/>
  <c r="L87" i="48"/>
  <c r="H113" i="54" s="1"/>
  <c r="L88" i="48"/>
  <c r="H114" i="54" s="1"/>
  <c r="K363" i="51" l="1"/>
  <c r="G51" i="54" s="1"/>
  <c r="T51" i="54" s="1"/>
  <c r="L302" i="51"/>
  <c r="L357" i="51" s="1"/>
  <c r="H45" i="54" s="1"/>
  <c r="U45" i="54" s="1"/>
  <c r="N122" i="51"/>
  <c r="M308" i="51"/>
  <c r="M363" i="51" s="1"/>
  <c r="I51" i="54" s="1"/>
  <c r="V51" i="54" s="1"/>
  <c r="N117" i="51"/>
  <c r="M303" i="51"/>
  <c r="M358" i="51" s="1"/>
  <c r="I46" i="54" s="1"/>
  <c r="V46" i="54" s="1"/>
  <c r="N119" i="51"/>
  <c r="M305" i="51"/>
  <c r="M360" i="51" s="1"/>
  <c r="I48" i="54" s="1"/>
  <c r="V48" i="54" s="1"/>
  <c r="N121" i="51"/>
  <c r="M307" i="51"/>
  <c r="M362" i="51" s="1"/>
  <c r="I50" i="54" s="1"/>
  <c r="V50" i="54" s="1"/>
  <c r="N120" i="51"/>
  <c r="M306" i="51"/>
  <c r="M361" i="51" s="1"/>
  <c r="I49" i="54" s="1"/>
  <c r="V49" i="54" s="1"/>
  <c r="N118" i="51"/>
  <c r="M304" i="51"/>
  <c r="M359" i="51" s="1"/>
  <c r="I47" i="54" s="1"/>
  <c r="V47" i="54" s="1"/>
  <c r="N116" i="51"/>
  <c r="M302" i="51"/>
  <c r="M357" i="51" s="1"/>
  <c r="I45" i="54" s="1"/>
  <c r="V45" i="54" s="1"/>
  <c r="M89" i="50"/>
  <c r="I179" i="54" s="1"/>
  <c r="M88" i="50"/>
  <c r="I178" i="54" s="1"/>
  <c r="N62" i="50"/>
  <c r="M87" i="50"/>
  <c r="I177" i="54" s="1"/>
  <c r="M86" i="50"/>
  <c r="I176" i="54" s="1"/>
  <c r="N88" i="49"/>
  <c r="J145" i="54" s="1"/>
  <c r="W145" i="54" s="1"/>
  <c r="N87" i="49"/>
  <c r="N86" i="49"/>
  <c r="J143" i="54" s="1"/>
  <c r="W143" i="54" s="1"/>
  <c r="O63" i="49"/>
  <c r="N58" i="48"/>
  <c r="M88" i="48"/>
  <c r="I114" i="54" s="1"/>
  <c r="M89" i="48"/>
  <c r="I115" i="54" s="1"/>
  <c r="M87" i="48"/>
  <c r="I113" i="54" s="1"/>
  <c r="O118" i="51" l="1"/>
  <c r="O304" i="51" s="1"/>
  <c r="O359" i="51" s="1"/>
  <c r="K47" i="54" s="1"/>
  <c r="X47" i="54" s="1"/>
  <c r="N304" i="51"/>
  <c r="N359" i="51" s="1"/>
  <c r="J47" i="54" s="1"/>
  <c r="W47" i="54" s="1"/>
  <c r="O121" i="51"/>
  <c r="O307" i="51" s="1"/>
  <c r="O362" i="51" s="1"/>
  <c r="K50" i="54" s="1"/>
  <c r="X50" i="54" s="1"/>
  <c r="N307" i="51"/>
  <c r="N362" i="51" s="1"/>
  <c r="J50" i="54" s="1"/>
  <c r="W50" i="54" s="1"/>
  <c r="O117" i="51"/>
  <c r="O303" i="51" s="1"/>
  <c r="O358" i="51" s="1"/>
  <c r="K46" i="54" s="1"/>
  <c r="X46" i="54" s="1"/>
  <c r="N303" i="51"/>
  <c r="N358" i="51" s="1"/>
  <c r="J46" i="54" s="1"/>
  <c r="W46" i="54" s="1"/>
  <c r="O116" i="51"/>
  <c r="O302" i="51" s="1"/>
  <c r="O357" i="51" s="1"/>
  <c r="K45" i="54" s="1"/>
  <c r="X45" i="54" s="1"/>
  <c r="N302" i="51"/>
  <c r="N357" i="51" s="1"/>
  <c r="J45" i="54" s="1"/>
  <c r="W45" i="54" s="1"/>
  <c r="O120" i="51"/>
  <c r="O306" i="51" s="1"/>
  <c r="O361" i="51" s="1"/>
  <c r="K49" i="54" s="1"/>
  <c r="X49" i="54" s="1"/>
  <c r="N306" i="51"/>
  <c r="N361" i="51" s="1"/>
  <c r="J49" i="54" s="1"/>
  <c r="W49" i="54" s="1"/>
  <c r="O119" i="51"/>
  <c r="O305" i="51" s="1"/>
  <c r="O360" i="51" s="1"/>
  <c r="K48" i="54" s="1"/>
  <c r="X48" i="54" s="1"/>
  <c r="N305" i="51"/>
  <c r="N360" i="51" s="1"/>
  <c r="J48" i="54" s="1"/>
  <c r="W48" i="54" s="1"/>
  <c r="O122" i="51"/>
  <c r="O308" i="51" s="1"/>
  <c r="O363" i="51" s="1"/>
  <c r="K51" i="54" s="1"/>
  <c r="X51" i="54" s="1"/>
  <c r="N308" i="51"/>
  <c r="N363" i="51" s="1"/>
  <c r="J51" i="54" s="1"/>
  <c r="W51" i="54" s="1"/>
  <c r="N88" i="50"/>
  <c r="J178" i="54" s="1"/>
  <c r="N89" i="50"/>
  <c r="J179" i="54" s="1"/>
  <c r="O62" i="50"/>
  <c r="N87" i="50"/>
  <c r="J177" i="54" s="1"/>
  <c r="N86" i="50"/>
  <c r="J176" i="54" s="1"/>
  <c r="O87" i="49"/>
  <c r="O86" i="49"/>
  <c r="K143" i="54" s="1"/>
  <c r="X143" i="54" s="1"/>
  <c r="O88" i="49"/>
  <c r="K145" i="54" s="1"/>
  <c r="X145" i="54" s="1"/>
  <c r="O58" i="48"/>
  <c r="N88" i="48"/>
  <c r="J114" i="54" s="1"/>
  <c r="N87" i="48"/>
  <c r="J113" i="54" s="1"/>
  <c r="N89" i="48"/>
  <c r="J115" i="54" s="1"/>
  <c r="O88" i="50" l="1"/>
  <c r="K178" i="54" s="1"/>
  <c r="O89" i="50"/>
  <c r="K179" i="54" s="1"/>
  <c r="O87" i="50"/>
  <c r="K177" i="54" s="1"/>
  <c r="O86" i="50"/>
  <c r="K176" i="54" s="1"/>
  <c r="O89" i="48"/>
  <c r="K115" i="54" s="1"/>
  <c r="O88" i="48"/>
  <c r="K114" i="54" s="1"/>
  <c r="O87" i="48"/>
  <c r="K113" i="54" s="1"/>
  <c r="I51" i="29" l="1"/>
  <c r="I54" i="29" s="1"/>
  <c r="G56" i="14" l="1"/>
  <c r="F22" i="14" l="1"/>
  <c r="J51" i="29" l="1"/>
  <c r="J52" i="29"/>
  <c r="I52" i="29"/>
  <c r="J34" i="29"/>
  <c r="I34" i="29"/>
  <c r="H34" i="29"/>
  <c r="K59" i="29" l="1"/>
  <c r="K91" i="29" s="1"/>
  <c r="G74" i="54" s="1"/>
  <c r="T74" i="54" s="1"/>
  <c r="L59" i="29"/>
  <c r="M51" i="29"/>
  <c r="L51" i="29"/>
  <c r="K51" i="29"/>
  <c r="K54" i="29" s="1"/>
  <c r="O51" i="29"/>
  <c r="N51" i="29"/>
  <c r="J54" i="29"/>
  <c r="M59" i="29"/>
  <c r="N59" i="29"/>
  <c r="O59" i="29"/>
  <c r="O52" i="29"/>
  <c r="L52" i="29"/>
  <c r="N34" i="29"/>
  <c r="N52" i="29"/>
  <c r="M52" i="29"/>
  <c r="K52" i="29"/>
  <c r="K34" i="29"/>
  <c r="F36" i="29" s="1"/>
  <c r="O34" i="29"/>
  <c r="M34" i="29"/>
  <c r="L34" i="29"/>
  <c r="K93" i="29" l="1"/>
  <c r="G76" i="54" s="1"/>
  <c r="T76" i="54" s="1"/>
  <c r="K94" i="29"/>
  <c r="G77" i="54" s="1"/>
  <c r="T77" i="54" s="1"/>
  <c r="K92" i="29"/>
  <c r="G75" i="54" s="1"/>
  <c r="T75" i="54" s="1"/>
  <c r="M91" i="29"/>
  <c r="I74" i="54" s="1"/>
  <c r="V74" i="54" s="1"/>
  <c r="M92" i="29"/>
  <c r="I75" i="54" s="1"/>
  <c r="V75" i="54" s="1"/>
  <c r="M93" i="29"/>
  <c r="I76" i="54" s="1"/>
  <c r="V76" i="54" s="1"/>
  <c r="M94" i="29"/>
  <c r="I77" i="54" s="1"/>
  <c r="V77" i="54" s="1"/>
  <c r="O91" i="29"/>
  <c r="K74" i="54" s="1"/>
  <c r="X74" i="54" s="1"/>
  <c r="O92" i="29"/>
  <c r="K75" i="54" s="1"/>
  <c r="X75" i="54" s="1"/>
  <c r="O93" i="29"/>
  <c r="K76" i="54" s="1"/>
  <c r="X76" i="54" s="1"/>
  <c r="O94" i="29"/>
  <c r="K77" i="54" s="1"/>
  <c r="X77" i="54" s="1"/>
  <c r="L91" i="29"/>
  <c r="H74" i="54" s="1"/>
  <c r="U74" i="54" s="1"/>
  <c r="L92" i="29"/>
  <c r="H75" i="54" s="1"/>
  <c r="U75" i="54" s="1"/>
  <c r="L93" i="29"/>
  <c r="H76" i="54" s="1"/>
  <c r="U76" i="54" s="1"/>
  <c r="L94" i="29"/>
  <c r="H77" i="54" s="1"/>
  <c r="U77" i="54" s="1"/>
  <c r="N91" i="29"/>
  <c r="J74" i="54" s="1"/>
  <c r="W74" i="54" s="1"/>
  <c r="N92" i="29"/>
  <c r="J75" i="54" s="1"/>
  <c r="W75" i="54" s="1"/>
  <c r="N93" i="29"/>
  <c r="J76" i="54" s="1"/>
  <c r="W76" i="54" s="1"/>
  <c r="N94" i="29"/>
  <c r="J77" i="54" s="1"/>
  <c r="W77" i="54" s="1"/>
  <c r="F43" i="29"/>
  <c r="K58" i="29" s="1"/>
  <c r="N54" i="29"/>
  <c r="L54" i="29"/>
  <c r="M54" i="29"/>
  <c r="O54" i="29"/>
  <c r="L58" i="29" l="1"/>
  <c r="K85" i="29"/>
  <c r="G85" i="54" s="1"/>
  <c r="T85" i="54" s="1"/>
  <c r="K84" i="29"/>
  <c r="G84" i="54" s="1"/>
  <c r="T84" i="54" s="1"/>
  <c r="K83" i="29"/>
  <c r="G83" i="54" s="1"/>
  <c r="T83" i="54" s="1"/>
  <c r="K82" i="29"/>
  <c r="G82" i="54" s="1"/>
  <c r="T82" i="54" s="1"/>
  <c r="M58" i="29" l="1"/>
  <c r="L84" i="29"/>
  <c r="H84" i="54" s="1"/>
  <c r="U84" i="54" s="1"/>
  <c r="L83" i="29"/>
  <c r="H83" i="54" s="1"/>
  <c r="U83" i="54" s="1"/>
  <c r="L82" i="29"/>
  <c r="H82" i="54" s="1"/>
  <c r="U82" i="54" s="1"/>
  <c r="L85" i="29"/>
  <c r="H85" i="54" s="1"/>
  <c r="U85" i="54" s="1"/>
  <c r="M83" i="29" l="1"/>
  <c r="I83" i="54" s="1"/>
  <c r="V83" i="54" s="1"/>
  <c r="M85" i="29"/>
  <c r="I85" i="54" s="1"/>
  <c r="V85" i="54" s="1"/>
  <c r="M84" i="29"/>
  <c r="I84" i="54" s="1"/>
  <c r="V84" i="54" s="1"/>
  <c r="M82" i="29"/>
  <c r="I82" i="54" s="1"/>
  <c r="V82" i="54" s="1"/>
  <c r="N58" i="29" l="1"/>
  <c r="O58" i="29" l="1"/>
  <c r="N82" i="29"/>
  <c r="J82" i="54" s="1"/>
  <c r="W82" i="54" s="1"/>
  <c r="N85" i="29"/>
  <c r="J85" i="54" s="1"/>
  <c r="W85" i="54" s="1"/>
  <c r="N84" i="29"/>
  <c r="J84" i="54" s="1"/>
  <c r="W84" i="54" s="1"/>
  <c r="N83" i="29"/>
  <c r="J83" i="54" s="1"/>
  <c r="W83" i="54" s="1"/>
  <c r="F144" i="14"/>
  <c r="I147" i="14"/>
  <c r="H147" i="14"/>
  <c r="G147" i="14"/>
  <c r="F147" i="14"/>
  <c r="I146" i="14"/>
  <c r="H146" i="14"/>
  <c r="G146" i="14"/>
  <c r="F146" i="14"/>
  <c r="I144" i="14"/>
  <c r="H144" i="14"/>
  <c r="G144" i="14"/>
  <c r="I140" i="14"/>
  <c r="H140" i="14"/>
  <c r="G140" i="14"/>
  <c r="F140" i="14"/>
  <c r="I138" i="14"/>
  <c r="H138" i="14"/>
  <c r="G138" i="14"/>
  <c r="F138" i="14"/>
  <c r="G120" i="14"/>
  <c r="F120" i="14"/>
  <c r="G119" i="14"/>
  <c r="F119" i="14"/>
  <c r="G117" i="14"/>
  <c r="F117" i="14"/>
  <c r="G113" i="14"/>
  <c r="F113" i="14"/>
  <c r="G111" i="14"/>
  <c r="F111" i="14"/>
  <c r="G86" i="14"/>
  <c r="H86" i="14"/>
  <c r="F86" i="14"/>
  <c r="G59" i="14"/>
  <c r="H59" i="14"/>
  <c r="I59" i="14"/>
  <c r="F59" i="14"/>
  <c r="G58" i="14"/>
  <c r="H58" i="14"/>
  <c r="I58" i="14"/>
  <c r="F58" i="14"/>
  <c r="G85" i="14"/>
  <c r="G91" i="14" s="1"/>
  <c r="H85" i="14"/>
  <c r="F85" i="14"/>
  <c r="F91" i="14" s="1"/>
  <c r="O85" i="29" l="1"/>
  <c r="K85" i="54" s="1"/>
  <c r="X85" i="54" s="1"/>
  <c r="O83" i="29"/>
  <c r="K83" i="54" s="1"/>
  <c r="X83" i="54" s="1"/>
  <c r="O82" i="29"/>
  <c r="K82" i="54" s="1"/>
  <c r="X82" i="54" s="1"/>
  <c r="O84" i="29"/>
  <c r="K84" i="54" s="1"/>
  <c r="X84" i="54" s="1"/>
  <c r="F79" i="14"/>
  <c r="F77" i="14"/>
  <c r="H83" i="14"/>
  <c r="G83" i="14"/>
  <c r="F83" i="14"/>
  <c r="H79" i="14"/>
  <c r="G79" i="14"/>
  <c r="H77" i="14"/>
  <c r="G77" i="14"/>
  <c r="H56" i="14"/>
  <c r="I56" i="14"/>
  <c r="F56" i="14"/>
  <c r="G22" i="14"/>
  <c r="H22" i="14"/>
  <c r="I22" i="14"/>
  <c r="J22" i="14"/>
  <c r="K22" i="14"/>
  <c r="L22" i="14"/>
  <c r="I52" i="14"/>
  <c r="H52" i="14"/>
  <c r="G52" i="14"/>
  <c r="F52" i="14"/>
  <c r="I50" i="14"/>
  <c r="H50" i="14"/>
  <c r="G50" i="14"/>
  <c r="F50" i="14"/>
  <c r="G25" i="14"/>
  <c r="H25" i="14"/>
  <c r="I25" i="14"/>
  <c r="J25" i="14"/>
  <c r="K25" i="14"/>
  <c r="L25" i="14"/>
  <c r="F25" i="14"/>
  <c r="G24" i="14"/>
  <c r="H24" i="14"/>
  <c r="I24" i="14"/>
  <c r="J24" i="14"/>
  <c r="K24" i="14"/>
  <c r="L24" i="14"/>
  <c r="F24" i="14"/>
  <c r="I170" i="17" l="1"/>
  <c r="I171" i="17"/>
  <c r="K20" i="14" s="1"/>
  <c r="I172" i="17"/>
  <c r="L20" i="14" s="1"/>
  <c r="I173" i="17"/>
  <c r="F54" i="14" s="1"/>
  <c r="I174" i="17"/>
  <c r="G54" i="14" s="1"/>
  <c r="I175" i="17"/>
  <c r="H54" i="14" s="1"/>
  <c r="I176" i="17"/>
  <c r="I54" i="14" s="1"/>
  <c r="I177" i="17"/>
  <c r="F81" i="14" s="1"/>
  <c r="I178" i="17"/>
  <c r="G81" i="14" s="1"/>
  <c r="I179" i="17"/>
  <c r="H81" i="14" s="1"/>
  <c r="I180" i="17"/>
  <c r="I181" i="17"/>
  <c r="I182" i="17"/>
  <c r="F115" i="14" s="1"/>
  <c r="I183" i="17"/>
  <c r="I184" i="17"/>
  <c r="G115" i="14" s="1"/>
  <c r="I185" i="17"/>
  <c r="F142" i="14" s="1"/>
  <c r="I186" i="17"/>
  <c r="G142" i="14" s="1"/>
  <c r="I188" i="17"/>
  <c r="I142" i="14" s="1"/>
  <c r="I167" i="17"/>
  <c r="H20" i="14" s="1"/>
  <c r="I168" i="17"/>
  <c r="I20" i="14" s="1"/>
  <c r="I169" i="17"/>
  <c r="J20" i="14" s="1"/>
  <c r="F118" i="17"/>
  <c r="G118" i="17"/>
  <c r="F119" i="17"/>
  <c r="G119" i="17"/>
  <c r="I166" i="17"/>
  <c r="G20" i="14" s="1"/>
  <c r="F20" i="14"/>
  <c r="I187" i="17" l="1"/>
  <c r="H142" i="14" s="1"/>
  <c r="H118" i="17"/>
  <c r="I118" i="17" s="1"/>
  <c r="H119" i="17"/>
  <c r="I119" i="17" s="1"/>
  <c r="D9" i="17" l="1"/>
  <c r="D10" i="17"/>
  <c r="D11" i="17"/>
  <c r="D12" i="17"/>
  <c r="F13" i="14"/>
  <c r="G114" i="17"/>
  <c r="G115" i="17"/>
  <c r="G116" i="17"/>
  <c r="G117" i="17"/>
  <c r="G120" i="17"/>
  <c r="G121" i="17"/>
  <c r="G122" i="17"/>
  <c r="G123" i="17"/>
  <c r="G124" i="17"/>
  <c r="G125" i="17"/>
  <c r="G126" i="17"/>
  <c r="G127" i="17"/>
  <c r="G128" i="17"/>
  <c r="G129" i="17"/>
  <c r="G130" i="17"/>
  <c r="G131" i="17"/>
  <c r="G132" i="17"/>
  <c r="G133" i="17"/>
  <c r="G134" i="17"/>
  <c r="G135" i="17"/>
  <c r="G136" i="17"/>
  <c r="G137" i="17"/>
  <c r="G138" i="17"/>
  <c r="G139" i="17"/>
  <c r="G140" i="17"/>
  <c r="G141" i="17"/>
  <c r="G142" i="17"/>
  <c r="G143" i="17"/>
  <c r="G144" i="17"/>
  <c r="G145" i="17"/>
  <c r="G146" i="17"/>
  <c r="G147" i="17"/>
  <c r="G148" i="17"/>
  <c r="G113" i="17"/>
  <c r="F114" i="17"/>
  <c r="F115" i="17"/>
  <c r="F116" i="17"/>
  <c r="F117" i="17"/>
  <c r="F120" i="17"/>
  <c r="F121" i="17"/>
  <c r="F122" i="17"/>
  <c r="F123" i="17"/>
  <c r="F124" i="17"/>
  <c r="F125" i="17"/>
  <c r="F126" i="17"/>
  <c r="F127" i="17"/>
  <c r="F128" i="17"/>
  <c r="F129" i="17"/>
  <c r="F130" i="17"/>
  <c r="F131" i="17"/>
  <c r="F132" i="17"/>
  <c r="F133" i="17"/>
  <c r="F134" i="17"/>
  <c r="F135" i="17"/>
  <c r="F136" i="17"/>
  <c r="F137" i="17"/>
  <c r="F138" i="17"/>
  <c r="F139" i="17"/>
  <c r="F140" i="17"/>
  <c r="F141" i="17"/>
  <c r="F142" i="17"/>
  <c r="F143" i="17"/>
  <c r="F144" i="17"/>
  <c r="F145" i="17"/>
  <c r="F146" i="17"/>
  <c r="F147" i="17"/>
  <c r="F148" i="17"/>
  <c r="F113" i="17"/>
  <c r="H134" i="17" l="1"/>
  <c r="I134" i="17" s="1"/>
  <c r="H135" i="14"/>
  <c r="G135" i="14"/>
  <c r="I135" i="14"/>
  <c r="F135" i="14"/>
  <c r="F108" i="14"/>
  <c r="G108" i="14"/>
  <c r="H74" i="14"/>
  <c r="F74" i="14"/>
  <c r="G74" i="14"/>
  <c r="G47" i="14"/>
  <c r="H47" i="14"/>
  <c r="I47" i="14"/>
  <c r="F47" i="14"/>
  <c r="H146" i="17"/>
  <c r="I146" i="17" s="1"/>
  <c r="H142" i="17"/>
  <c r="I142" i="17" s="1"/>
  <c r="H138" i="17"/>
  <c r="I138" i="17" s="1"/>
  <c r="H130" i="17"/>
  <c r="H126" i="17"/>
  <c r="I126" i="17" s="1"/>
  <c r="H122" i="17"/>
  <c r="I122" i="17" s="1"/>
  <c r="H114" i="17"/>
  <c r="I114" i="17" s="1"/>
  <c r="H113" i="17"/>
  <c r="I113" i="17" s="1"/>
  <c r="H145" i="17"/>
  <c r="I145" i="17" s="1"/>
  <c r="H141" i="17"/>
  <c r="I141" i="17" s="1"/>
  <c r="H137" i="17"/>
  <c r="H133" i="17"/>
  <c r="I133" i="17" s="1"/>
  <c r="H129" i="17"/>
  <c r="I129" i="17" s="1"/>
  <c r="H125" i="17"/>
  <c r="I125" i="17" s="1"/>
  <c r="H121" i="17"/>
  <c r="I121" i="17" s="1"/>
  <c r="H117" i="17"/>
  <c r="I117" i="17" s="1"/>
  <c r="H148" i="17"/>
  <c r="I148" i="17" s="1"/>
  <c r="H144" i="17"/>
  <c r="I144" i="17" s="1"/>
  <c r="H140" i="17"/>
  <c r="I140" i="17" s="1"/>
  <c r="H136" i="17"/>
  <c r="I136" i="17" s="1"/>
  <c r="H132" i="17"/>
  <c r="I132" i="17" s="1"/>
  <c r="H128" i="17"/>
  <c r="I128" i="17" s="1"/>
  <c r="H124" i="17"/>
  <c r="H120" i="17"/>
  <c r="I120" i="17" s="1"/>
  <c r="H116" i="17"/>
  <c r="I116" i="17" s="1"/>
  <c r="H147" i="17"/>
  <c r="I147" i="17" s="1"/>
  <c r="H143" i="17"/>
  <c r="I143" i="17" s="1"/>
  <c r="H139" i="17"/>
  <c r="I139" i="17" s="1"/>
  <c r="H135" i="17"/>
  <c r="I135" i="17" s="1"/>
  <c r="H131" i="17"/>
  <c r="I131" i="17" s="1"/>
  <c r="H127" i="17"/>
  <c r="I127" i="17" s="1"/>
  <c r="H123" i="17"/>
  <c r="I123" i="17" s="1"/>
  <c r="H115" i="17"/>
  <c r="I115" i="17" s="1"/>
  <c r="I18" i="14"/>
  <c r="J18" i="14"/>
  <c r="K18" i="14"/>
  <c r="L18" i="14"/>
  <c r="G18" i="14"/>
  <c r="H18" i="14"/>
  <c r="F18" i="14"/>
  <c r="I16" i="14"/>
  <c r="J16" i="14"/>
  <c r="K16" i="14"/>
  <c r="L16" i="14"/>
  <c r="G16" i="14"/>
  <c r="H16" i="14"/>
  <c r="F16" i="14"/>
  <c r="L13" i="14"/>
  <c r="G21" i="17"/>
  <c r="G22" i="17"/>
  <c r="Q22" i="17" s="1"/>
  <c r="G23" i="17"/>
  <c r="Q23" i="17" s="1"/>
  <c r="G24" i="17"/>
  <c r="G25" i="17"/>
  <c r="G26" i="17"/>
  <c r="G27" i="17"/>
  <c r="G28" i="17"/>
  <c r="G29" i="17"/>
  <c r="G30" i="17"/>
  <c r="G31" i="17"/>
  <c r="G32" i="17"/>
  <c r="G33" i="17"/>
  <c r="G34" i="17"/>
  <c r="G35" i="17"/>
  <c r="G36" i="17"/>
  <c r="G37" i="17"/>
  <c r="G38" i="17"/>
  <c r="G39" i="17"/>
  <c r="G40" i="17"/>
  <c r="G41" i="17"/>
  <c r="G42" i="17"/>
  <c r="G43" i="17"/>
  <c r="G44" i="17"/>
  <c r="G45" i="17"/>
  <c r="G46" i="17"/>
  <c r="G47" i="17"/>
  <c r="G48" i="17"/>
  <c r="G49" i="17"/>
  <c r="G50" i="17"/>
  <c r="G51" i="17"/>
  <c r="G52" i="17"/>
  <c r="G53" i="17"/>
  <c r="G54" i="17"/>
  <c r="G55" i="17"/>
  <c r="G56" i="17"/>
  <c r="G57" i="17"/>
  <c r="G58" i="17"/>
  <c r="G59" i="17"/>
  <c r="G60" i="17"/>
  <c r="G61" i="17"/>
  <c r="G62" i="17"/>
  <c r="G63" i="17"/>
  <c r="G64" i="17"/>
  <c r="G65" i="17"/>
  <c r="G66" i="17"/>
  <c r="G67" i="17"/>
  <c r="G68" i="17"/>
  <c r="G69" i="17"/>
  <c r="G70" i="17"/>
  <c r="G71" i="17"/>
  <c r="G72" i="17"/>
  <c r="G73" i="17"/>
  <c r="G74" i="17"/>
  <c r="G75" i="17"/>
  <c r="G76" i="17"/>
  <c r="G77" i="17"/>
  <c r="G78" i="17"/>
  <c r="G79" i="17"/>
  <c r="J79" i="17" s="1"/>
  <c r="G80" i="17"/>
  <c r="G81" i="17"/>
  <c r="G82" i="17"/>
  <c r="G83" i="17"/>
  <c r="G84" i="17"/>
  <c r="G85" i="17"/>
  <c r="G86" i="17"/>
  <c r="G87" i="17"/>
  <c r="G88" i="17"/>
  <c r="G89" i="17"/>
  <c r="G90" i="17"/>
  <c r="G91" i="17"/>
  <c r="G92" i="17"/>
  <c r="G93" i="17"/>
  <c r="G94" i="17"/>
  <c r="G95" i="17"/>
  <c r="G20" i="17"/>
  <c r="Q20" i="17" s="1"/>
  <c r="D154" i="17" l="1"/>
  <c r="D158" i="17"/>
  <c r="H137" i="14" s="1"/>
  <c r="Q95" i="17"/>
  <c r="J95" i="17"/>
  <c r="Q94" i="17"/>
  <c r="J94" i="17"/>
  <c r="Q93" i="17"/>
  <c r="J93" i="17"/>
  <c r="Q92" i="17"/>
  <c r="J92" i="17"/>
  <c r="Q91" i="17"/>
  <c r="J91" i="17"/>
  <c r="Q90" i="17"/>
  <c r="J90" i="17"/>
  <c r="Q89" i="17"/>
  <c r="J89" i="17"/>
  <c r="Q88" i="17"/>
  <c r="J88" i="17"/>
  <c r="Q87" i="17"/>
  <c r="J87" i="17"/>
  <c r="Q86" i="17"/>
  <c r="J86" i="17"/>
  <c r="Q85" i="17"/>
  <c r="J85" i="17"/>
  <c r="Q84" i="17"/>
  <c r="J84" i="17"/>
  <c r="Q83" i="17"/>
  <c r="J83" i="17"/>
  <c r="Q82" i="17"/>
  <c r="J82" i="17"/>
  <c r="Q81" i="17"/>
  <c r="J81" i="17"/>
  <c r="Q80" i="17"/>
  <c r="J80" i="17"/>
  <c r="Q79" i="17"/>
  <c r="Q78" i="17"/>
  <c r="J78" i="17"/>
  <c r="Q77" i="17"/>
  <c r="J77" i="17"/>
  <c r="Q76" i="17"/>
  <c r="J76" i="17"/>
  <c r="Q75" i="17"/>
  <c r="J75" i="17"/>
  <c r="Q74" i="17"/>
  <c r="J74" i="17"/>
  <c r="Q73" i="17"/>
  <c r="J73" i="17"/>
  <c r="Q72" i="17"/>
  <c r="J72" i="17"/>
  <c r="Q71" i="17"/>
  <c r="J71" i="17"/>
  <c r="Q70" i="17"/>
  <c r="J70" i="17"/>
  <c r="Q69" i="17"/>
  <c r="J69" i="17"/>
  <c r="Q68" i="17"/>
  <c r="J68" i="17"/>
  <c r="Q67" i="17"/>
  <c r="J67" i="17"/>
  <c r="Q66" i="17"/>
  <c r="J66" i="17"/>
  <c r="Q65" i="17"/>
  <c r="J65" i="17"/>
  <c r="Q64" i="17"/>
  <c r="J64" i="17"/>
  <c r="Q63" i="17"/>
  <c r="J63" i="17"/>
  <c r="Q62" i="17"/>
  <c r="J62" i="17"/>
  <c r="Q61" i="17"/>
  <c r="J61" i="17"/>
  <c r="Q60" i="17"/>
  <c r="J60" i="17"/>
  <c r="Q59" i="17"/>
  <c r="J59" i="17"/>
  <c r="Q58" i="17"/>
  <c r="J58" i="17"/>
  <c r="Q57" i="17"/>
  <c r="J57" i="17"/>
  <c r="Q56" i="17"/>
  <c r="J56" i="17"/>
  <c r="Q55" i="17"/>
  <c r="J55" i="17"/>
  <c r="Q54" i="17"/>
  <c r="J54" i="17"/>
  <c r="Q53" i="17"/>
  <c r="J53" i="17"/>
  <c r="Q52" i="17"/>
  <c r="J52" i="17"/>
  <c r="Q51" i="17"/>
  <c r="J51" i="17"/>
  <c r="Q50" i="17"/>
  <c r="J50" i="17"/>
  <c r="Q49" i="17"/>
  <c r="J49" i="17"/>
  <c r="Q48" i="17"/>
  <c r="J48" i="17"/>
  <c r="Q47" i="17"/>
  <c r="J47" i="17"/>
  <c r="Q46" i="17"/>
  <c r="J46" i="17"/>
  <c r="Q45" i="17"/>
  <c r="J45" i="17"/>
  <c r="Q44" i="17"/>
  <c r="J44" i="17"/>
  <c r="Q43" i="17"/>
  <c r="J43" i="17"/>
  <c r="Q42" i="17"/>
  <c r="J42" i="17"/>
  <c r="Q41" i="17"/>
  <c r="J41" i="17"/>
  <c r="Q40" i="17"/>
  <c r="J40" i="17"/>
  <c r="Q39" i="17"/>
  <c r="J39" i="17"/>
  <c r="Q38" i="17"/>
  <c r="J38" i="17"/>
  <c r="Q37" i="17"/>
  <c r="J37" i="17"/>
  <c r="Q36" i="17"/>
  <c r="J36" i="17"/>
  <c r="Q35" i="17"/>
  <c r="J35" i="17"/>
  <c r="Q34" i="17"/>
  <c r="J34" i="17"/>
  <c r="Q33" i="17"/>
  <c r="J33" i="17"/>
  <c r="Q32" i="17"/>
  <c r="J32" i="17"/>
  <c r="Q31" i="17"/>
  <c r="J31" i="17"/>
  <c r="Q30" i="17"/>
  <c r="J30" i="17"/>
  <c r="Q29" i="17"/>
  <c r="J29" i="17"/>
  <c r="Q28" i="17"/>
  <c r="J28" i="17"/>
  <c r="Q27" i="17"/>
  <c r="J27" i="17"/>
  <c r="Q26" i="17"/>
  <c r="J26" i="17"/>
  <c r="Q25" i="17"/>
  <c r="J25" i="17"/>
  <c r="Q24" i="17"/>
  <c r="J24" i="17"/>
  <c r="J23" i="17"/>
  <c r="J22" i="17"/>
  <c r="Q21" i="17"/>
  <c r="J21" i="17"/>
  <c r="I130" i="17"/>
  <c r="D156" i="17" s="1"/>
  <c r="I137" i="17"/>
  <c r="D157" i="17" s="1"/>
  <c r="I124" i="17"/>
  <c r="D155" i="17" s="1"/>
  <c r="G49" i="14" s="1"/>
  <c r="K13" i="14"/>
  <c r="H13" i="14"/>
  <c r="I13" i="14"/>
  <c r="G13" i="14"/>
  <c r="J13" i="14"/>
  <c r="G137" i="14" l="1"/>
  <c r="F137" i="14"/>
  <c r="I137" i="14"/>
  <c r="D103" i="17"/>
  <c r="D102" i="17"/>
  <c r="D104" i="17"/>
  <c r="D105" i="17"/>
  <c r="G110" i="14"/>
  <c r="F110" i="14"/>
  <c r="H49" i="14"/>
  <c r="I49" i="14"/>
  <c r="F49" i="14"/>
  <c r="G76" i="14"/>
  <c r="H76" i="14"/>
  <c r="F76" i="14"/>
  <c r="E102" i="17" l="1"/>
  <c r="I48" i="14" s="1"/>
  <c r="I53" i="14" s="1"/>
  <c r="I55" i="14" s="1"/>
  <c r="I57" i="14" s="1"/>
  <c r="I63" i="14" s="1"/>
  <c r="H61" i="54" s="1"/>
  <c r="U61" i="54" s="1"/>
  <c r="E103" i="17"/>
  <c r="E104" i="17"/>
  <c r="E105" i="17"/>
  <c r="F136" i="14" s="1"/>
  <c r="F141" i="14" l="1"/>
  <c r="F143" i="14" s="1"/>
  <c r="F145" i="14" s="1"/>
  <c r="I64" i="14"/>
  <c r="I65" i="14" s="1"/>
  <c r="G61" i="54" s="1"/>
  <c r="T61" i="54" s="1"/>
  <c r="F48" i="14"/>
  <c r="F53" i="14" s="1"/>
  <c r="H48" i="14"/>
  <c r="H53" i="14" s="1"/>
  <c r="H55" i="14" s="1"/>
  <c r="H57" i="14" s="1"/>
  <c r="H63" i="14" s="1"/>
  <c r="H60" i="54" s="1"/>
  <c r="U60" i="54" s="1"/>
  <c r="G136" i="14"/>
  <c r="G141" i="14" s="1"/>
  <c r="G143" i="14" s="1"/>
  <c r="G145" i="14" s="1"/>
  <c r="G151" i="14" s="1"/>
  <c r="H153" i="54" s="1"/>
  <c r="G75" i="14"/>
  <c r="G80" i="14" s="1"/>
  <c r="G82" i="14" s="1"/>
  <c r="G84" i="14" s="1"/>
  <c r="F75" i="14"/>
  <c r="F80" i="14" s="1"/>
  <c r="F82" i="14" s="1"/>
  <c r="H75" i="14"/>
  <c r="H80" i="14" s="1"/>
  <c r="H82" i="14" s="1"/>
  <c r="G48" i="14"/>
  <c r="G53" i="14" s="1"/>
  <c r="G55" i="14" s="1"/>
  <c r="G57" i="14" s="1"/>
  <c r="G63" i="14" s="1"/>
  <c r="H59" i="54" s="1"/>
  <c r="U59" i="54" s="1"/>
  <c r="H136" i="14"/>
  <c r="H141" i="14" s="1"/>
  <c r="H143" i="14" s="1"/>
  <c r="H145" i="14" s="1"/>
  <c r="H151" i="14" s="1"/>
  <c r="H154" i="54" s="1"/>
  <c r="I136" i="14"/>
  <c r="I141" i="14" s="1"/>
  <c r="I143" i="14" s="1"/>
  <c r="I145" i="14" s="1"/>
  <c r="I151" i="14" s="1"/>
  <c r="H155" i="54" s="1"/>
  <c r="F109" i="14"/>
  <c r="F114" i="14" s="1"/>
  <c r="F116" i="14" s="1"/>
  <c r="F118" i="14" s="1"/>
  <c r="F124" i="14" s="1"/>
  <c r="G109" i="14"/>
  <c r="G114" i="14" s="1"/>
  <c r="G116" i="14" s="1"/>
  <c r="G118" i="14" s="1"/>
  <c r="G124" i="14" s="1"/>
  <c r="H124" i="54" s="1"/>
  <c r="U124" i="54" s="1"/>
  <c r="J15" i="14"/>
  <c r="H122" i="54" l="1"/>
  <c r="U122" i="54" s="1"/>
  <c r="F125" i="14"/>
  <c r="F151" i="14"/>
  <c r="F152" i="14" s="1"/>
  <c r="F153" i="14" s="1"/>
  <c r="G152" i="54" s="1"/>
  <c r="G64" i="14"/>
  <c r="G152" i="14"/>
  <c r="G153" i="14" s="1"/>
  <c r="G153" i="54" s="1"/>
  <c r="G125" i="14"/>
  <c r="G126" i="14" s="1"/>
  <c r="G124" i="54" s="1"/>
  <c r="T124" i="54" s="1"/>
  <c r="I152" i="14"/>
  <c r="I153" i="14" s="1"/>
  <c r="G155" i="54" s="1"/>
  <c r="H64" i="14"/>
  <c r="H65" i="14" s="1"/>
  <c r="G60" i="54" s="1"/>
  <c r="T60" i="54" s="1"/>
  <c r="H152" i="14"/>
  <c r="H153" i="14" s="1"/>
  <c r="G154" i="54" s="1"/>
  <c r="F126" i="14"/>
  <c r="G122" i="54" s="1"/>
  <c r="T122" i="54" s="1"/>
  <c r="F84" i="14"/>
  <c r="H84" i="14"/>
  <c r="H90" i="14" s="1"/>
  <c r="L15" i="14"/>
  <c r="K15" i="14"/>
  <c r="I15" i="14"/>
  <c r="F15" i="14"/>
  <c r="H15" i="14"/>
  <c r="G15" i="14"/>
  <c r="F55" i="14"/>
  <c r="F57" i="14" s="1"/>
  <c r="H152" i="54" l="1"/>
  <c r="F63" i="14"/>
  <c r="H58" i="54" s="1"/>
  <c r="U58" i="54" s="1"/>
  <c r="G65" i="14"/>
  <c r="G59" i="54" s="1"/>
  <c r="T59" i="54" s="1"/>
  <c r="H91" i="14"/>
  <c r="H92" i="14" s="1"/>
  <c r="G94" i="54" s="1"/>
  <c r="H94" i="54"/>
  <c r="F64" i="14" l="1"/>
  <c r="F65" i="14" s="1"/>
  <c r="G58" i="54" s="1"/>
  <c r="T58" i="54" s="1"/>
  <c r="J20" i="17" l="1"/>
  <c r="D101" i="17" s="1"/>
  <c r="E101" i="17" s="1"/>
  <c r="K14" i="14" l="1"/>
  <c r="K19" i="14" s="1"/>
  <c r="K21" i="14" s="1"/>
  <c r="K23" i="14" s="1"/>
  <c r="K29" i="14" s="1"/>
  <c r="L14" i="14"/>
  <c r="L19" i="14" s="1"/>
  <c r="L21" i="14" s="1"/>
  <c r="L23" i="14" s="1"/>
  <c r="L29" i="14" s="1"/>
  <c r="G14" i="14"/>
  <c r="G19" i="14" s="1"/>
  <c r="G21" i="14" s="1"/>
  <c r="G23" i="14" s="1"/>
  <c r="G29" i="14" s="1"/>
  <c r="H14" i="14"/>
  <c r="H19" i="14" s="1"/>
  <c r="H21" i="14" s="1"/>
  <c r="H23" i="14" s="1"/>
  <c r="H29" i="14" s="1"/>
  <c r="I14" i="14"/>
  <c r="I19" i="14" s="1"/>
  <c r="I21" i="14" s="1"/>
  <c r="I23" i="14" s="1"/>
  <c r="I29" i="14" s="1"/>
  <c r="F14" i="14"/>
  <c r="F19" i="14" s="1"/>
  <c r="F21" i="14" s="1"/>
  <c r="F23" i="14" s="1"/>
  <c r="F29" i="14" s="1"/>
  <c r="J14" i="14"/>
  <c r="J19" i="14" s="1"/>
  <c r="J21" i="14" s="1"/>
  <c r="J23" i="14" s="1"/>
  <c r="J30" i="14" s="1"/>
  <c r="H30" i="14" l="1"/>
  <c r="H14" i="54"/>
  <c r="U14" i="54" s="1"/>
  <c r="G30" i="14"/>
  <c r="H13" i="54"/>
  <c r="U13" i="54" s="1"/>
  <c r="L30" i="14"/>
  <c r="H18" i="54"/>
  <c r="U18" i="54" s="1"/>
  <c r="I30" i="14"/>
  <c r="H15" i="54"/>
  <c r="U15" i="54" s="1"/>
  <c r="K30" i="14"/>
  <c r="H17" i="54"/>
  <c r="U17" i="54" s="1"/>
  <c r="F30" i="14"/>
  <c r="H12" i="54"/>
  <c r="U12" i="54" s="1"/>
  <c r="F31" i="14" l="1"/>
  <c r="G12" i="54" s="1"/>
  <c r="T12" i="54" s="1"/>
  <c r="I31" i="14"/>
  <c r="G15" i="54" s="1"/>
  <c r="T15" i="54" s="1"/>
  <c r="G31" i="14"/>
  <c r="G13" i="54" s="1"/>
  <c r="T13" i="54" s="1"/>
  <c r="K31" i="14"/>
  <c r="G17" i="54" s="1"/>
  <c r="T17" i="54" s="1"/>
  <c r="L31" i="14"/>
  <c r="G18" i="54" s="1"/>
  <c r="T18" i="54" s="1"/>
  <c r="H31" i="14"/>
  <c r="G14" i="54" s="1"/>
  <c r="T14" i="54" s="1"/>
</calcChain>
</file>

<file path=xl/sharedStrings.xml><?xml version="1.0" encoding="utf-8"?>
<sst xmlns="http://schemas.openxmlformats.org/spreadsheetml/2006/main" count="8637" uniqueCount="620">
  <si>
    <t>Cover</t>
  </si>
  <si>
    <t>Workbook title:</t>
  </si>
  <si>
    <t>Enhanced Outcome Delivery Incentives</t>
  </si>
  <si>
    <t>Version:</t>
  </si>
  <si>
    <t>Final Determination</t>
  </si>
  <si>
    <t>Filename:</t>
  </si>
  <si>
    <t>Enhanced ODI rates</t>
  </si>
  <si>
    <t>Date:</t>
  </si>
  <si>
    <t>Author:</t>
  </si>
  <si>
    <t>Ofwat</t>
  </si>
  <si>
    <t>Author contact information:</t>
  </si>
  <si>
    <t>PR19@ofwat.gov.uk</t>
  </si>
  <si>
    <t>Summary of workbook:</t>
  </si>
  <si>
    <t xml:space="preserve">This workbook sets out the calculations to determine enhanced outcome delivery incentive (ODI) thresholds and rates for the </t>
  </si>
  <si>
    <t xml:space="preserve">performance commitments proposed by certain companies for enhanced ODIs - water supply interruptions, pollution incidents, </t>
  </si>
  <si>
    <t xml:space="preserve">internal sewer flooding, per capita consumption and leakage. </t>
  </si>
  <si>
    <t>Known limitations:</t>
  </si>
  <si>
    <t>n/a</t>
  </si>
  <si>
    <t>Instructions:</t>
  </si>
  <si>
    <t xml:space="preserve">Please refer to the tab "Guidance for user" for an explanation of the structure of this workbook. </t>
  </si>
  <si>
    <t>Feedback:</t>
  </si>
  <si>
    <t>We would welcome feedback on this workbook. Please send any feedback to the following email address:</t>
  </si>
  <si>
    <t>END OF SHEET</t>
  </si>
  <si>
    <t>CELL / ROW / COLUMN COLOUR</t>
  </si>
  <si>
    <t>FONT</t>
  </si>
  <si>
    <t>FILL</t>
  </si>
  <si>
    <t>Font colour</t>
  </si>
  <si>
    <t>Blue text (no shade)</t>
  </si>
  <si>
    <t>Imported from another sheet/section</t>
  </si>
  <si>
    <t>Arial 10 pt – second blue 100%</t>
  </si>
  <si>
    <t>(R = 0, G = 120, B = 201)</t>
  </si>
  <si>
    <t>Red text (no shade)</t>
  </si>
  <si>
    <t>Exported to another sheet/section *</t>
  </si>
  <si>
    <t>Arial 10 pt – Ofwat red 100%</t>
  </si>
  <si>
    <t>(R = 254, G = 72, B = 25)</t>
  </si>
  <si>
    <t>Black text (no shade)</t>
  </si>
  <si>
    <t>Neither imported nor exported</t>
  </si>
  <si>
    <t>Arial 10 pt – black</t>
  </si>
  <si>
    <t>* Except from input sheets (sheets with 'Inp' prefix)</t>
  </si>
  <si>
    <t>* Except to track sheet</t>
  </si>
  <si>
    <t>Green (no shade)</t>
  </si>
  <si>
    <t>Documentation</t>
  </si>
  <si>
    <t>Arial 10 pt – Ofwat green 100%</t>
  </si>
  <si>
    <t>(R = 113, G = 149, B = 0)</t>
  </si>
  <si>
    <t>Font and shade combinations</t>
  </si>
  <si>
    <t>Black text + light yellow shade</t>
  </si>
  <si>
    <t>Inputs</t>
  </si>
  <si>
    <t>Ofwat yellow 25%</t>
  </si>
  <si>
    <t>(R = 252, G = 234, B = 191)</t>
  </si>
  <si>
    <t>Black text + light grey shade on ENTIRE row</t>
  </si>
  <si>
    <t xml:space="preserve">Within-worksheet counter-flow </t>
  </si>
  <si>
    <t>Ofwat grey (25%)</t>
  </si>
  <si>
    <t>(R = 224, G = 220, B = 216)</t>
  </si>
  <si>
    <t>Blue text + light grey shade</t>
  </si>
  <si>
    <t xml:space="preserve">Between-worksheet counter-flow </t>
  </si>
  <si>
    <t>Light turquoise</t>
  </si>
  <si>
    <t>Stored/dead/hard coded outputs</t>
  </si>
  <si>
    <t>Second blue 50%</t>
  </si>
  <si>
    <t>(R = 127, G = 187, B = 228)</t>
  </si>
  <si>
    <t>White text (Franklin Gothic Demi) + purple shade</t>
  </si>
  <si>
    <t>Warning text</t>
  </si>
  <si>
    <t>Franklin Gothic Demi 10 pt – white</t>
  </si>
  <si>
    <t>Ofwat purple 75%</t>
  </si>
  <si>
    <t>(R = 215, G = 64, B = 162)</t>
  </si>
  <si>
    <t>Conditional formatting for error checks*</t>
  </si>
  <si>
    <t>Arial 10 pt – white</t>
  </si>
  <si>
    <t>Ofwat green 75%</t>
  </si>
  <si>
    <t>(R = 149, G = 176, B = 64)</t>
  </si>
  <si>
    <t>* returns green when value is zero. For all other values it returns red</t>
  </si>
  <si>
    <t>Other</t>
  </si>
  <si>
    <t>Empty cell with light grey shade</t>
  </si>
  <si>
    <t>Empty cells being referenced/used</t>
  </si>
  <si>
    <t>Entire row/column with blue text + light blue shade</t>
  </si>
  <si>
    <t>Section separator</t>
  </si>
  <si>
    <t>Franklin Gothic Demi 10 pt – second blue 100%</t>
  </si>
  <si>
    <t>Second blue (25%)</t>
  </si>
  <si>
    <t>(R = 191, G = 221, B = 241)</t>
  </si>
  <si>
    <t>Entire row with white text + blue shade</t>
  </si>
  <si>
    <t>End of sheet</t>
  </si>
  <si>
    <t>Core blue 100%</t>
  </si>
  <si>
    <t>(R = 0, G = 52, B = 121)</t>
  </si>
  <si>
    <t>Checks and administration</t>
  </si>
  <si>
    <t>Yellow shade</t>
  </si>
  <si>
    <t>Values or logic to be reviewed/discussed</t>
  </si>
  <si>
    <t>Bright yellow</t>
  </si>
  <si>
    <t>(R = 255, G = 255, B = 0)</t>
  </si>
  <si>
    <t>WORKSHEET TAB COLOUR CODING</t>
  </si>
  <si>
    <t>Ofwat yellow – 25%</t>
  </si>
  <si>
    <t>Input sheets</t>
  </si>
  <si>
    <t>Ofwat grey – 25%</t>
  </si>
  <si>
    <t>Documentation and calculation cheets</t>
  </si>
  <si>
    <t>Second blue – 50%</t>
  </si>
  <si>
    <t>Cached results sheets</t>
  </si>
  <si>
    <t>Ofwat purple – 75%</t>
  </si>
  <si>
    <t>Quality control</t>
  </si>
  <si>
    <t>Ofwat yellow – 100%</t>
  </si>
  <si>
    <t>Temporary</t>
  </si>
  <si>
    <t>Ofwat yellow 100%</t>
  </si>
  <si>
    <t>(R = 244, G = 170, B = 0)</t>
  </si>
  <si>
    <t>Ofwat green – 75%</t>
  </si>
  <si>
    <t>Outputs</t>
  </si>
  <si>
    <t>Guidance for user</t>
  </si>
  <si>
    <t>Guide to the sheets in this workbook</t>
  </si>
  <si>
    <t>This workbook is structure as follows:</t>
  </si>
  <si>
    <t>Section</t>
  </si>
  <si>
    <t>Worksheet</t>
  </si>
  <si>
    <t>Description</t>
  </si>
  <si>
    <t>FD rates and thresholds</t>
  </si>
  <si>
    <t xml:space="preserve">Sets out the final determination enhanced outperformance and underperformance ODI rates and thresholds, and enhanced collars. </t>
  </si>
  <si>
    <t>Calculations_rates</t>
  </si>
  <si>
    <t>Benchmarking externality inputs</t>
  </si>
  <si>
    <t xml:space="preserve">Calculates a number of the inputs to the benchmarking externality, which are used in setting enhanced ODI rates. </t>
  </si>
  <si>
    <t>Rates</t>
  </si>
  <si>
    <t xml:space="preserve">Calculates final determination enhanced ODI rates. </t>
  </si>
  <si>
    <t>Calculations_thresholds</t>
  </si>
  <si>
    <t>Thresholds_Pollution</t>
  </si>
  <si>
    <t xml:space="preserve">Calculates final determination enhanced outperformance and underperformance thresholds, and underperformance collars. </t>
  </si>
  <si>
    <t>Thresholds_ISF</t>
  </si>
  <si>
    <t>Thresholds_PCC</t>
  </si>
  <si>
    <t>Thresholds_WaterSupply</t>
  </si>
  <si>
    <t>Thresholds_Leakage</t>
  </si>
  <si>
    <t>Frontier shift</t>
  </si>
  <si>
    <t xml:space="preserve">Calculates the frontier shift for per capita consumption, which is applied to other performance commitments as part of the calculation of outperformance thresholds. </t>
  </si>
  <si>
    <t>Assumptions</t>
  </si>
  <si>
    <t xml:space="preserve">Sets out our key assumptions in calculations of the benchmarking externality and enhanced thresholds. </t>
  </si>
  <si>
    <t>Company data</t>
  </si>
  <si>
    <t xml:space="preserve">Sets out key company data (i.e. household properties and length of mains) required to normalise data and calculate the benchmarking externality. </t>
  </si>
  <si>
    <t>Standard ODI rates</t>
  </si>
  <si>
    <t xml:space="preserve">Sets out final determination standard underperformance and outperformance ODI rates. </t>
  </si>
  <si>
    <t>Proposed enhanced ODI rates</t>
  </si>
  <si>
    <t xml:space="preserve">Sets out enhanced ODI rates as proposed in company business plans. </t>
  </si>
  <si>
    <t>Proposed thresholds</t>
  </si>
  <si>
    <t xml:space="preserve">Sets out enhanced thresholds as proposed in company business plans. </t>
  </si>
  <si>
    <t>Proposed PCLs</t>
  </si>
  <si>
    <t xml:space="preserve">Sets out performance commitment levels as proposed in company business plans. </t>
  </si>
  <si>
    <t>Past performance</t>
  </si>
  <si>
    <t xml:space="preserve">Sets out past performance data. </t>
  </si>
  <si>
    <t>WTP metadata</t>
  </si>
  <si>
    <t xml:space="preserve">Sets out willingness to pay meta data required to calculate the benchmarking externality. </t>
  </si>
  <si>
    <t>Early certainty</t>
  </si>
  <si>
    <t xml:space="preserve">Sets out enhanced ODI rates and collars for companies with early certainty, as determined at fast track draft determination in April 2019. </t>
  </si>
  <si>
    <t>F_inputs</t>
  </si>
  <si>
    <t xml:space="preserve">Sets out data downloaded from Fountain. </t>
  </si>
  <si>
    <t xml:space="preserve">Final determination enhanced ODI rates and thresholds </t>
  </si>
  <si>
    <t xml:space="preserve">This sheet sets out the final determination enhanced ODI rates, thresholds and collars. </t>
  </si>
  <si>
    <t>Standard units</t>
  </si>
  <si>
    <t>Company-specific units</t>
  </si>
  <si>
    <t>Leakage</t>
  </si>
  <si>
    <t>Unit conversion data</t>
  </si>
  <si>
    <t>Unique ID</t>
  </si>
  <si>
    <t>Company</t>
  </si>
  <si>
    <t>Units</t>
  </si>
  <si>
    <t>Underperformance</t>
  </si>
  <si>
    <t>Outperformance</t>
  </si>
  <si>
    <t>2019/20 forecast (3 year average)</t>
  </si>
  <si>
    <t>1% reduction</t>
  </si>
  <si>
    <t>PR19ANH_5</t>
  </si>
  <si>
    <t>ANH</t>
  </si>
  <si>
    <t>£m / Ml/d</t>
  </si>
  <si>
    <t>£m / % reduction from 3 year average baseline</t>
  </si>
  <si>
    <t>PR19NES_COM05</t>
  </si>
  <si>
    <t>NES (NW)</t>
  </si>
  <si>
    <t>PR19NES_COM06</t>
  </si>
  <si>
    <t>NES (ESW)</t>
  </si>
  <si>
    <t>PR19SES_C.4</t>
  </si>
  <si>
    <t>SES</t>
  </si>
  <si>
    <t>PR19SWB_PC C2</t>
  </si>
  <si>
    <t>SWB</t>
  </si>
  <si>
    <t>PR19WSX_W1</t>
  </si>
  <si>
    <t>WSX</t>
  </si>
  <si>
    <t>PR19YKY_22</t>
  </si>
  <si>
    <t>YKY</t>
  </si>
  <si>
    <t>Enhanced underperformance collar</t>
  </si>
  <si>
    <t>Source: PCL Leakage calculations</t>
  </si>
  <si>
    <t>2020-21</t>
  </si>
  <si>
    <t>2021-22</t>
  </si>
  <si>
    <t>2022-23</t>
  </si>
  <si>
    <t>2023-24</t>
  </si>
  <si>
    <t>2024-25</t>
  </si>
  <si>
    <t>Ml/d</t>
  </si>
  <si>
    <t>% reduction from 3 year average baseline</t>
  </si>
  <si>
    <t>Enhanced underperformance threshold</t>
  </si>
  <si>
    <t>Enhanced outperformance threshold</t>
  </si>
  <si>
    <t>Pollution incidents</t>
  </si>
  <si>
    <t>Sewer length (km)</t>
  </si>
  <si>
    <t>PR19NES_COM09</t>
  </si>
  <si>
    <t>NES</t>
  </si>
  <si>
    <t>£m / Incident per 10,000km sewer</t>
  </si>
  <si>
    <t xml:space="preserve">£m / Incident </t>
  </si>
  <si>
    <t>PR19UUW_C01-WWN</t>
  </si>
  <si>
    <t>UUW</t>
  </si>
  <si>
    <t>PR19WSX_E2</t>
  </si>
  <si>
    <t>PR19YKY_30</t>
  </si>
  <si>
    <t xml:space="preserve">Source: Fountain </t>
  </si>
  <si>
    <t>Incidents per 10,000km sewer</t>
  </si>
  <si>
    <t>Number of incidents</t>
  </si>
  <si>
    <t>Internal sewer flooding</t>
  </si>
  <si>
    <t>PR19SVE_F01</t>
  </si>
  <si>
    <t>SVE</t>
  </si>
  <si>
    <t>£m / Incident per 10,000 connections</t>
  </si>
  <si>
    <t>PR19SWB_PC B1</t>
  </si>
  <si>
    <t>PR19WSX_F1</t>
  </si>
  <si>
    <t>Incidents per 10,000 connections</t>
  </si>
  <si>
    <t>Per capita consumption</t>
  </si>
  <si>
    <t>PR19SRN_WR01</t>
  </si>
  <si>
    <t>SRN</t>
  </si>
  <si>
    <t>£m / L/h/d</t>
  </si>
  <si>
    <t>PR19WSX_W2</t>
  </si>
  <si>
    <t>PR19YKY_25</t>
  </si>
  <si>
    <t>Source: PCL per capital consumption calculations</t>
  </si>
  <si>
    <t>L/h/d</t>
  </si>
  <si>
    <t>Water supply interruptions</t>
  </si>
  <si>
    <t>PR19NES_COM04</t>
  </si>
  <si>
    <t>£m / minute</t>
  </si>
  <si>
    <t>PR19SES_A.1</t>
  </si>
  <si>
    <t>PR19WSX_R1</t>
  </si>
  <si>
    <t>PR19YKY_21</t>
  </si>
  <si>
    <t>Minutes</t>
  </si>
  <si>
    <t xml:space="preserve">This sheet calculates a number of the inputs which are used to quanitify the benefit to all customers when a company delivers excellent performance that will improve sector benchmarks and push the sector forward in the next price control period, i.e. the benchmarking externality. </t>
  </si>
  <si>
    <t>A. Impact of enhanced outperformance in AMP7 on PC stretch benchmarks in AMP8</t>
  </si>
  <si>
    <t>Performance commitment</t>
  </si>
  <si>
    <t>Value</t>
  </si>
  <si>
    <t>B. Industry average HH valuation for outperformance</t>
  </si>
  <si>
    <t>DATA REQUIRED FOR CALCULATION</t>
  </si>
  <si>
    <t>Unit</t>
  </si>
  <si>
    <t>Outperformance rate £m / unit</t>
  </si>
  <si>
    <t>Outperformance rate £ / hh/ unit</t>
  </si>
  <si>
    <t>Households</t>
  </si>
  <si>
    <t>Total number</t>
  </si>
  <si>
    <t>Weights</t>
  </si>
  <si>
    <t>PR19AFW_W-B1</t>
  </si>
  <si>
    <t>AFW</t>
  </si>
  <si>
    <t>£ / hh / Ml/d</t>
  </si>
  <si>
    <t>Water</t>
  </si>
  <si>
    <t>PR19BRL_PC18</t>
  </si>
  <si>
    <t>BRL</t>
  </si>
  <si>
    <t>PR19HDD_B2</t>
  </si>
  <si>
    <t>HDD</t>
  </si>
  <si>
    <t>PR19PRT_PRT-Network Plus-07</t>
  </si>
  <si>
    <t>PRT</t>
  </si>
  <si>
    <t>PR19SEW_D.1</t>
  </si>
  <si>
    <t>SEW</t>
  </si>
  <si>
    <t>PR19SRN_WN04</t>
  </si>
  <si>
    <t>PR19SSC_C1</t>
  </si>
  <si>
    <t>SSC (South Staffs)</t>
  </si>
  <si>
    <t>PR19SSC_C2</t>
  </si>
  <si>
    <t>SSC (Cambridge)</t>
  </si>
  <si>
    <t>PR19SVE_G02</t>
  </si>
  <si>
    <t>PR19TMS_BW04</t>
  </si>
  <si>
    <t>TMS</t>
  </si>
  <si>
    <t>PR19UUW_B01-WN</t>
  </si>
  <si>
    <t>PR19WSH_En4</t>
  </si>
  <si>
    <t>WSH</t>
  </si>
  <si>
    <t>PR19ANH_8</t>
  </si>
  <si>
    <t>£m / incidents per 10,000km sewer</t>
  </si>
  <si>
    <t>£ / hh / incidents per 10,000km sewer</t>
  </si>
  <si>
    <t>Wastewater</t>
  </si>
  <si>
    <t>PR19HDD_E2</t>
  </si>
  <si>
    <t>PR19SRN_WWN02</t>
  </si>
  <si>
    <t>PR19SVE_F02</t>
  </si>
  <si>
    <t>PR19SWB_PC F1</t>
  </si>
  <si>
    <t>PR19TMS_ES01</t>
  </si>
  <si>
    <t>PR19WSH_En3</t>
  </si>
  <si>
    <t>PR19ANH_7</t>
  </si>
  <si>
    <t>£m / incidents per 10,000 connections</t>
  </si>
  <si>
    <t>PR19HDD_E1</t>
  </si>
  <si>
    <t>PR19NES_COM08</t>
  </si>
  <si>
    <t>PR19SRN_WWN01</t>
  </si>
  <si>
    <t>PR19TMS_CS03</t>
  </si>
  <si>
    <t>PR19UUW_G02-WWN</t>
  </si>
  <si>
    <t>PR19WSH_Rt1</t>
  </si>
  <si>
    <t>PR19YKY_31</t>
  </si>
  <si>
    <t>PR19AFW_R-B1</t>
  </si>
  <si>
    <t>£ / hh / L/h/d</t>
  </si>
  <si>
    <t>PR19ANH_6</t>
  </si>
  <si>
    <t>PR19BRL_PC19</t>
  </si>
  <si>
    <t>PR19HDD_B3</t>
  </si>
  <si>
    <t>PR19NES_COM07</t>
  </si>
  <si>
    <t>PR19PRT_PRT-Water Resources 03</t>
  </si>
  <si>
    <t>PR19SES_E.1</t>
  </si>
  <si>
    <t>PR19SEW_E.1</t>
  </si>
  <si>
    <t>PR19SSC_C3</t>
  </si>
  <si>
    <t>PR19SSC_C4</t>
  </si>
  <si>
    <t>PR19SVE_G03</t>
  </si>
  <si>
    <t>PR19SWB_PC C3</t>
  </si>
  <si>
    <t>PR19TMS_BW05</t>
  </si>
  <si>
    <t>PR19UUW_B05-WN</t>
  </si>
  <si>
    <t>PR19WSH_En5</t>
  </si>
  <si>
    <t>PR19AFW_W-D1</t>
  </si>
  <si>
    <t>£ / hh / minute</t>
  </si>
  <si>
    <t>PR19ANH_4</t>
  </si>
  <si>
    <t>PR19BRL_PC02</t>
  </si>
  <si>
    <t>PR19HDD_B1</t>
  </si>
  <si>
    <t>PR19PRT_PRT-Network Plus-02</t>
  </si>
  <si>
    <t>PR19SEW_B.1</t>
  </si>
  <si>
    <t>PR19SRN_WN03</t>
  </si>
  <si>
    <t>PR19SSC_D2</t>
  </si>
  <si>
    <t>SSC</t>
  </si>
  <si>
    <t>PR19SVE_G01</t>
  </si>
  <si>
    <t>PR19SWB_PC A2</t>
  </si>
  <si>
    <t>PR19TMS_BW03</t>
  </si>
  <si>
    <t>PR19UUW_B03-WN</t>
  </si>
  <si>
    <t>PR19WSH_Wt2</t>
  </si>
  <si>
    <t xml:space="preserve">CALCULATION OF INDUSTRY AVERAGE HOUSEHOLD VALUATION OF OUTPERFORMANCE </t>
  </si>
  <si>
    <t>Average outperformance rate (FD)</t>
  </si>
  <si>
    <t>Average HH valuation</t>
  </si>
  <si>
    <t>C. Downward adjustment to valuation to account for diminishing returns to large increments of performance</t>
  </si>
  <si>
    <t>WTP +1 service increment</t>
  </si>
  <si>
    <t>WTP +2 service increment</t>
  </si>
  <si>
    <t>Ratio</t>
  </si>
  <si>
    <t>Ratio - complete</t>
  </si>
  <si>
    <t>Leakage_WSX_1</t>
  </si>
  <si>
    <t>Leakage_WSX_2</t>
  </si>
  <si>
    <t>Pollution_WSH_1</t>
  </si>
  <si>
    <t>Pollution_WSH_2</t>
  </si>
  <si>
    <t>ISF_WSX_1</t>
  </si>
  <si>
    <t>ISF_WSX_2</t>
  </si>
  <si>
    <t>PCC_WSX_1</t>
  </si>
  <si>
    <t>PCC_WSX_2</t>
  </si>
  <si>
    <t>PCC_WSX_3</t>
  </si>
  <si>
    <t>CALCULATION OF WEIGHTED AVERAGE</t>
  </si>
  <si>
    <t>Weighted average</t>
  </si>
  <si>
    <t>H. Distributional adjustment factor</t>
  </si>
  <si>
    <t xml:space="preserve">Households total </t>
  </si>
  <si>
    <t>Company / average</t>
  </si>
  <si>
    <t>Distributional adjustment factor</t>
  </si>
  <si>
    <t>Calculating benchmarking externality and ODI rates</t>
  </si>
  <si>
    <t xml:space="preserve">This sheet quantifies the benefit to all customers when a company delivers excellent performance that will improve sector benchmarks and push the sector forward in the next price control period, i.e. the benchmarking externality. </t>
  </si>
  <si>
    <t>For further details of our approach to determining enhanced ODI rates, please refer to 'PR19 final determinations: Delivering outcomes for customers policy appendix - Annex 3'.</t>
  </si>
  <si>
    <t xml:space="preserve">Where a company has early certainty, rates remain as set at fast track determination in April 2019. </t>
  </si>
  <si>
    <t>CALCULATING THE BENCHMARKING EXTERNALITY</t>
  </si>
  <si>
    <t>A</t>
  </si>
  <si>
    <t>Impact of enhanced outperformance in AMP7 on PC stretch benchmarks in AMP8</t>
  </si>
  <si>
    <t>B</t>
  </si>
  <si>
    <t>Industry average HH valuation for outperformance</t>
  </si>
  <si>
    <t>C</t>
  </si>
  <si>
    <t>Downward adjustment to valuation to account for diminishing returns to large increments of performance</t>
  </si>
  <si>
    <t>D</t>
  </si>
  <si>
    <t>Discount for delay in benefits being accrued</t>
  </si>
  <si>
    <t>E</t>
  </si>
  <si>
    <t>Number of households to which AMP8 benchmarking externality accrues</t>
  </si>
  <si>
    <t>F</t>
  </si>
  <si>
    <t>Calibration for cost performance incentives</t>
  </si>
  <si>
    <t>G</t>
  </si>
  <si>
    <t>Estimated value of benchmarking externality = (A*B*C*D*E*F) / million</t>
  </si>
  <si>
    <t>H</t>
  </si>
  <si>
    <t>I</t>
  </si>
  <si>
    <t>Enhanced component of enhanced ODI rate = G*H</t>
  </si>
  <si>
    <t>£m / Mld</t>
  </si>
  <si>
    <t>J</t>
  </si>
  <si>
    <t>Standard ODI rate</t>
  </si>
  <si>
    <t>K</t>
  </si>
  <si>
    <t>Enhanced ODI rate = I + J</t>
  </si>
  <si>
    <t>L</t>
  </si>
  <si>
    <t>Company proposed outperformance enhanced ODI rate</t>
  </si>
  <si>
    <t>M</t>
  </si>
  <si>
    <t xml:space="preserve">Company proposed underperformance enhanced ODI rate </t>
  </si>
  <si>
    <t>INTERVENTION</t>
  </si>
  <si>
    <t>Enhanced rate - outperformance</t>
  </si>
  <si>
    <t>Intervention</t>
  </si>
  <si>
    <t>Enhanced rate - underperformance</t>
  </si>
  <si>
    <t>EARLY CERTAINTY</t>
  </si>
  <si>
    <t>SWB has early certainty for leakage. Its rates were agreed at fast track draft determination in April 2019 and are as follows:</t>
  </si>
  <si>
    <t>SVE and SWB have early certainty for internal sewer flooding. Their rates were agreed in the fast track draft determinations in April 2019 and are as follows:</t>
  </si>
  <si>
    <t>Out</t>
  </si>
  <si>
    <t>Under</t>
  </si>
  <si>
    <t>£m / minutes</t>
  </si>
  <si>
    <t xml:space="preserve">For further details of our approach to calculating enhanced ODI thresholds, please refer to 'PR19 final determinations: Delivering outcomes for customers policy appendix'. </t>
  </si>
  <si>
    <t>Calculating thresholds</t>
  </si>
  <si>
    <t>PAST PERFORMANCE AND PERFORMANCE COMMITMENT LEVEL DATA</t>
  </si>
  <si>
    <t xml:space="preserve">For 2017-18, we use past performance actuals, for 2018-19 we use shadow reporting data, for 2019-20 we use forecasted performance, and for 2020-21 to 2024-5 we take proposed PCLs in company business plans (September 2018 or April 2019, depending on the performance commitment in question). </t>
  </si>
  <si>
    <t>Business plan</t>
  </si>
  <si>
    <t>Actual</t>
  </si>
  <si>
    <t>Forecast</t>
  </si>
  <si>
    <t>Proposed</t>
  </si>
  <si>
    <t>2017-18</t>
  </si>
  <si>
    <t>2018-19</t>
  </si>
  <si>
    <t>2019-20</t>
  </si>
  <si>
    <t>THRESHOLD CALCULATIONS</t>
  </si>
  <si>
    <t>A. Starting point for 2020-21</t>
  </si>
  <si>
    <t xml:space="preserve">We set a starting point for 2020-21 either at the current best performing company in 2017-18, 2018-19 or at the forecast frontier level for 2021-21, whichever is more stretching. </t>
  </si>
  <si>
    <t>Frontier level</t>
  </si>
  <si>
    <t>Starting point</t>
  </si>
  <si>
    <t>B. Frontier shift</t>
  </si>
  <si>
    <t>We apply an upward shift to the starting level of performance (the "frontier shift"). We calculate this shift using the forecasted change in the upper quartile for per capita consumption and apply this same shift across all performance commitments. Calculations can be found in tab "Frontier shift".</t>
  </si>
  <si>
    <t>Starting point + frontier shift</t>
  </si>
  <si>
    <t>C. Calculated threshold for PR19</t>
  </si>
  <si>
    <t xml:space="preserve">In order to ensure that the enhanced threshold gets progressively more challenging as the frontier continues to shift throughout the price control period, we calculate the % year on year improvement in the (standard) upper quartile forecast values for each performance commitment between 2021/21 and 2024/25 </t>
  </si>
  <si>
    <t xml:space="preserve">and apply that profile to the shifted frontier starting point from 2020/21. </t>
  </si>
  <si>
    <t>Upper quartile</t>
  </si>
  <si>
    <t>Lower quartile</t>
  </si>
  <si>
    <t>Percentage change in UQ</t>
  </si>
  <si>
    <t>%</t>
  </si>
  <si>
    <t>Overperformance threshold</t>
  </si>
  <si>
    <t>Underperformance threshold</t>
  </si>
  <si>
    <t>D. Calculation of enhanced underperformance collar</t>
  </si>
  <si>
    <t xml:space="preserve">We set the underperformance collar as the lower decile of 2018-19 actual PCL. </t>
  </si>
  <si>
    <t>Underperformance collar</t>
  </si>
  <si>
    <t>Final determination interventions - thresholds</t>
  </si>
  <si>
    <t>Company proposed outperformance thresholds</t>
  </si>
  <si>
    <t>Outperformance thresholds - Intervention</t>
  </si>
  <si>
    <t xml:space="preserve">We take the minimum of the companies' proposed enhanced outperformance threshold and the calculated threshold, whichever is more stretching. </t>
  </si>
  <si>
    <t>Underperformance thresholds</t>
  </si>
  <si>
    <t xml:space="preserve">Underperformance thresholds are set as the lower quartile of 2018-19 actuals. </t>
  </si>
  <si>
    <t xml:space="preserve">Where a company has early certainty, collars remain as set at fast track draft determination in April 2019. </t>
  </si>
  <si>
    <t xml:space="preserve">For 2017-18, we use past performance actuals, for 2018-19 we use shadow reporting data, for 2019-20 we use forecasted performance, and for 2020-21 to 2024-5 we take proposed PCLs in company business plans (Spetember 2018 or April 2019, depending on the PC in question). </t>
  </si>
  <si>
    <t>SVE and SWB have early certainty for internal sewer flooding. Their underperformance collars are set out in the fast track draft determinations and are as follows:</t>
  </si>
  <si>
    <t xml:space="preserve">To calculate the enhanced outperformance and underperformance thresholds, and underperformance collars, for leakage for each company, we calculate two sets: 1) normalised by household droperties, and 2) length of mains. We take a simple average of these two to set final determination thresholds and collars.   </t>
  </si>
  <si>
    <t>Calculating thresholds - normalised by number of properties</t>
  </si>
  <si>
    <t>NORMALISATION DATA - NUMBER OF HOUSEHOLDS</t>
  </si>
  <si>
    <t>Number</t>
  </si>
  <si>
    <t>NORMALISED PAST PERFORMANCE DATA AND PERFORMANCE COMMITMENT LEVELS</t>
  </si>
  <si>
    <t>L/d/property</t>
  </si>
  <si>
    <t>Outperformance threshold</t>
  </si>
  <si>
    <t xml:space="preserve">We take the industry starting point + frontier shift, as set in L/d/property, and convert to a company-specific threshold in Ml/d. </t>
  </si>
  <si>
    <t xml:space="preserve">Company </t>
  </si>
  <si>
    <t xml:space="preserve">We take the industry lower quartile, as set in L/d/property, and convert to a company-specific threshold in Ml/d. </t>
  </si>
  <si>
    <t>We set the underperformance collar as the lower decile of 2018-19 actual PCL. We take this industry lower decile, as set in L/d/property, and convert to a company-specfic collar in Ml/d.</t>
  </si>
  <si>
    <t>Calculating thresholds - normalised by length of mains</t>
  </si>
  <si>
    <t>April 2019</t>
  </si>
  <si>
    <t>NORMALISATION DATA - KM OF MAINS</t>
  </si>
  <si>
    <t>m</t>
  </si>
  <si>
    <t>L/d / m of mains</t>
  </si>
  <si>
    <t>Ml/d / m of mains</t>
  </si>
  <si>
    <t xml:space="preserve">In order to ensure that the enhanced threshold gets progressively more challenging as the frontier continues to shift throughout the price control period, we calculate the % year on year improvement in the (standard) upper quartile forecast values for each performance commitment between 2021/21 and 2024/25  </t>
  </si>
  <si>
    <t>and apply that profile to the shifted frontier starting point from 2020/21.</t>
  </si>
  <si>
    <t>Averaging across properties and length of mains thresholds</t>
  </si>
  <si>
    <t>Outperformance thresholds</t>
  </si>
  <si>
    <t xml:space="preserve">We average across the two sets of outperformance thresholds, calculated when normalised by i) household properties, and ii) length of mains. </t>
  </si>
  <si>
    <t xml:space="preserve">We average across the two sets of underperformance thresholds, calculated when normalised by i) household properties, and ii) length of mains. </t>
  </si>
  <si>
    <t xml:space="preserve">We average across the two sets of underperformance collars, calculated when normalised by i) household properties, and ii) length of mains. </t>
  </si>
  <si>
    <t>SWB has early certainty for leakage. It's underperformance collar was set at fast track draft determination in April 2019 and is as follows:</t>
  </si>
  <si>
    <t>Calculating the Frontier Shift</t>
  </si>
  <si>
    <t>As part of our calculation of enhanced ODI rate outperformance thresholds, we apply an upward shift to the starting level of performance (the "frontier shift"). We calculate this as the average forecast annual percentage change in the upper quartile for per capita consumption.</t>
  </si>
  <si>
    <t>We apply the same frontier shift, as calculated for per capita consumption, to other performance commitments. Please refer to 'PR19 final determinations: Delivering outcomes for customers policy appendix' for details of our rationale for this.</t>
  </si>
  <si>
    <t xml:space="preserve">The frontier shift is calculated as the average forecast annual percentage change in the upper quartile, applied over two years. </t>
  </si>
  <si>
    <t>Metric</t>
  </si>
  <si>
    <t>Average forecast annual percentage change in UQ</t>
  </si>
  <si>
    <t>Percentage change over 2 years</t>
  </si>
  <si>
    <t xml:space="preserve">We apply this frontier shift to all performance commitments, to set thresholds in the "Thresholds_[PC name]" tabs. </t>
  </si>
  <si>
    <t>Assumptions in calculating enhanced ODI rates</t>
  </si>
  <si>
    <t>Input</t>
  </si>
  <si>
    <t>Assumption</t>
  </si>
  <si>
    <t>Source</t>
  </si>
  <si>
    <t>Discount factor</t>
  </si>
  <si>
    <t>HM Treasury Green Book</t>
  </si>
  <si>
    <t>PR19 final determinations: Delivering outcomes for customers policy appendix</t>
  </si>
  <si>
    <t>Enhanced benefit sharing factor</t>
  </si>
  <si>
    <t>PR19 time period (years)</t>
  </si>
  <si>
    <t>Type</t>
  </si>
  <si>
    <t>Median company</t>
  </si>
  <si>
    <t>Assumptions in calculating the enhanced ODI thresholds</t>
  </si>
  <si>
    <t xml:space="preserve">We use performance commitment levels, as proposed by companies in their business plans, as part of our calculations of thresholds. </t>
  </si>
  <si>
    <t xml:space="preserve">Whether we use September 2018 or revised business plan (as submitted by companies on: a) 11th February 2019 for Fast Track companies; b) 1st April 2019 for Slow Track/Significant Scrutiny companies) depends on the performance commitment. </t>
  </si>
  <si>
    <t>PC</t>
  </si>
  <si>
    <t>Business plan data</t>
  </si>
  <si>
    <t>Rationale</t>
  </si>
  <si>
    <t>April data used to reflect companies' latest views</t>
  </si>
  <si>
    <t>September 2018</t>
  </si>
  <si>
    <t>We use September data to reflect the company view of the upper quartile, as opposed to ours</t>
  </si>
  <si>
    <t>Named ranges - do not delete</t>
  </si>
  <si>
    <t>ten</t>
  </si>
  <si>
    <t>hundred</t>
  </si>
  <si>
    <t>thousand</t>
  </si>
  <si>
    <t>tenk</t>
  </si>
  <si>
    <t>million</t>
  </si>
  <si>
    <t>Normalisation data</t>
  </si>
  <si>
    <t xml:space="preserve">This sheet sets out the company-specific household property and lengh of mains data required to i) calculate the benchmarking externality, and ii) normalise leakage thresholds. </t>
  </si>
  <si>
    <t xml:space="preserve">The data has been downloaded from Fountain. </t>
  </si>
  <si>
    <t>Guide to normalisation data</t>
  </si>
  <si>
    <t>Fountain reference</t>
  </si>
  <si>
    <t>R3017</t>
  </si>
  <si>
    <t>Households connected for water only - unmetered</t>
  </si>
  <si>
    <t>R3018</t>
  </si>
  <si>
    <t>Households connected for water only - metered</t>
  </si>
  <si>
    <t>R3019</t>
  </si>
  <si>
    <t>Households connected for sewerage only - unmetered</t>
  </si>
  <si>
    <t>R3020</t>
  </si>
  <si>
    <t>Households connected for sewerage only - metered</t>
  </si>
  <si>
    <t>R3021</t>
  </si>
  <si>
    <t>Households connected for water and sewerage - unmetered</t>
  </si>
  <si>
    <t>R3022</t>
  </si>
  <si>
    <t>Households connected for water and sewerage - metered</t>
  </si>
  <si>
    <t>APP2044</t>
  </si>
  <si>
    <t>Total connected properties at year end - Leakage region 1 or whole company</t>
  </si>
  <si>
    <t>APP2045</t>
  </si>
  <si>
    <t>Total length of potable mains as at 31 March - Leakage region 1 or whole company</t>
  </si>
  <si>
    <t>APP2046</t>
  </si>
  <si>
    <t>Total connected properties at year end - Leakage region 2</t>
  </si>
  <si>
    <t>APP2047</t>
  </si>
  <si>
    <t>Total length of potable mains as at 31 March - Leakage region 2</t>
  </si>
  <si>
    <t>Transformed data reference</t>
  </si>
  <si>
    <t>Households_water</t>
  </si>
  <si>
    <t>Sum of R3017, R3018, R3021 and R3022</t>
  </si>
  <si>
    <t>Households_wastewater</t>
  </si>
  <si>
    <t>Sum of R3019, R3020, R3021 and R3022</t>
  </si>
  <si>
    <t>Leakage - connected properties</t>
  </si>
  <si>
    <t>Total connected properties at year end - Leakage regions 1, 2 or whole company</t>
  </si>
  <si>
    <t>UniqueID</t>
  </si>
  <si>
    <t>Com_Fountain</t>
  </si>
  <si>
    <t>Nr</t>
  </si>
  <si>
    <t>NWT</t>
  </si>
  <si>
    <t>Leakage - length of mains</t>
  </si>
  <si>
    <t>Total length of potable mains as at 31 March - Leakage region 1, 2 or whole company</t>
  </si>
  <si>
    <t>km</t>
  </si>
  <si>
    <t>Household properties</t>
  </si>
  <si>
    <t>Households connected</t>
  </si>
  <si>
    <t>Total connected household properties - water</t>
  </si>
  <si>
    <t>Sum</t>
  </si>
  <si>
    <t>Average</t>
  </si>
  <si>
    <t>Total connected household properties - wastewater</t>
  </si>
  <si>
    <t>Final determination standard ODI rates</t>
  </si>
  <si>
    <t xml:space="preserve">This sheet presents the standard ODI rates, as set at the final determination, which are an input to the benchmarking externality to set enhanced ODI rates. </t>
  </si>
  <si>
    <t>FINAL DETERMINATION ODI RATES</t>
  </si>
  <si>
    <t>Underperformance rate</t>
  </si>
  <si>
    <t>Outperformance rate</t>
  </si>
  <si>
    <t/>
  </si>
  <si>
    <t xml:space="preserve">Source: "ODI Rates Customer Facing" model and "ODI Rates Non-Customer Facing" model </t>
  </si>
  <si>
    <t>Pollution incidents (categories 1, 2 and 3)</t>
  </si>
  <si>
    <t>Per capita consumption (PCC)</t>
  </si>
  <si>
    <t xml:space="preserve">Proposed Enhanced ODI rates </t>
  </si>
  <si>
    <t>Enhanced ODI rates for underperformance and outperformance as proposed by companies in their revised business plans, as submitted by companies on: a) 11th February 2019 for Fast Track companies; b) 1st April 2019 for Slow Track/Significant Scrutiny companies.</t>
  </si>
  <si>
    <t>COMPANY PROPOSED ODI RATES</t>
  </si>
  <si>
    <t>Enhanced underperformance penalty</t>
  </si>
  <si>
    <t>Enhanced outperformance payment</t>
  </si>
  <si>
    <t>Proposed enhanced outperformance thresholds</t>
  </si>
  <si>
    <t>Outperformance thresholds, as proposed by companies in revised business plans, as submitted by companies on: a) 11th February 2019 for Fast Track companies; b) 1st April 2019 for Slow Track/Significant Scrutiny companies.</t>
  </si>
  <si>
    <t>COMPANY PROPOSED THRESHOLDS</t>
  </si>
  <si>
    <t>Nr per 10,000km sewer</t>
  </si>
  <si>
    <t>Nr per 10,000 connections</t>
  </si>
  <si>
    <t>Proposed performance commitment levels (PCLs)</t>
  </si>
  <si>
    <t>Performance commitment levels as proposed by companies in the September 2018 and revised business plans, as submitted by companies on: a) 11th February 2019 for Fast Track companies; b) 1st April 2019 for Slow Track/Significant Scrutiny companies.</t>
  </si>
  <si>
    <t>COMPANY PROPOSED PCLs</t>
  </si>
  <si>
    <t>September 2018 business plans</t>
  </si>
  <si>
    <t>Revised business plans</t>
  </si>
  <si>
    <t>Past performance levels</t>
  </si>
  <si>
    <t>This sheet sets out the past performance data for the enhanced ODI performance commitments. For 2017-18, we use past performance actuals, for 2018-19 we use shadow reporting data, for 2019-20 we use forecasted performance</t>
  </si>
  <si>
    <t>Actuals</t>
  </si>
  <si>
    <t>2013-14</t>
  </si>
  <si>
    <t>2014-15</t>
  </si>
  <si>
    <t>2015-16</t>
  </si>
  <si>
    <t>2016-17</t>
  </si>
  <si>
    <t xml:space="preserve"> </t>
  </si>
  <si>
    <t>WTP meta data</t>
  </si>
  <si>
    <t xml:space="preserve">To capture the likely diminishing returns of increased service, we apply an adjustment factor. This is based on the difference between the unit willingness to pay research derived by companies when they tested one and two performance increases with customers. </t>
  </si>
  <si>
    <t>Where we do not have directly comparable willingness to pay evidence from the companies’ business plans, we use available proxies from company evidence. </t>
  </si>
  <si>
    <t>WILLINGNESS TO PAY DATA</t>
  </si>
  <si>
    <t>Service increment</t>
  </si>
  <si>
    <t>+1</t>
  </si>
  <si>
    <t>+2</t>
  </si>
  <si>
    <t>Source: April 2019 business plan, sw PR19 Household Willingness to Pay Main Stage Report (v4) p.15, multiplied by volume</t>
  </si>
  <si>
    <t>Source: April 2019 Buisness Plan - YKY.OC.7 Understanding Customers Values Addendum Table 1 - 2, Appendix 5e - Understanding Customer Values_Stated Preference Report Table 3 and Table 6, multiplied by volume</t>
  </si>
  <si>
    <t>WSX WTP DATA</t>
  </si>
  <si>
    <t>Stage 2</t>
  </si>
  <si>
    <t>Source: September 2018 buisness plan, 01.01.D - Willingness to pay research 1 - Accent Table 44 - 52, 01.01.D - Willingness to pay research 1 - Accent Table 8, multiplied by volume</t>
  </si>
  <si>
    <t>Main stage</t>
  </si>
  <si>
    <t xml:space="preserve">Note: We use +2 and +3 service increments for YKY. </t>
  </si>
  <si>
    <t>Source: April 2019 business plan, sw pr19 Household Willingness to Pay Main Stage Report (v4) p.15, multiplied by volume</t>
  </si>
  <si>
    <t>Source: September 2018 buisness plan, T1027_Service_valuation_research Figure 18 -23, multiplied by volume</t>
  </si>
  <si>
    <t>Source: April 2019 Buisness Plan, YKY.OC.7 Understanding Customers Values Addendum Table 1 - 2, Appendix 5e - Understanding Customer Values_Stated Preference Report Table 3 and Table 6, multiplied by volume</t>
  </si>
  <si>
    <t>WSH WTP DATA</t>
  </si>
  <si>
    <t>Maxdiff1</t>
  </si>
  <si>
    <t>Source: September 2018 buisness plan, 1.1A PR19 Customer Engagement - WTP WSH Table 17, multiplied by volume</t>
  </si>
  <si>
    <t>Maxdiff2</t>
  </si>
  <si>
    <t>Source: April 2018 business plan, sw pr19 Household Willingness to Pay Main Stage Report (v4) p.15, multiplied by volume</t>
  </si>
  <si>
    <t>Maxdiff</t>
  </si>
  <si>
    <t>DCE</t>
  </si>
  <si>
    <t>Source: April 2019 Buisness Plan, YKY.OC.7 Understanding Customers Values Addendum Table 1 - 2, Appendix 5e - Understanding Customer Values_Stated Preference Report Table 3 and Table 6</t>
  </si>
  <si>
    <t>Source: September 2018 buisness plan, 01.01.D - Willingness to pay research 1 - Accent Table 44 - 52, 01.01.D - Willingness to pay research 1 - Accent Table 8</t>
  </si>
  <si>
    <t>Enhanced ODI rates and collars for companies with early certainty</t>
  </si>
  <si>
    <t xml:space="preserve">Enhanced ODI rates for SWB and SVE were set at fast track draft determination in April 2019 for leakage and internal sewer flooding. </t>
  </si>
  <si>
    <t>Collar (applicable to 2020-21 to 2024-25)</t>
  </si>
  <si>
    <t>Source: 'PR19 draft determinations: South West Water - Outcomes performance commitment appendix', April 2019</t>
  </si>
  <si>
    <t>Note: We correct the enhanced underperformance rate at the draft determination. Please see 'PR19 final determinations: South West Water - Delivering outcomes for customers final decisions'.</t>
  </si>
  <si>
    <t>Source: 'PR19 draft determinations: Severn Trent Water - Outcomes performance commitment appendix', April 2019</t>
  </si>
  <si>
    <t>PR19_Outcomes_EnhancedODI</t>
  </si>
  <si>
    <t>Acronym</t>
  </si>
  <si>
    <t>Reference</t>
  </si>
  <si>
    <t>Item description</t>
  </si>
  <si>
    <t>Model</t>
  </si>
  <si>
    <t>BN2161</t>
  </si>
  <si>
    <t>Total household connected properties at year end</t>
  </si>
  <si>
    <t>000s</t>
  </si>
  <si>
    <t>Price Review 2019</t>
  </si>
  <si>
    <t>BN2221</t>
  </si>
  <si>
    <t>Total non-household connected properties at year end</t>
  </si>
  <si>
    <t>BN1001</t>
  </si>
  <si>
    <t>DG2 denominator: Total number of properties (domestic and non-domestic) connected for water supply at end of year.</t>
  </si>
  <si>
    <t>BN2590</t>
  </si>
  <si>
    <t>Population - Total</t>
  </si>
  <si>
    <t>BN2150</t>
  </si>
  <si>
    <t>Total number of households billed for sewage.</t>
  </si>
  <si>
    <t>BN2270</t>
  </si>
  <si>
    <t>Total number of non-households billed for sewage.</t>
  </si>
  <si>
    <t>BN1178</t>
  </si>
  <si>
    <t>Number of properties</t>
  </si>
  <si>
    <t>BN2630</t>
  </si>
  <si>
    <t>Total connected population.</t>
  </si>
  <si>
    <t>BN2620</t>
  </si>
  <si>
    <t>Average connected non-resident population</t>
  </si>
  <si>
    <t>BN13535_PR19</t>
  </si>
  <si>
    <t>Total length of "legacy" public sewers as at 31 March</t>
  </si>
  <si>
    <t>Km</t>
  </si>
  <si>
    <t>BN13528</t>
  </si>
  <si>
    <t>Length of formerly private sewers and lateral drains (s105A sewers)</t>
  </si>
  <si>
    <t>BN1100</t>
  </si>
  <si>
    <t>Total length of mains on 31 March of report year.</t>
  </si>
  <si>
    <t>BN2345</t>
  </si>
  <si>
    <t>Water delivered: total leakage</t>
  </si>
  <si>
    <t>BN1000</t>
  </si>
  <si>
    <t>Water delivered: distribution input</t>
  </si>
  <si>
    <t>APP2001</t>
  </si>
  <si>
    <t>Leakage: new definition reporting - Leakage region 1 or whole company</t>
  </si>
  <si>
    <t>text</t>
  </si>
  <si>
    <t>APP2008</t>
  </si>
  <si>
    <t>Leakage: new definition reporting - Leakage region 2</t>
  </si>
  <si>
    <t>Source: April 2019 business plan. SEW-DD-OC-001 query response, multiplied by volume</t>
  </si>
  <si>
    <t>Source: A1.3: Phase two quantitative research report, p.g. 52, September 2018 business plan</t>
  </si>
  <si>
    <t>Source: September 2018 buisness plan, A1.3 - phase two quantitative research report p.52</t>
  </si>
  <si>
    <t>Enhanced ODI Thresholds and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</si>
</sst>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0_);\(#,##0\);&quot;-  &quot;;&quot; &quot;@&quot; &quot;"/>
    <numFmt numFmtId="165" formatCode="0.000"/>
    <numFmt numFmtId="166" formatCode="_-* #,##0_-;\-* #,##0_-;_-* &quot;-&quot;??_-;_-@_-"/>
    <numFmt numFmtId="167" formatCode="0.0%"/>
    <numFmt numFmtId="168" formatCode="#,##0.0"/>
    <numFmt numFmtId="169" formatCode="0.0"/>
    <numFmt numFmtId="170" formatCode="[$-F400]h:mm:ss\ AM/PM"/>
    <numFmt numFmtId="171" formatCode="#,##0.000"/>
    <numFmt numFmtId="172" formatCode="_-* #,##0.000_-;\-* #,##0.000_-;_-* &quot;-&quot;??_-;_-@_-"/>
    <numFmt numFmtId="173" formatCode="_-* #,##0.0_-;\-* #,##0.0_-;_-* &quot;-&quot;??_-;_-@_-"/>
  </numFmts>
  <fonts count="31" x14ac:knownFonts="1">
    <font>
      <sz val="10"/>
      <color theme="1"/>
      <name val="Arial"/>
      <family val="2"/>
    </font>
    <font>
      <sz val="11"/>
      <color theme="1"/>
      <name val="Arial"/>
      <family val="2"/>
    </font>
    <font>
      <sz val="11"/>
      <color theme="1"/>
      <name val="Arial"/>
      <family val="2"/>
    </font>
    <font>
      <b/>
      <sz val="11"/>
      <color theme="1"/>
      <name val="Arial"/>
      <family val="2"/>
    </font>
    <font>
      <sz val="24"/>
      <color theme="0"/>
      <name val="Franklin Gothic Demi"/>
      <family val="2"/>
    </font>
    <font>
      <sz val="10"/>
      <color theme="1"/>
      <name val="Arial"/>
      <family val="2"/>
    </font>
    <font>
      <sz val="11"/>
      <color theme="1"/>
      <name val="Franklin Gothic Demi"/>
      <family val="2"/>
    </font>
    <font>
      <sz val="10"/>
      <color theme="1"/>
      <name val="Franklin Gothic Demi"/>
      <family val="2"/>
    </font>
    <font>
      <sz val="10"/>
      <color rgb="FF0078C9"/>
      <name val="Arial"/>
      <family val="2"/>
    </font>
    <font>
      <sz val="10"/>
      <color theme="0"/>
      <name val="Franklin Gothic Demi"/>
      <family val="2"/>
    </font>
    <font>
      <sz val="10"/>
      <color theme="0"/>
      <name val="Arial"/>
      <family val="2"/>
    </font>
    <font>
      <sz val="10"/>
      <color rgb="FF9C0006"/>
      <name val="Arial"/>
      <family val="2"/>
    </font>
    <font>
      <sz val="10"/>
      <color rgb="FF0078C9"/>
      <name val="Franklin Gothic Demi"/>
      <family val="2"/>
    </font>
    <font>
      <sz val="10"/>
      <color rgb="FFFE4819"/>
      <name val="Arial"/>
      <family val="2"/>
    </font>
    <font>
      <sz val="10"/>
      <color rgb="FF719500"/>
      <name val="Arial"/>
      <family val="2"/>
    </font>
    <font>
      <sz val="10"/>
      <color rgb="FF006100"/>
      <name val="Arial"/>
      <family val="2"/>
    </font>
    <font>
      <sz val="10"/>
      <color rgb="FF9C6500"/>
      <name val="Arial"/>
      <family val="2"/>
    </font>
    <font>
      <u/>
      <sz val="10"/>
      <color theme="10"/>
      <name val="Arial"/>
      <family val="2"/>
    </font>
    <font>
      <sz val="12"/>
      <color theme="0"/>
      <name val="Franklin Gothic Demi"/>
      <family val="2"/>
    </font>
    <font>
      <u/>
      <sz val="12"/>
      <color theme="0"/>
      <name val="Franklin Gothic Demi"/>
      <family val="2"/>
    </font>
    <font>
      <i/>
      <sz val="10"/>
      <color theme="0" tint="-0.499984740745262"/>
      <name val="Franklin Gothic Demi"/>
      <family val="2"/>
    </font>
    <font>
      <i/>
      <sz val="10"/>
      <color theme="0" tint="-0.499984740745262"/>
      <name val="Arial"/>
      <family val="2"/>
    </font>
    <font>
      <i/>
      <sz val="10"/>
      <color rgb="FFFF0000"/>
      <name val="Arial"/>
      <family val="2"/>
    </font>
    <font>
      <sz val="10"/>
      <color rgb="FFFF0000"/>
      <name val="Arial"/>
      <family val="2"/>
    </font>
    <font>
      <sz val="11"/>
      <color indexed="8"/>
      <name val="Calibri"/>
      <family val="2"/>
      <scheme val="minor"/>
    </font>
    <font>
      <sz val="24"/>
      <color rgb="FFFFFFFF"/>
      <name val="Franklin Gothic Demi"/>
      <family val="2"/>
    </font>
    <font>
      <sz val="11"/>
      <color rgb="FF000000"/>
      <name val="Franklin Gothic Demi"/>
      <family val="2"/>
    </font>
    <font>
      <sz val="10"/>
      <color rgb="FFFFFFFF"/>
      <name val="Franklin Gothic Demi"/>
      <family val="2"/>
    </font>
    <font>
      <sz val="10"/>
      <name val="Arial"/>
      <family val="2"/>
    </font>
    <font>
      <sz val="11"/>
      <color theme="1"/>
      <name val="Calibri"/>
      <family val="2"/>
      <scheme val="minor"/>
    </font>
    <font>
      <b/>
      <sz val="10"/>
      <color theme="1"/>
      <name val="Arial"/>
      <family val="2"/>
    </font>
  </fonts>
  <fills count="1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rgb="FFFCEABF"/>
        <bgColor indexed="64"/>
      </patternFill>
    </fill>
    <fill>
      <patternFill patternType="solid">
        <fgColor rgb="FFE0DCD8"/>
        <bgColor indexed="64"/>
      </patternFill>
    </fill>
    <fill>
      <patternFill patternType="solid">
        <fgColor rgb="FF7FBBE4"/>
        <bgColor indexed="64"/>
      </patternFill>
    </fill>
    <fill>
      <patternFill patternType="solid">
        <fgColor rgb="FFD740A2"/>
        <bgColor indexed="64"/>
      </patternFill>
    </fill>
    <fill>
      <patternFill patternType="solid">
        <fgColor rgb="FFBFDDF1"/>
        <bgColor indexed="64"/>
      </patternFill>
    </fill>
    <fill>
      <patternFill patternType="solid">
        <fgColor rgb="FF003479"/>
        <bgColor indexed="64"/>
      </patternFill>
    </fill>
    <fill>
      <patternFill patternType="solid">
        <fgColor theme="0"/>
        <bgColor indexed="64"/>
      </patternFill>
    </fill>
    <fill>
      <patternFill patternType="solid">
        <fgColor rgb="FFFFFF00"/>
        <bgColor indexed="64"/>
      </patternFill>
    </fill>
    <fill>
      <patternFill patternType="solid">
        <fgColor rgb="FF003479"/>
        <bgColor rgb="FF000000"/>
      </patternFill>
    </fill>
    <fill>
      <patternFill patternType="solid">
        <fgColor rgb="FFBFDDF1"/>
        <bgColor rgb="FF000000"/>
      </patternFill>
    </fill>
    <fill>
      <patternFill patternType="solid">
        <fgColor rgb="FFF4AA00"/>
        <bgColor indexed="64"/>
      </patternFill>
    </fill>
    <fill>
      <patternFill patternType="solid">
        <fgColor rgb="FF95B040"/>
        <bgColor indexed="64"/>
      </patternFill>
    </fill>
    <fill>
      <patternFill patternType="solid">
        <fgColor theme="0" tint="-4.9989318521683403E-2"/>
        <bgColor indexed="64"/>
      </patternFill>
    </fill>
  </fills>
  <borders count="9">
    <border>
      <left/>
      <right/>
      <top/>
      <bottom/>
      <diagonal/>
    </border>
    <border>
      <left/>
      <right/>
      <top style="thin">
        <color theme="4"/>
      </top>
      <bottom style="double">
        <color theme="4"/>
      </bottom>
      <diagonal/>
    </border>
    <border>
      <left/>
      <right/>
      <top style="medium">
        <color theme="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9">
    <xf numFmtId="0" fontId="0" fillId="0" borderId="0"/>
    <xf numFmtId="0" fontId="4" fillId="11" borderId="0" applyNumberFormat="0" applyBorder="0" applyAlignment="0" applyProtection="0"/>
    <xf numFmtId="0" fontId="6"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15" fillId="2" borderId="0" applyNumberFormat="0" applyBorder="0" applyAlignment="0" applyProtection="0"/>
    <xf numFmtId="0" fontId="11" fillId="3" borderId="0" applyNumberFormat="0" applyBorder="0" applyAlignment="0" applyProtection="0"/>
    <xf numFmtId="0" fontId="16" fillId="4" borderId="0" applyNumberFormat="0" applyBorder="0" applyAlignment="0" applyProtection="0"/>
    <xf numFmtId="0" fontId="5" fillId="6" borderId="0" applyNumberFormat="0" applyAlignment="0" applyProtection="0"/>
    <xf numFmtId="0" fontId="5" fillId="0" borderId="0" applyNumberFormat="0" applyBorder="0" applyAlignment="0" applyProtection="0"/>
    <xf numFmtId="0" fontId="5" fillId="0" borderId="0" applyNumberFormat="0" applyBorder="0" applyAlignment="0" applyProtection="0"/>
    <xf numFmtId="0" fontId="8" fillId="0" borderId="0" applyNumberFormat="0" applyBorder="0" applyAlignment="0" applyProtection="0"/>
    <xf numFmtId="164" fontId="10" fillId="9" borderId="0" applyAlignment="0" applyProtection="0"/>
    <xf numFmtId="0" fontId="9" fillId="9" borderId="0" applyNumberFormat="0" applyBorder="0" applyAlignment="0" applyProtection="0"/>
    <xf numFmtId="0" fontId="14" fillId="5" borderId="0" applyNumberFormat="0" applyFill="0" applyAlignment="0" applyProtection="0"/>
    <xf numFmtId="0" fontId="14" fillId="0" borderId="0" applyNumberFormat="0" applyBorder="0" applyAlignment="0" applyProtection="0"/>
    <xf numFmtId="0" fontId="3" fillId="0" borderId="1" applyNumberFormat="0" applyFill="0" applyAlignment="0" applyProtection="0"/>
    <xf numFmtId="0" fontId="5" fillId="7" borderId="0" applyNumberFormat="0" applyBorder="0" applyAlignment="0" applyProtection="0"/>
    <xf numFmtId="0" fontId="8" fillId="7" borderId="0" applyNumberFormat="0" applyBorder="0" applyAlignment="0" applyProtection="0"/>
    <xf numFmtId="0" fontId="5" fillId="8" borderId="0" applyNumberFormat="0" applyBorder="0" applyAlignment="0" applyProtection="0"/>
    <xf numFmtId="0" fontId="5" fillId="7" borderId="0" applyNumberFormat="0" applyFont="0" applyBorder="0" applyAlignment="0" applyProtection="0"/>
    <xf numFmtId="0" fontId="12" fillId="10" borderId="0" applyNumberFormat="0" applyAlignment="0" applyProtection="0"/>
    <xf numFmtId="0" fontId="5" fillId="13" borderId="0" applyNumberFormat="0" applyBorder="0" applyAlignment="0" applyProtection="0"/>
    <xf numFmtId="0" fontId="13" fillId="0" borderId="0" applyNumberFormat="0" applyBorder="0" applyAlignment="0" applyProtection="0"/>
    <xf numFmtId="0" fontId="9" fillId="11" borderId="0" applyNumberFormat="0" applyAlignment="0" applyProtection="0"/>
    <xf numFmtId="0" fontId="17" fillId="0" borderId="0" applyNumberForma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2" fillId="0" borderId="0"/>
    <xf numFmtId="0" fontId="24" fillId="0" borderId="0"/>
    <xf numFmtId="0" fontId="1" fillId="0" borderId="0"/>
    <xf numFmtId="164" fontId="1" fillId="0" borderId="0" applyFont="0" applyFill="0" applyBorder="0" applyProtection="0">
      <alignment vertical="top"/>
    </xf>
    <xf numFmtId="0" fontId="29" fillId="0" borderId="0"/>
    <xf numFmtId="9" fontId="1" fillId="0" borderId="0" applyFont="0" applyFill="0" applyBorder="0" applyAlignment="0" applyProtection="0"/>
    <xf numFmtId="0" fontId="28" fillId="0" borderId="0"/>
    <xf numFmtId="0" fontId="1" fillId="0" borderId="0"/>
    <xf numFmtId="0" fontId="1" fillId="0" borderId="0"/>
    <xf numFmtId="9" fontId="29" fillId="0" borderId="0" applyFont="0" applyFill="0" applyBorder="0" applyAlignment="0" applyProtection="0"/>
  </cellStyleXfs>
  <cellXfs count="144">
    <xf numFmtId="0" fontId="0" fillId="0" borderId="0" xfId="0"/>
    <xf numFmtId="0" fontId="6" fillId="0" borderId="0" xfId="2"/>
    <xf numFmtId="0" fontId="7" fillId="0" borderId="0" xfId="3"/>
    <xf numFmtId="0" fontId="4" fillId="11" borderId="0" xfId="1"/>
    <xf numFmtId="0" fontId="14" fillId="0" borderId="0" xfId="16"/>
    <xf numFmtId="0" fontId="9" fillId="9" borderId="0" xfId="14"/>
    <xf numFmtId="0" fontId="5" fillId="6" borderId="0" xfId="9"/>
    <xf numFmtId="0" fontId="8" fillId="0" borderId="0" xfId="12"/>
    <xf numFmtId="0" fontId="12" fillId="10" borderId="0" xfId="22"/>
    <xf numFmtId="0" fontId="0" fillId="0" borderId="0" xfId="0"/>
    <xf numFmtId="0" fontId="9" fillId="11" borderId="0" xfId="25"/>
    <xf numFmtId="0" fontId="17" fillId="0" borderId="0" xfId="26"/>
    <xf numFmtId="0" fontId="18" fillId="11" borderId="0" xfId="0" applyFont="1" applyFill="1"/>
    <xf numFmtId="0" fontId="19" fillId="11" borderId="0" xfId="26" applyFont="1" applyFill="1"/>
    <xf numFmtId="0" fontId="18" fillId="11" borderId="2" xfId="0" applyFont="1" applyFill="1" applyBorder="1"/>
    <xf numFmtId="0" fontId="18" fillId="12" borderId="0" xfId="0" applyFont="1" applyFill="1"/>
    <xf numFmtId="0" fontId="20" fillId="10" borderId="0" xfId="22" applyFont="1"/>
    <xf numFmtId="0" fontId="21" fillId="0" borderId="0" xfId="0" applyFont="1"/>
    <xf numFmtId="0" fontId="0" fillId="0" borderId="0" xfId="0" applyAlignment="1">
      <alignment wrapText="1"/>
    </xf>
    <xf numFmtId="0" fontId="22" fillId="0" borderId="0" xfId="0" applyFont="1"/>
    <xf numFmtId="165" fontId="5" fillId="6" borderId="0" xfId="9" applyNumberFormat="1" applyAlignment="1">
      <alignment horizontal="right"/>
    </xf>
    <xf numFmtId="0" fontId="0" fillId="0" borderId="0" xfId="0" applyFill="1"/>
    <xf numFmtId="165" fontId="0" fillId="6" borderId="0" xfId="9" applyNumberFormat="1" applyFont="1" applyAlignment="1">
      <alignment horizontal="right"/>
    </xf>
    <xf numFmtId="2" fontId="5" fillId="0" borderId="0" xfId="11" applyNumberFormat="1"/>
    <xf numFmtId="0" fontId="23" fillId="0" borderId="0" xfId="0" applyFont="1"/>
    <xf numFmtId="2" fontId="0" fillId="0" borderId="0" xfId="0" applyNumberFormat="1"/>
    <xf numFmtId="165" fontId="5" fillId="6" borderId="0" xfId="9" applyNumberFormat="1"/>
    <xf numFmtId="0" fontId="21" fillId="0" borderId="0" xfId="0" applyFont="1" applyFill="1"/>
    <xf numFmtId="165" fontId="0" fillId="0" borderId="0" xfId="0" applyNumberFormat="1"/>
    <xf numFmtId="0" fontId="23" fillId="0" borderId="0" xfId="0" applyFont="1" applyFill="1"/>
    <xf numFmtId="0" fontId="25" fillId="14" borderId="0" xfId="1" applyFont="1" applyFill="1" applyBorder="1"/>
    <xf numFmtId="0" fontId="0" fillId="0" borderId="0" xfId="0" applyFont="1" applyFill="1" applyBorder="1"/>
    <xf numFmtId="0" fontId="12" fillId="15" borderId="0" xfId="22" applyFont="1" applyFill="1" applyBorder="1"/>
    <xf numFmtId="0" fontId="14" fillId="0" borderId="0" xfId="16" applyFont="1" applyFill="1" applyBorder="1"/>
    <xf numFmtId="167" fontId="0" fillId="0" borderId="0" xfId="28" applyNumberFormat="1" applyFont="1"/>
    <xf numFmtId="0" fontId="26" fillId="0" borderId="0" xfId="2" applyFont="1" applyFill="1" applyBorder="1"/>
    <xf numFmtId="0" fontId="27" fillId="14" borderId="0" xfId="25" applyFont="1" applyFill="1" applyBorder="1"/>
    <xf numFmtId="165" fontId="14" fillId="0" borderId="0" xfId="16" applyNumberFormat="1"/>
    <xf numFmtId="165" fontId="8" fillId="0" borderId="0" xfId="12" applyNumberFormat="1"/>
    <xf numFmtId="165" fontId="23" fillId="0" borderId="0" xfId="0" applyNumberFormat="1" applyFont="1"/>
    <xf numFmtId="2" fontId="23" fillId="0" borderId="0" xfId="0" applyNumberFormat="1" applyFont="1"/>
    <xf numFmtId="2" fontId="23" fillId="0" borderId="0" xfId="0" applyNumberFormat="1" applyFont="1" applyBorder="1"/>
    <xf numFmtId="10" fontId="0" fillId="0" borderId="0" xfId="0" applyNumberFormat="1"/>
    <xf numFmtId="169" fontId="0" fillId="0" borderId="0" xfId="0" applyNumberFormat="1"/>
    <xf numFmtId="165" fontId="5" fillId="0" borderId="0" xfId="11" applyNumberFormat="1"/>
    <xf numFmtId="169" fontId="8" fillId="0" borderId="0" xfId="12" applyNumberFormat="1"/>
    <xf numFmtId="2" fontId="8" fillId="0" borderId="0" xfId="12" applyNumberFormat="1"/>
    <xf numFmtId="2" fontId="5" fillId="6" borderId="0" xfId="9" applyNumberFormat="1"/>
    <xf numFmtId="166" fontId="8" fillId="0" borderId="0" xfId="27" applyNumberFormat="1" applyFont="1"/>
    <xf numFmtId="0" fontId="0" fillId="0" borderId="0" xfId="0" quotePrefix="1" applyAlignment="1">
      <alignment wrapText="1"/>
    </xf>
    <xf numFmtId="1" fontId="5" fillId="6" borderId="0" xfId="9" applyNumberFormat="1"/>
    <xf numFmtId="0" fontId="6" fillId="0" borderId="0" xfId="2" applyFill="1"/>
    <xf numFmtId="169" fontId="23" fillId="0" borderId="0" xfId="0" applyNumberFormat="1" applyFont="1"/>
    <xf numFmtId="43" fontId="0" fillId="0" borderId="0" xfId="0" applyNumberFormat="1"/>
    <xf numFmtId="0" fontId="5" fillId="6" borderId="0" xfId="9" applyAlignment="1">
      <alignment wrapText="1"/>
    </xf>
    <xf numFmtId="0" fontId="0" fillId="6" borderId="0" xfId="9" applyFont="1" applyAlignment="1">
      <alignment wrapText="1"/>
    </xf>
    <xf numFmtId="166" fontId="9" fillId="11" borderId="0" xfId="25" applyNumberFormat="1"/>
    <xf numFmtId="43" fontId="9" fillId="11" borderId="0" xfId="25" applyNumberFormat="1"/>
    <xf numFmtId="2" fontId="0" fillId="0" borderId="0" xfId="0" applyNumberFormat="1" applyFont="1" applyFill="1" applyBorder="1"/>
    <xf numFmtId="169" fontId="0" fillId="0" borderId="0" xfId="0" applyNumberFormat="1" applyFont="1" applyFill="1" applyBorder="1"/>
    <xf numFmtId="49" fontId="0" fillId="0" borderId="0" xfId="0" quotePrefix="1" applyNumberFormat="1"/>
    <xf numFmtId="17" fontId="0" fillId="0" borderId="0" xfId="0" quotePrefix="1" applyNumberFormat="1"/>
    <xf numFmtId="170" fontId="0" fillId="0" borderId="0" xfId="0" applyNumberFormat="1" applyFont="1" applyFill="1" applyBorder="1"/>
    <xf numFmtId="170" fontId="0" fillId="0" borderId="0" xfId="0" applyNumberFormat="1"/>
    <xf numFmtId="0" fontId="0" fillId="0" borderId="4" xfId="0" applyBorder="1"/>
    <xf numFmtId="169" fontId="0" fillId="0" borderId="3" xfId="0" applyNumberFormat="1" applyBorder="1"/>
    <xf numFmtId="10" fontId="0" fillId="0" borderId="0" xfId="28" applyNumberFormat="1" applyFont="1"/>
    <xf numFmtId="2" fontId="0" fillId="0" borderId="3" xfId="0" applyNumberFormat="1" applyBorder="1"/>
    <xf numFmtId="170" fontId="8" fillId="0" borderId="0" xfId="12" applyNumberFormat="1"/>
    <xf numFmtId="170" fontId="0" fillId="0" borderId="3" xfId="0" applyNumberFormat="1" applyBorder="1"/>
    <xf numFmtId="0" fontId="0" fillId="0" borderId="0" xfId="0" applyAlignment="1"/>
    <xf numFmtId="165" fontId="0" fillId="0" borderId="0" xfId="11" applyNumberFormat="1" applyFont="1"/>
    <xf numFmtId="43" fontId="8" fillId="0" borderId="0" xfId="27" applyNumberFormat="1" applyFont="1"/>
    <xf numFmtId="2" fontId="28" fillId="0" borderId="0" xfId="0" applyNumberFormat="1" applyFont="1"/>
    <xf numFmtId="169" fontId="0" fillId="0" borderId="0" xfId="0" applyNumberFormat="1" applyFill="1"/>
    <xf numFmtId="2" fontId="0" fillId="0" borderId="0" xfId="0" applyNumberFormat="1" applyFill="1" applyBorder="1"/>
    <xf numFmtId="0" fontId="30" fillId="0" borderId="0" xfId="0" applyFont="1"/>
    <xf numFmtId="171" fontId="0" fillId="0" borderId="0" xfId="0" applyNumberFormat="1"/>
    <xf numFmtId="168" fontId="0" fillId="0" borderId="0" xfId="0" applyNumberFormat="1"/>
    <xf numFmtId="4" fontId="0" fillId="0" borderId="0" xfId="0" applyNumberFormat="1"/>
    <xf numFmtId="3" fontId="0" fillId="0" borderId="0" xfId="0" applyNumberFormat="1"/>
    <xf numFmtId="2" fontId="0" fillId="0" borderId="0" xfId="0" applyNumberFormat="1" applyFill="1"/>
    <xf numFmtId="167" fontId="0" fillId="0" borderId="0" xfId="0" applyNumberFormat="1"/>
    <xf numFmtId="169" fontId="5" fillId="6" borderId="0" xfId="9" applyNumberFormat="1"/>
    <xf numFmtId="0" fontId="28" fillId="0" borderId="0" xfId="0" applyFont="1"/>
    <xf numFmtId="0" fontId="6" fillId="0" borderId="0" xfId="2" applyBorder="1"/>
    <xf numFmtId="0" fontId="13" fillId="0" borderId="0" xfId="24"/>
    <xf numFmtId="0" fontId="5" fillId="0" borderId="0" xfId="11"/>
    <xf numFmtId="0" fontId="5" fillId="7" borderId="0" xfId="18"/>
    <xf numFmtId="0" fontId="8" fillId="7" borderId="0" xfId="19"/>
    <xf numFmtId="0" fontId="5" fillId="8" borderId="0" xfId="20"/>
    <xf numFmtId="164" fontId="10" fillId="9" borderId="0" xfId="13" applyBorder="1"/>
    <xf numFmtId="0" fontId="0" fillId="7" borderId="0" xfId="21" applyFont="1"/>
    <xf numFmtId="0" fontId="5" fillId="13" borderId="0" xfId="23"/>
    <xf numFmtId="0" fontId="0" fillId="6" borderId="5" xfId="0" applyFill="1" applyBorder="1" applyAlignment="1">
      <alignment horizontal="center"/>
    </xf>
    <xf numFmtId="0" fontId="0" fillId="7" borderId="5" xfId="0" applyFill="1" applyBorder="1" applyAlignment="1">
      <alignment horizontal="center"/>
    </xf>
    <xf numFmtId="0" fontId="0" fillId="8" borderId="5" xfId="0" applyFill="1" applyBorder="1" applyAlignment="1">
      <alignment horizontal="center"/>
    </xf>
    <xf numFmtId="0" fontId="10" fillId="9" borderId="5" xfId="0" applyFont="1" applyFill="1" applyBorder="1" applyAlignment="1">
      <alignment horizontal="center"/>
    </xf>
    <xf numFmtId="0" fontId="0" fillId="16" borderId="5" xfId="0" applyFill="1" applyBorder="1" applyAlignment="1">
      <alignment horizontal="center"/>
    </xf>
    <xf numFmtId="0" fontId="0" fillId="17" borderId="5" xfId="0" applyFill="1" applyBorder="1" applyAlignment="1">
      <alignment horizontal="center"/>
    </xf>
    <xf numFmtId="170" fontId="5" fillId="6" borderId="0" xfId="9" applyNumberFormat="1"/>
    <xf numFmtId="170" fontId="9" fillId="11" borderId="0" xfId="25" applyNumberFormat="1"/>
    <xf numFmtId="0" fontId="14" fillId="0" borderId="0" xfId="16" applyAlignment="1"/>
    <xf numFmtId="10" fontId="5" fillId="6" borderId="0" xfId="9" applyNumberFormat="1"/>
    <xf numFmtId="0" fontId="0" fillId="0" borderId="6" xfId="0" applyBorder="1" applyAlignment="1">
      <alignment wrapText="1"/>
    </xf>
    <xf numFmtId="169" fontId="13" fillId="0" borderId="0" xfId="24" applyNumberFormat="1"/>
    <xf numFmtId="0" fontId="0" fillId="0" borderId="0" xfId="0" quotePrefix="1" applyNumberFormat="1" applyFill="1"/>
    <xf numFmtId="0" fontId="7" fillId="0" borderId="0" xfId="5"/>
    <xf numFmtId="169" fontId="5" fillId="0" borderId="0" xfId="11" applyNumberFormat="1"/>
    <xf numFmtId="169" fontId="9" fillId="11" borderId="0" xfId="25" applyNumberFormat="1"/>
    <xf numFmtId="2" fontId="13" fillId="0" borderId="0" xfId="24" applyNumberFormat="1"/>
    <xf numFmtId="17" fontId="0" fillId="0" borderId="0" xfId="0" quotePrefix="1" applyNumberFormat="1" applyFill="1"/>
    <xf numFmtId="170" fontId="0" fillId="0" borderId="0" xfId="0" applyNumberFormat="1" applyFill="1"/>
    <xf numFmtId="170" fontId="5" fillId="0" borderId="0" xfId="11" applyNumberFormat="1"/>
    <xf numFmtId="170" fontId="13" fillId="0" borderId="0" xfId="24" applyNumberFormat="1"/>
    <xf numFmtId="166" fontId="8" fillId="0" borderId="0" xfId="27" applyNumberFormat="1" applyFont="1" applyBorder="1"/>
    <xf numFmtId="169" fontId="5" fillId="6" borderId="0" xfId="9" applyNumberFormat="1" applyAlignment="1">
      <alignment horizontal="right"/>
    </xf>
    <xf numFmtId="169" fontId="0" fillId="6" borderId="0" xfId="9" applyNumberFormat="1" applyFont="1" applyAlignment="1">
      <alignment horizontal="right"/>
    </xf>
    <xf numFmtId="0" fontId="0" fillId="18" borderId="0" xfId="0" applyFont="1" applyFill="1" applyBorder="1"/>
    <xf numFmtId="166" fontId="0" fillId="0" borderId="0" xfId="0" applyNumberFormat="1"/>
    <xf numFmtId="166" fontId="8" fillId="0" borderId="0" xfId="27" applyNumberFormat="1" applyFont="1" applyFill="1" applyBorder="1"/>
    <xf numFmtId="10" fontId="8" fillId="0" borderId="0" xfId="12" applyNumberFormat="1"/>
    <xf numFmtId="0" fontId="0" fillId="6" borderId="0" xfId="9" applyFont="1"/>
    <xf numFmtId="2" fontId="13" fillId="0" borderId="0" xfId="24" applyNumberFormat="1" applyFill="1"/>
    <xf numFmtId="2" fontId="8" fillId="0" borderId="0" xfId="12" applyNumberFormat="1" applyFill="1"/>
    <xf numFmtId="0" fontId="0" fillId="18" borderId="0" xfId="0" applyFill="1"/>
    <xf numFmtId="2" fontId="0" fillId="18" borderId="0" xfId="0" applyNumberFormat="1" applyFill="1"/>
    <xf numFmtId="166" fontId="5" fillId="0" borderId="0" xfId="11" applyNumberFormat="1" applyBorder="1"/>
    <xf numFmtId="166" fontId="5" fillId="0" borderId="0" xfId="11" applyNumberFormat="1"/>
    <xf numFmtId="166" fontId="5" fillId="6" borderId="0" xfId="27" applyNumberFormat="1" applyFill="1"/>
    <xf numFmtId="14" fontId="18" fillId="11" borderId="0" xfId="0" applyNumberFormat="1" applyFont="1" applyFill="1" applyAlignment="1">
      <alignment horizontal="left"/>
    </xf>
    <xf numFmtId="172" fontId="0" fillId="0" borderId="0" xfId="0" applyNumberFormat="1"/>
    <xf numFmtId="165" fontId="13" fillId="0" borderId="0" xfId="24" applyNumberFormat="1"/>
    <xf numFmtId="165" fontId="13" fillId="0" borderId="0" xfId="24" applyNumberFormat="1" applyAlignment="1"/>
    <xf numFmtId="173" fontId="8" fillId="0" borderId="0" xfId="27" applyNumberFormat="1" applyFont="1"/>
    <xf numFmtId="169" fontId="0" fillId="0" borderId="0" xfId="27" applyNumberFormat="1" applyFont="1"/>
    <xf numFmtId="10" fontId="13" fillId="0" borderId="7" xfId="24" applyNumberFormat="1" applyBorder="1" applyAlignment="1">
      <alignment horizontal="center" vertical="center"/>
    </xf>
    <xf numFmtId="10" fontId="0" fillId="0" borderId="0" xfId="28" applyNumberFormat="1" applyFont="1" applyAlignment="1">
      <alignment horizontal="center" vertical="center"/>
    </xf>
    <xf numFmtId="0" fontId="0" fillId="0" borderId="0" xfId="0" applyAlignment="1">
      <alignment vertical="center"/>
    </xf>
    <xf numFmtId="0" fontId="0" fillId="0" borderId="8" xfId="0" applyBorder="1" applyAlignment="1">
      <alignment vertical="center"/>
    </xf>
    <xf numFmtId="0" fontId="14" fillId="0" borderId="0" xfId="16" applyAlignment="1">
      <alignment vertical="center"/>
    </xf>
    <xf numFmtId="0" fontId="14" fillId="0" borderId="0" xfId="16" applyAlignment="1">
      <alignment horizontal="left" vertical="center"/>
    </xf>
    <xf numFmtId="0" fontId="0" fillId="18" borderId="0" xfId="0" applyFill="1" applyAlignment="1">
      <alignment horizontal="left" vertical="center"/>
    </xf>
    <xf numFmtId="0" fontId="0" fillId="0" borderId="0" xfId="0" applyAlignment="1">
      <alignment horizontal="left" vertical="center"/>
    </xf>
  </cellXfs>
  <cellStyles count="39">
    <cellStyle name="Bad" xfId="7" builtinId="27" customBuiltin="1"/>
    <cellStyle name="Between-worksheet counter-flow" xfId="19"/>
    <cellStyle name="Calculation" xfId="11" builtinId="22" customBuiltin="1"/>
    <cellStyle name="Check Cell" xfId="13" builtinId="23" customBuiltin="1"/>
    <cellStyle name="Comma" xfId="27" builtinId="3"/>
    <cellStyle name="Empty cell" xfId="21"/>
    <cellStyle name="End of sheet" xfId="25"/>
    <cellStyle name="Explanatory Text" xfId="16" builtinId="53" customBuiltin="1"/>
    <cellStyle name="Exported to another sheet or section" xfId="24"/>
    <cellStyle name="Good" xfId="6" builtinId="26" customBuiltin="1"/>
    <cellStyle name="Hard coded output" xfId="20"/>
    <cellStyle name="Heading 1" xfId="2" builtinId="16" customBuiltin="1"/>
    <cellStyle name="Heading 2" xfId="3" builtinId="17" customBuiltin="1"/>
    <cellStyle name="Heading 3" xfId="4" builtinId="18" customBuiltin="1"/>
    <cellStyle name="Heading 4" xfId="5" builtinId="19" customBuiltin="1"/>
    <cellStyle name="Hyperlink" xfId="26" builtinId="8"/>
    <cellStyle name="Input" xfId="9" builtinId="20" customBuiltin="1"/>
    <cellStyle name="Linked Cell" xfId="12" builtinId="24" customBuiltin="1"/>
    <cellStyle name="Neutral" xfId="8" builtinId="28" customBuiltin="1"/>
    <cellStyle name="Normal" xfId="0" builtinId="0" customBuiltin="1"/>
    <cellStyle name="Normal 2" xfId="30"/>
    <cellStyle name="Normal 2 2" xfId="32"/>
    <cellStyle name="Normal 2 2 2" xfId="35"/>
    <cellStyle name="Normal 2 3" xfId="31"/>
    <cellStyle name="Normal 2 3 2" xfId="29"/>
    <cellStyle name="Normal 2 3 5" xfId="37"/>
    <cellStyle name="Normal 3" xfId="36"/>
    <cellStyle name="Normal 6" xfId="33"/>
    <cellStyle name="Note" xfId="15" builtinId="10" hidden="1" customBuiltin="1"/>
    <cellStyle name="Output" xfId="10" builtinId="21" customBuiltin="1"/>
    <cellStyle name="Percent" xfId="28" builtinId="5"/>
    <cellStyle name="Percent 2" xfId="34"/>
    <cellStyle name="Percent 3" xfId="38"/>
    <cellStyle name="Section separator" xfId="22"/>
    <cellStyle name="Title" xfId="1" builtinId="15" customBuiltin="1"/>
    <cellStyle name="To be reviewed or discussed" xfId="23"/>
    <cellStyle name="Total" xfId="17" builtinId="25" hidden="1"/>
    <cellStyle name="Warning Text" xfId="14" builtinId="11" customBuiltin="1"/>
    <cellStyle name="Within-worksheet counter-flow" xfId="18"/>
  </cellStyles>
  <dxfs count="1">
    <dxf>
      <fill>
        <patternFill>
          <bgColor rgb="FF95B040"/>
        </patternFill>
      </fill>
    </dxf>
  </dxfs>
  <tableStyles count="0" defaultTableStyle="TableStyleMedium2" defaultPivotStyle="PivotStyleLight16"/>
  <colors>
    <mruColors>
      <color rgb="FF003479"/>
      <color rgb="FFFCEABF"/>
      <color rgb="FFE0DCD8"/>
      <color rgb="FF95B040"/>
      <color rgb="FF719500"/>
      <color rgb="FFFFFF00"/>
      <color rgb="FFFE4819"/>
      <color rgb="FF0078C9"/>
      <color rgb="FFF4AA00"/>
      <color rgb="FFD740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3</xdr:row>
      <xdr:rowOff>38100</xdr:rowOff>
    </xdr:from>
    <xdr:to>
      <xdr:col>2</xdr:col>
      <xdr:colOff>2848467</xdr:colOff>
      <xdr:row>7</xdr:row>
      <xdr:rowOff>2384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15100" y="685800"/>
          <a:ext cx="2619867" cy="7834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19@ofwat.gov.uk" TargetMode="External"/><Relationship Id="rId1" Type="http://schemas.openxmlformats.org/officeDocument/2006/relationships/hyperlink" Target="mailto:PR19@ofwat.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3"/>
  <sheetViews>
    <sheetView tabSelected="1" workbookViewId="0">
      <pane ySplit="9" topLeftCell="A10" activePane="bottomLeft" state="frozen"/>
      <selection pane="bottomLeft" activeCell="A10" sqref="A10"/>
    </sheetView>
  </sheetViews>
  <sheetFormatPr defaultRowHeight="13.2" x14ac:dyDescent="0.25"/>
  <cols>
    <col min="1" max="1" width="30.21875" bestFit="1" customWidth="1"/>
    <col min="2" max="2" width="108" bestFit="1" customWidth="1"/>
    <col min="3" max="3" width="45.77734375" customWidth="1"/>
  </cols>
  <sheetData>
    <row r="1" spans="1:3" ht="30.6" thickBot="1" x14ac:dyDescent="0.55000000000000004">
      <c r="A1" s="3" t="s">
        <v>0</v>
      </c>
      <c r="B1" s="3"/>
      <c r="C1" s="3"/>
    </row>
    <row r="2" spans="1:3" ht="4.2" customHeight="1" x14ac:dyDescent="0.35">
      <c r="A2" s="14"/>
      <c r="B2" s="14"/>
      <c r="C2" s="14"/>
    </row>
    <row r="3" spans="1:3" ht="16.2" x14ac:dyDescent="0.35">
      <c r="A3" s="12" t="s">
        <v>1</v>
      </c>
      <c r="B3" s="12" t="s">
        <v>2</v>
      </c>
      <c r="C3" s="15"/>
    </row>
    <row r="4" spans="1:3" ht="16.2" x14ac:dyDescent="0.35">
      <c r="A4" s="12" t="s">
        <v>3</v>
      </c>
      <c r="B4" s="12" t="s">
        <v>4</v>
      </c>
      <c r="C4" s="15"/>
    </row>
    <row r="5" spans="1:3" ht="16.2" x14ac:dyDescent="0.35">
      <c r="A5" s="12" t="s">
        <v>5</v>
      </c>
      <c r="B5" s="12" t="s">
        <v>619</v>
      </c>
      <c r="C5" s="15"/>
    </row>
    <row r="6" spans="1:3" ht="16.2" x14ac:dyDescent="0.35">
      <c r="A6" s="12" t="s">
        <v>7</v>
      </c>
      <c r="B6" s="130">
        <v>43815</v>
      </c>
      <c r="C6" s="15"/>
    </row>
    <row r="7" spans="1:3" ht="16.2" x14ac:dyDescent="0.35">
      <c r="A7" s="12" t="s">
        <v>8</v>
      </c>
      <c r="B7" s="12" t="s">
        <v>9</v>
      </c>
      <c r="C7" s="15"/>
    </row>
    <row r="8" spans="1:3" ht="16.2" x14ac:dyDescent="0.35">
      <c r="A8" s="12" t="s">
        <v>10</v>
      </c>
      <c r="B8" s="13" t="s">
        <v>11</v>
      </c>
      <c r="C8" s="15"/>
    </row>
    <row r="9" spans="1:3" ht="4.2" customHeight="1" x14ac:dyDescent="0.35">
      <c r="A9" s="12"/>
      <c r="B9" s="12"/>
      <c r="C9" s="12"/>
    </row>
    <row r="10" spans="1:3" s="9" customFormat="1" x14ac:dyDescent="0.25"/>
    <row r="11" spans="1:3" ht="15" x14ac:dyDescent="0.35">
      <c r="A11" s="1" t="s">
        <v>12</v>
      </c>
      <c r="B11" s="9" t="s">
        <v>13</v>
      </c>
      <c r="C11" s="9"/>
    </row>
    <row r="12" spans="1:3" x14ac:dyDescent="0.25">
      <c r="A12" s="9"/>
      <c r="B12" s="9" t="s">
        <v>14</v>
      </c>
      <c r="C12" s="9"/>
    </row>
    <row r="13" spans="1:3" s="9" customFormat="1" x14ac:dyDescent="0.25">
      <c r="B13" s="9" t="s">
        <v>15</v>
      </c>
    </row>
    <row r="14" spans="1:3" s="9" customFormat="1" x14ac:dyDescent="0.25"/>
    <row r="15" spans="1:3" ht="15" x14ac:dyDescent="0.35">
      <c r="A15" s="1" t="s">
        <v>16</v>
      </c>
      <c r="B15" s="9" t="s">
        <v>17</v>
      </c>
      <c r="C15" s="9"/>
    </row>
    <row r="17" spans="1:3" s="9" customFormat="1" ht="15" x14ac:dyDescent="0.35">
      <c r="A17" s="1" t="s">
        <v>18</v>
      </c>
      <c r="B17" s="9" t="s">
        <v>19</v>
      </c>
    </row>
    <row r="18" spans="1:3" s="9" customFormat="1" x14ac:dyDescent="0.25"/>
    <row r="19" spans="1:3" ht="15" x14ac:dyDescent="0.35">
      <c r="A19" s="1" t="s">
        <v>20</v>
      </c>
      <c r="B19" s="9" t="s">
        <v>21</v>
      </c>
      <c r="C19" s="9"/>
    </row>
    <row r="20" spans="1:3" x14ac:dyDescent="0.25">
      <c r="A20" s="9"/>
      <c r="B20" s="11" t="s">
        <v>11</v>
      </c>
      <c r="C20" s="9"/>
    </row>
    <row r="23" spans="1:3" ht="13.8" x14ac:dyDescent="0.3">
      <c r="A23" s="10" t="s">
        <v>22</v>
      </c>
      <c r="B23" s="10"/>
      <c r="C23" s="10"/>
    </row>
  </sheetData>
  <hyperlinks>
    <hyperlink ref="B8" r:id="rId1"/>
    <hyperlink ref="B20" r:id="rId2"/>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sheetPr>
  <dimension ref="A1:X97"/>
  <sheetViews>
    <sheetView zoomScaleNormal="100" workbookViewId="0">
      <pane ySplit="1" topLeftCell="A2" activePane="bottomLeft" state="frozen"/>
      <selection pane="bottomLeft" activeCell="A2" sqref="A2"/>
    </sheetView>
  </sheetViews>
  <sheetFormatPr defaultRowHeight="13.2" x14ac:dyDescent="0.25"/>
  <cols>
    <col min="1" max="1" width="2.77734375" customWidth="1"/>
    <col min="2" max="3" width="2.77734375" style="9" customWidth="1"/>
    <col min="4" max="4" width="27.21875" bestFit="1" customWidth="1"/>
    <col min="5" max="5" width="23.21875" bestFit="1" customWidth="1"/>
    <col min="6" max="6" width="25.21875" bestFit="1" customWidth="1"/>
    <col min="7" max="7" width="2.77734375" customWidth="1"/>
    <col min="8" max="8" width="12.44140625" style="9" bestFit="1" customWidth="1"/>
    <col min="9" max="12" width="12.44140625" bestFit="1" customWidth="1"/>
    <col min="22" max="24" width="9" bestFit="1" customWidth="1"/>
    <col min="25" max="25" width="9.5546875" bestFit="1" customWidth="1"/>
    <col min="26" max="26" width="10" bestFit="1" customWidth="1"/>
    <col min="30" max="34" width="9.88671875" bestFit="1" customWidth="1"/>
  </cols>
  <sheetData>
    <row r="1" spans="1:24" ht="30" x14ac:dyDescent="0.5">
      <c r="A1" s="3" t="s">
        <v>183</v>
      </c>
      <c r="B1" s="3"/>
      <c r="C1" s="3"/>
      <c r="D1" s="3"/>
      <c r="E1" s="3"/>
      <c r="F1" s="3"/>
      <c r="G1" s="3"/>
      <c r="H1" s="3"/>
      <c r="I1" s="3"/>
      <c r="J1" s="3"/>
      <c r="K1" s="3"/>
      <c r="L1" s="3"/>
      <c r="M1" s="3"/>
      <c r="N1" s="3"/>
      <c r="O1" s="3"/>
      <c r="P1" s="3"/>
      <c r="Q1" s="3"/>
      <c r="R1" s="3"/>
      <c r="S1" s="3"/>
      <c r="T1" s="3"/>
      <c r="U1" s="3"/>
      <c r="V1" s="3"/>
      <c r="W1" s="3"/>
      <c r="X1" s="3"/>
    </row>
    <row r="2" spans="1:24" x14ac:dyDescent="0.25">
      <c r="A2" s="9"/>
      <c r="D2" s="9"/>
      <c r="E2" s="9"/>
      <c r="F2" s="9"/>
      <c r="G2" s="9"/>
      <c r="I2" s="9"/>
      <c r="J2" s="9"/>
      <c r="K2" s="9"/>
      <c r="L2" s="9"/>
      <c r="M2" s="9"/>
      <c r="N2" s="9"/>
      <c r="O2" s="9"/>
      <c r="P2" s="9"/>
      <c r="Q2" s="9"/>
      <c r="R2" s="9"/>
      <c r="S2" s="9"/>
      <c r="T2" s="9"/>
      <c r="U2" s="9"/>
      <c r="V2" s="9"/>
      <c r="W2" s="9"/>
      <c r="X2" s="9"/>
    </row>
    <row r="3" spans="1:24" x14ac:dyDescent="0.25">
      <c r="A3" s="9"/>
      <c r="B3" s="4" t="s">
        <v>367</v>
      </c>
      <c r="D3" s="9"/>
      <c r="E3" s="9"/>
      <c r="F3" s="9"/>
      <c r="G3" s="9"/>
      <c r="I3" s="9"/>
      <c r="J3" s="9"/>
      <c r="K3" s="9"/>
      <c r="L3" s="9"/>
      <c r="M3" s="9"/>
      <c r="N3" s="9"/>
      <c r="O3" s="9"/>
      <c r="P3" s="9"/>
      <c r="Q3" s="9"/>
      <c r="R3" s="9"/>
      <c r="S3" s="9"/>
      <c r="T3" s="9"/>
      <c r="U3" s="9"/>
      <c r="V3" s="9"/>
      <c r="W3" s="9"/>
      <c r="X3" s="9"/>
    </row>
    <row r="4" spans="1:24" x14ac:dyDescent="0.25">
      <c r="A4" s="9"/>
      <c r="D4" s="9"/>
      <c r="E4" s="9"/>
      <c r="F4" s="9"/>
      <c r="G4" s="9"/>
      <c r="I4" s="9"/>
      <c r="J4" s="9"/>
      <c r="K4" s="9"/>
      <c r="L4" s="9"/>
      <c r="M4" s="9"/>
      <c r="N4" s="9"/>
      <c r="O4" s="9"/>
      <c r="P4" s="9"/>
      <c r="Q4" s="9"/>
      <c r="R4" s="9"/>
      <c r="S4" s="9"/>
      <c r="T4" s="9"/>
      <c r="U4" s="9"/>
      <c r="V4" s="9"/>
      <c r="W4" s="9"/>
      <c r="X4" s="9"/>
    </row>
    <row r="5" spans="1:24" ht="13.8" x14ac:dyDescent="0.3">
      <c r="A5" s="8" t="s">
        <v>368</v>
      </c>
      <c r="B5" s="8"/>
      <c r="C5" s="8"/>
      <c r="D5" s="8"/>
      <c r="E5" s="8"/>
      <c r="F5" s="8"/>
      <c r="G5" s="8"/>
      <c r="H5" s="8"/>
      <c r="I5" s="8"/>
      <c r="J5" s="8"/>
      <c r="K5" s="8"/>
      <c r="L5" s="8"/>
      <c r="M5" s="8"/>
      <c r="N5" s="8"/>
      <c r="O5" s="8"/>
      <c r="P5" s="8"/>
      <c r="Q5" s="8"/>
      <c r="R5" s="8"/>
      <c r="S5" s="8"/>
      <c r="T5" s="8"/>
      <c r="U5" s="8"/>
      <c r="V5" s="8"/>
      <c r="W5" s="8"/>
      <c r="X5" s="8"/>
    </row>
    <row r="6" spans="1:24" x14ac:dyDescent="0.25">
      <c r="A6" s="9"/>
      <c r="D6" s="9"/>
      <c r="E6" s="9"/>
      <c r="F6" s="9"/>
      <c r="G6" s="9"/>
      <c r="I6" s="9"/>
      <c r="J6" s="9"/>
      <c r="K6" s="9"/>
      <c r="L6" s="9"/>
      <c r="M6" s="9"/>
      <c r="N6" s="9"/>
      <c r="O6" s="9"/>
      <c r="P6" s="9"/>
      <c r="Q6" s="9"/>
      <c r="R6" s="9"/>
      <c r="S6" s="9"/>
      <c r="T6" s="9"/>
      <c r="U6" s="9"/>
      <c r="V6" s="9"/>
      <c r="W6" s="9"/>
      <c r="X6" s="9"/>
    </row>
    <row r="7" spans="1:24" ht="15" x14ac:dyDescent="0.35">
      <c r="A7" s="1" t="s">
        <v>369</v>
      </c>
      <c r="D7" s="9"/>
      <c r="E7" s="9"/>
      <c r="F7" s="9"/>
      <c r="G7" s="9"/>
      <c r="I7" s="9"/>
      <c r="J7" s="9"/>
      <c r="K7" s="9"/>
      <c r="L7" s="9"/>
      <c r="M7" s="9"/>
      <c r="N7" s="9"/>
      <c r="O7" s="9"/>
      <c r="P7" s="9"/>
      <c r="Q7" s="9"/>
      <c r="R7" s="9"/>
      <c r="S7" s="9"/>
      <c r="T7" s="9"/>
      <c r="U7" s="9"/>
      <c r="V7" s="9"/>
      <c r="W7" s="9"/>
      <c r="X7" s="9"/>
    </row>
    <row r="8" spans="1:24" ht="15" x14ac:dyDescent="0.35">
      <c r="A8" s="1"/>
      <c r="B8" s="4" t="s">
        <v>370</v>
      </c>
      <c r="D8" s="9"/>
      <c r="E8" s="9"/>
      <c r="F8" s="9"/>
      <c r="G8" s="9"/>
      <c r="I8" s="9"/>
      <c r="J8" s="9"/>
      <c r="K8" s="9"/>
      <c r="L8" s="9"/>
      <c r="M8" s="9"/>
      <c r="N8" s="9"/>
      <c r="O8" s="9"/>
      <c r="P8" s="9"/>
      <c r="Q8" s="9"/>
      <c r="R8" s="9"/>
      <c r="S8" s="9"/>
      <c r="T8" s="9"/>
      <c r="U8" s="9"/>
      <c r="V8" s="9"/>
      <c r="W8" s="9"/>
      <c r="X8" s="9"/>
    </row>
    <row r="10" spans="1:24" x14ac:dyDescent="0.25">
      <c r="A10" s="9"/>
      <c r="D10" s="9" t="s">
        <v>371</v>
      </c>
      <c r="E10" s="106" t="str">
        <f>INDEX(Assumptions_BP,MATCH(A1,Assumptions_BP_PC,0))</f>
        <v>September 2018</v>
      </c>
      <c r="F10" s="9"/>
      <c r="G10" s="9"/>
      <c r="I10" s="9"/>
      <c r="J10" s="9"/>
      <c r="K10" s="9"/>
      <c r="L10" s="9"/>
      <c r="M10" s="9"/>
      <c r="N10" s="9"/>
      <c r="O10" s="9"/>
      <c r="P10" s="9"/>
      <c r="Q10" s="9"/>
      <c r="R10" s="9"/>
      <c r="S10" s="9"/>
      <c r="T10" s="9"/>
      <c r="U10" s="9"/>
      <c r="V10" s="9"/>
      <c r="W10" s="9"/>
      <c r="X10" s="9"/>
    </row>
    <row r="13" spans="1:24" x14ac:dyDescent="0.25">
      <c r="A13" s="9"/>
      <c r="D13" s="9"/>
      <c r="E13" s="9"/>
      <c r="F13" s="9"/>
      <c r="G13" s="9"/>
      <c r="H13" s="9" t="s">
        <v>372</v>
      </c>
      <c r="I13" s="9" t="s">
        <v>372</v>
      </c>
      <c r="J13" s="9" t="s">
        <v>373</v>
      </c>
      <c r="K13" s="9" t="s">
        <v>374</v>
      </c>
      <c r="L13" s="9" t="s">
        <v>374</v>
      </c>
      <c r="M13" s="9" t="s">
        <v>374</v>
      </c>
      <c r="N13" s="9" t="s">
        <v>374</v>
      </c>
      <c r="O13" s="9" t="s">
        <v>374</v>
      </c>
      <c r="P13" s="9"/>
      <c r="Q13" s="9"/>
      <c r="R13" s="9"/>
      <c r="S13" s="9"/>
      <c r="T13" s="9"/>
      <c r="U13" s="9"/>
      <c r="V13" s="9"/>
      <c r="W13" s="9"/>
      <c r="X13" s="9"/>
    </row>
    <row r="14" spans="1:24" x14ac:dyDescent="0.25">
      <c r="A14" s="9"/>
      <c r="D14" s="9" t="s">
        <v>149</v>
      </c>
      <c r="E14" s="9" t="s">
        <v>150</v>
      </c>
      <c r="F14" s="9" t="s">
        <v>151</v>
      </c>
      <c r="G14" s="9"/>
      <c r="H14" s="9" t="s">
        <v>375</v>
      </c>
      <c r="I14" s="9" t="s">
        <v>376</v>
      </c>
      <c r="J14" s="9" t="s">
        <v>377</v>
      </c>
      <c r="K14" s="9" t="s">
        <v>174</v>
      </c>
      <c r="L14" s="9" t="s">
        <v>175</v>
      </c>
      <c r="M14" s="9" t="s">
        <v>176</v>
      </c>
      <c r="N14" s="9" t="s">
        <v>177</v>
      </c>
      <c r="O14" s="9" t="s">
        <v>178</v>
      </c>
      <c r="P14" s="9"/>
      <c r="Q14" s="9"/>
      <c r="R14" s="9"/>
      <c r="S14" s="9"/>
      <c r="T14" s="9"/>
      <c r="U14" s="9"/>
      <c r="V14" s="9"/>
      <c r="W14" s="9"/>
      <c r="X14" s="9"/>
    </row>
    <row r="15" spans="1:24" x14ac:dyDescent="0.25">
      <c r="A15" s="9"/>
      <c r="D15" s="21" t="s">
        <v>253</v>
      </c>
      <c r="E15" s="21" t="s">
        <v>157</v>
      </c>
      <c r="F15" s="21" t="s">
        <v>194</v>
      </c>
      <c r="G15" s="9"/>
      <c r="H15" s="45">
        <f t="shared" ref="H15:O25" si="0">IF(H$13="Proposed",IF($E$10="September 2018",INDEX(PCLsProposed_Sept,MATCH($D15,PCLsProposed_ID,0),MATCH(H$14,PCLpropsedyears_September,0)),INDEX(PCLsProposed_April,MATCH($D15,PCLsProposed_ID,0),MATCH(H$14,PCLProposedyears_April,0))),IF(INDEX(PCLhistorical_data,MATCH($D15,PCLhistorical_ID,0),MATCH(H$14,PCLhistorical_years,0))="","",INDEX(PCLhistorical_data,MATCH($D15,PCLhistorical_ID,0),MATCH(H$14,PCLhistorical_years,0))))</f>
        <v>30</v>
      </c>
      <c r="I15" s="45">
        <f t="shared" si="0"/>
        <v>25</v>
      </c>
      <c r="J15" s="45">
        <f t="shared" si="0"/>
        <v>29</v>
      </c>
      <c r="K15" s="45">
        <f t="shared" si="0"/>
        <v>25</v>
      </c>
      <c r="L15" s="45">
        <f t="shared" si="0"/>
        <v>24</v>
      </c>
      <c r="M15" s="45">
        <f t="shared" si="0"/>
        <v>23</v>
      </c>
      <c r="N15" s="45">
        <f t="shared" si="0"/>
        <v>22</v>
      </c>
      <c r="O15" s="45">
        <f t="shared" si="0"/>
        <v>21</v>
      </c>
      <c r="P15" s="9"/>
      <c r="Q15" s="9"/>
      <c r="R15" s="9"/>
      <c r="S15" s="9"/>
      <c r="T15" s="43"/>
      <c r="U15" s="9"/>
      <c r="V15" s="9"/>
      <c r="W15" s="9"/>
      <c r="X15" s="9"/>
    </row>
    <row r="16" spans="1:24" x14ac:dyDescent="0.25">
      <c r="A16" s="9"/>
      <c r="D16" s="21" t="s">
        <v>257</v>
      </c>
      <c r="E16" s="21" t="s">
        <v>237</v>
      </c>
      <c r="F16" s="21" t="s">
        <v>194</v>
      </c>
      <c r="G16" s="9"/>
      <c r="H16" s="45">
        <f t="shared" si="0"/>
        <v>140</v>
      </c>
      <c r="I16" s="45">
        <f t="shared" si="0"/>
        <v>117</v>
      </c>
      <c r="J16" s="45">
        <f t="shared" si="0"/>
        <v>158</v>
      </c>
      <c r="K16" s="45">
        <f t="shared" si="0"/>
        <v>138</v>
      </c>
      <c r="L16" s="45">
        <f t="shared" si="0"/>
        <v>137</v>
      </c>
      <c r="M16" s="45">
        <f t="shared" si="0"/>
        <v>117</v>
      </c>
      <c r="N16" s="45">
        <f t="shared" si="0"/>
        <v>117</v>
      </c>
      <c r="O16" s="45">
        <f t="shared" si="0"/>
        <v>116</v>
      </c>
      <c r="P16" s="9"/>
      <c r="Q16" s="9"/>
      <c r="R16" s="9"/>
      <c r="S16" s="9"/>
      <c r="T16" s="43"/>
      <c r="U16" s="9"/>
      <c r="V16" s="9"/>
      <c r="W16" s="9"/>
      <c r="X16" s="9"/>
    </row>
    <row r="17" spans="1:24" x14ac:dyDescent="0.25">
      <c r="A17" s="9"/>
      <c r="D17" s="21" t="s">
        <v>185</v>
      </c>
      <c r="E17" s="21" t="s">
        <v>186</v>
      </c>
      <c r="F17" s="21" t="s">
        <v>194</v>
      </c>
      <c r="G17" s="9"/>
      <c r="H17" s="45">
        <f t="shared" si="0"/>
        <v>16.68</v>
      </c>
      <c r="I17" s="45">
        <f t="shared" si="0"/>
        <v>12</v>
      </c>
      <c r="J17" s="45">
        <f t="shared" si="0"/>
        <v>25.01</v>
      </c>
      <c r="K17" s="45">
        <f t="shared" si="0"/>
        <v>24.01</v>
      </c>
      <c r="L17" s="45">
        <f t="shared" si="0"/>
        <v>22.35</v>
      </c>
      <c r="M17" s="45">
        <f t="shared" si="0"/>
        <v>20.350000000000001</v>
      </c>
      <c r="N17" s="45">
        <f t="shared" si="0"/>
        <v>18.010000000000002</v>
      </c>
      <c r="O17" s="45">
        <f t="shared" si="0"/>
        <v>14.34</v>
      </c>
      <c r="P17" s="9"/>
      <c r="Q17" s="9"/>
      <c r="R17" s="9"/>
      <c r="S17" s="9"/>
      <c r="T17" s="43"/>
      <c r="U17" s="9"/>
      <c r="V17" s="9"/>
      <c r="W17" s="9"/>
      <c r="X17" s="9"/>
    </row>
    <row r="18" spans="1:24" x14ac:dyDescent="0.25">
      <c r="A18" s="9"/>
      <c r="D18" s="21" t="s">
        <v>258</v>
      </c>
      <c r="E18" s="21" t="s">
        <v>205</v>
      </c>
      <c r="F18" s="21" t="s">
        <v>194</v>
      </c>
      <c r="G18" s="9"/>
      <c r="H18" s="45">
        <f t="shared" si="0"/>
        <v>31.1</v>
      </c>
      <c r="I18" s="45">
        <f t="shared" si="0"/>
        <v>39</v>
      </c>
      <c r="J18" s="45">
        <f t="shared" si="0"/>
        <v>29.2</v>
      </c>
      <c r="K18" s="45">
        <f t="shared" si="0"/>
        <v>27.8</v>
      </c>
      <c r="L18" s="45">
        <f t="shared" si="0"/>
        <v>26.4</v>
      </c>
      <c r="M18" s="45">
        <f t="shared" si="0"/>
        <v>24.5</v>
      </c>
      <c r="N18" s="45">
        <f t="shared" si="0"/>
        <v>22.8</v>
      </c>
      <c r="O18" s="45">
        <f t="shared" si="0"/>
        <v>20</v>
      </c>
      <c r="P18" s="9"/>
      <c r="Q18" s="9"/>
      <c r="R18" s="9"/>
      <c r="S18" s="9"/>
      <c r="T18" s="43"/>
      <c r="U18" s="9"/>
      <c r="V18" s="9"/>
      <c r="W18" s="9"/>
      <c r="X18" s="9"/>
    </row>
    <row r="19" spans="1:24" x14ac:dyDescent="0.25">
      <c r="A19" s="9"/>
      <c r="D19" s="9" t="s">
        <v>259</v>
      </c>
      <c r="E19" s="9" t="s">
        <v>198</v>
      </c>
      <c r="F19" s="21" t="s">
        <v>194</v>
      </c>
      <c r="G19" s="9"/>
      <c r="H19" s="45">
        <f t="shared" si="0"/>
        <v>29.29</v>
      </c>
      <c r="I19" s="45">
        <f t="shared" si="0"/>
        <v>31</v>
      </c>
      <c r="J19" s="45">
        <f t="shared" si="0"/>
        <v>27.41</v>
      </c>
      <c r="K19" s="45">
        <f t="shared" si="0"/>
        <v>26.43</v>
      </c>
      <c r="L19" s="45">
        <f t="shared" si="0"/>
        <v>25.45</v>
      </c>
      <c r="M19" s="45">
        <f t="shared" si="0"/>
        <v>24.47</v>
      </c>
      <c r="N19" s="45">
        <f t="shared" si="0"/>
        <v>23.48</v>
      </c>
      <c r="O19" s="45">
        <f t="shared" si="0"/>
        <v>22.49</v>
      </c>
      <c r="P19" s="9"/>
      <c r="Q19" s="9"/>
      <c r="R19" s="9"/>
      <c r="S19" s="9"/>
      <c r="T19" s="43"/>
      <c r="U19" s="9"/>
      <c r="V19" s="9"/>
      <c r="W19" s="9"/>
      <c r="X19" s="9"/>
    </row>
    <row r="20" spans="1:24" x14ac:dyDescent="0.25">
      <c r="A20" s="9"/>
      <c r="D20" s="9" t="s">
        <v>260</v>
      </c>
      <c r="E20" s="9" t="s">
        <v>167</v>
      </c>
      <c r="F20" s="21" t="s">
        <v>194</v>
      </c>
      <c r="G20" s="9"/>
      <c r="H20" s="45">
        <f t="shared" si="0"/>
        <v>109</v>
      </c>
      <c r="I20" s="45">
        <f t="shared" si="0"/>
        <v>98</v>
      </c>
      <c r="J20" s="45">
        <f t="shared" si="0"/>
        <v>46</v>
      </c>
      <c r="K20" s="45">
        <f t="shared" si="0"/>
        <v>34</v>
      </c>
      <c r="L20" s="45">
        <f t="shared" si="0"/>
        <v>30</v>
      </c>
      <c r="M20" s="45">
        <f t="shared" si="0"/>
        <v>27</v>
      </c>
      <c r="N20" s="45">
        <f t="shared" si="0"/>
        <v>23</v>
      </c>
      <c r="O20" s="45">
        <f t="shared" si="0"/>
        <v>19</v>
      </c>
      <c r="P20" s="9"/>
      <c r="Q20" s="9"/>
      <c r="R20" s="9"/>
      <c r="S20" s="9"/>
      <c r="T20" s="43"/>
      <c r="U20" s="9"/>
      <c r="V20" s="9"/>
      <c r="W20" s="9"/>
      <c r="X20" s="9"/>
    </row>
    <row r="21" spans="1:24" x14ac:dyDescent="0.25">
      <c r="A21" s="9"/>
      <c r="D21" s="9" t="s">
        <v>261</v>
      </c>
      <c r="E21" s="9" t="s">
        <v>249</v>
      </c>
      <c r="F21" s="21" t="s">
        <v>194</v>
      </c>
      <c r="G21" s="9"/>
      <c r="H21" s="45">
        <f t="shared" si="0"/>
        <v>28</v>
      </c>
      <c r="I21" s="45">
        <f t="shared" si="0"/>
        <v>27</v>
      </c>
      <c r="J21" s="45">
        <f t="shared" si="0"/>
        <v>28</v>
      </c>
      <c r="K21" s="45">
        <f t="shared" si="0"/>
        <v>27</v>
      </c>
      <c r="L21" s="45">
        <f t="shared" si="0"/>
        <v>26</v>
      </c>
      <c r="M21" s="45">
        <f t="shared" si="0"/>
        <v>25</v>
      </c>
      <c r="N21" s="45">
        <f t="shared" si="0"/>
        <v>24</v>
      </c>
      <c r="O21" s="45">
        <f t="shared" si="0"/>
        <v>23</v>
      </c>
      <c r="P21" s="9"/>
      <c r="Q21" s="9"/>
      <c r="R21" s="9"/>
      <c r="S21" s="9"/>
      <c r="T21" s="43"/>
      <c r="U21" s="9"/>
      <c r="V21" s="9"/>
      <c r="W21" s="9"/>
      <c r="X21" s="9"/>
    </row>
    <row r="22" spans="1:24" x14ac:dyDescent="0.25">
      <c r="A22" s="9"/>
      <c r="D22" s="9" t="s">
        <v>189</v>
      </c>
      <c r="E22" s="9" t="s">
        <v>190</v>
      </c>
      <c r="F22" s="21" t="s">
        <v>194</v>
      </c>
      <c r="G22" s="9"/>
      <c r="H22" s="45">
        <f t="shared" si="0"/>
        <v>24.771000000000001</v>
      </c>
      <c r="I22" s="45">
        <f t="shared" si="0"/>
        <v>24</v>
      </c>
      <c r="J22" s="45">
        <f t="shared" si="0"/>
        <v>24.385999999999999</v>
      </c>
      <c r="K22" s="45">
        <f t="shared" si="0"/>
        <v>23.73</v>
      </c>
      <c r="L22" s="45">
        <f t="shared" si="0"/>
        <v>23.472000000000001</v>
      </c>
      <c r="M22" s="45">
        <f t="shared" si="0"/>
        <v>23.213999999999999</v>
      </c>
      <c r="N22" s="45">
        <f t="shared" si="0"/>
        <v>22.956</v>
      </c>
      <c r="O22" s="45">
        <f t="shared" si="0"/>
        <v>22.698</v>
      </c>
      <c r="P22" s="9"/>
      <c r="Q22" s="9"/>
      <c r="R22" s="9"/>
      <c r="S22" s="9"/>
      <c r="T22" s="43"/>
      <c r="U22" s="9"/>
      <c r="V22" s="9"/>
      <c r="W22" s="9"/>
      <c r="X22" s="82"/>
    </row>
    <row r="23" spans="1:24" x14ac:dyDescent="0.25">
      <c r="A23" s="9"/>
      <c r="D23" s="9" t="s">
        <v>262</v>
      </c>
      <c r="E23" s="9" t="s">
        <v>252</v>
      </c>
      <c r="F23" s="21" t="s">
        <v>194</v>
      </c>
      <c r="G23" s="9"/>
      <c r="H23" s="45">
        <f t="shared" si="0"/>
        <v>28</v>
      </c>
      <c r="I23" s="45">
        <f t="shared" si="0"/>
        <v>28</v>
      </c>
      <c r="J23" s="45">
        <f t="shared" si="0"/>
        <v>29</v>
      </c>
      <c r="K23" s="45">
        <f t="shared" si="0"/>
        <v>28</v>
      </c>
      <c r="L23" s="45">
        <f t="shared" si="0"/>
        <v>27</v>
      </c>
      <c r="M23" s="45">
        <f t="shared" si="0"/>
        <v>26</v>
      </c>
      <c r="N23" s="45">
        <f t="shared" si="0"/>
        <v>25</v>
      </c>
      <c r="O23" s="45">
        <f t="shared" si="0"/>
        <v>24</v>
      </c>
      <c r="P23" s="9"/>
      <c r="Q23" s="9"/>
      <c r="R23" s="9"/>
      <c r="S23" s="9"/>
      <c r="T23" s="43"/>
      <c r="U23" s="9"/>
      <c r="V23" s="9"/>
      <c r="W23" s="9"/>
      <c r="X23" s="82"/>
    </row>
    <row r="24" spans="1:24" x14ac:dyDescent="0.25">
      <c r="A24" s="9"/>
      <c r="D24" s="9" t="s">
        <v>191</v>
      </c>
      <c r="E24" s="9" t="s">
        <v>169</v>
      </c>
      <c r="F24" s="21" t="s">
        <v>194</v>
      </c>
      <c r="G24" s="9"/>
      <c r="H24" s="45">
        <f t="shared" si="0"/>
        <v>23</v>
      </c>
      <c r="I24" s="45">
        <f t="shared" si="0"/>
        <v>24</v>
      </c>
      <c r="J24" s="45">
        <f t="shared" si="0"/>
        <v>22</v>
      </c>
      <c r="K24" s="45">
        <f t="shared" si="0"/>
        <v>21</v>
      </c>
      <c r="L24" s="45">
        <f t="shared" si="0"/>
        <v>20</v>
      </c>
      <c r="M24" s="45">
        <f t="shared" si="0"/>
        <v>19</v>
      </c>
      <c r="N24" s="45">
        <f t="shared" si="0"/>
        <v>18</v>
      </c>
      <c r="O24" s="45">
        <f t="shared" si="0"/>
        <v>17</v>
      </c>
      <c r="P24" s="9"/>
      <c r="Q24" s="9"/>
      <c r="R24" s="9"/>
      <c r="S24" s="9"/>
      <c r="T24" s="43"/>
      <c r="U24" s="9"/>
      <c r="V24" s="9"/>
      <c r="W24" s="9"/>
      <c r="X24" s="82"/>
    </row>
    <row r="25" spans="1:24" x14ac:dyDescent="0.25">
      <c r="A25" s="9"/>
      <c r="D25" s="9" t="s">
        <v>192</v>
      </c>
      <c r="E25" s="9" t="s">
        <v>171</v>
      </c>
      <c r="F25" s="21" t="s">
        <v>194</v>
      </c>
      <c r="G25" s="9"/>
      <c r="H25" s="45">
        <f t="shared" si="0"/>
        <v>43</v>
      </c>
      <c r="I25" s="45">
        <f t="shared" si="0"/>
        <v>44.192525698914395</v>
      </c>
      <c r="J25" s="45">
        <f t="shared" si="0"/>
        <v>33</v>
      </c>
      <c r="K25" s="45">
        <f t="shared" si="0"/>
        <v>25</v>
      </c>
      <c r="L25" s="45">
        <f t="shared" si="0"/>
        <v>24</v>
      </c>
      <c r="M25" s="45">
        <f t="shared" si="0"/>
        <v>23</v>
      </c>
      <c r="N25" s="45">
        <f t="shared" si="0"/>
        <v>23</v>
      </c>
      <c r="O25" s="45">
        <f t="shared" si="0"/>
        <v>22</v>
      </c>
      <c r="P25" s="9"/>
      <c r="Q25" s="9"/>
      <c r="R25" s="9"/>
      <c r="S25" s="9"/>
      <c r="T25" s="43"/>
      <c r="U25" s="9"/>
      <c r="V25" s="9"/>
      <c r="W25" s="9"/>
      <c r="X25" s="82"/>
    </row>
    <row r="26" spans="1:24" x14ac:dyDescent="0.25">
      <c r="A26" s="9"/>
      <c r="D26" s="31"/>
      <c r="E26" s="31"/>
      <c r="F26" s="31"/>
      <c r="G26" s="9"/>
      <c r="H26" s="28"/>
      <c r="I26" s="28"/>
      <c r="J26" s="28"/>
      <c r="K26" s="28"/>
      <c r="L26" s="28"/>
      <c r="M26" s="28"/>
      <c r="N26" s="28"/>
      <c r="O26" s="28"/>
      <c r="P26" s="9"/>
      <c r="Q26" s="9"/>
      <c r="R26" s="9"/>
      <c r="S26" s="9"/>
      <c r="T26" s="9"/>
      <c r="U26" s="9"/>
      <c r="V26" s="9"/>
      <c r="W26" s="9"/>
      <c r="X26" s="82"/>
    </row>
    <row r="27" spans="1:24" ht="15" x14ac:dyDescent="0.35">
      <c r="A27" s="1" t="s">
        <v>378</v>
      </c>
      <c r="D27" s="31"/>
      <c r="E27" s="31"/>
      <c r="F27" s="31"/>
      <c r="G27" s="9"/>
      <c r="H27" s="28"/>
      <c r="I27" s="28"/>
      <c r="J27" s="28"/>
      <c r="K27" s="28"/>
      <c r="L27" s="28"/>
      <c r="M27" s="28"/>
      <c r="N27" s="28"/>
      <c r="O27" s="28"/>
      <c r="P27" s="9"/>
      <c r="Q27" s="9"/>
      <c r="R27" s="9"/>
      <c r="S27" s="9"/>
      <c r="T27" s="9"/>
      <c r="U27" s="9"/>
      <c r="V27" s="9"/>
      <c r="W27" s="9"/>
      <c r="X27" s="9"/>
    </row>
    <row r="28" spans="1:24" x14ac:dyDescent="0.25">
      <c r="A28" s="9"/>
      <c r="D28" s="31"/>
      <c r="E28" s="31"/>
      <c r="F28" s="31"/>
      <c r="G28" s="9"/>
      <c r="H28" s="28"/>
      <c r="I28" s="28"/>
      <c r="J28" s="28"/>
      <c r="K28" s="28"/>
      <c r="L28" s="28"/>
      <c r="M28" s="28"/>
      <c r="N28" s="28"/>
      <c r="O28" s="28"/>
      <c r="P28" s="9"/>
      <c r="Q28" s="9"/>
      <c r="R28" s="9"/>
      <c r="S28" s="9"/>
      <c r="T28" s="9"/>
      <c r="U28" s="9"/>
      <c r="V28" s="9"/>
      <c r="W28" s="9"/>
      <c r="X28" s="9"/>
    </row>
    <row r="29" spans="1:24" ht="13.8" x14ac:dyDescent="0.3">
      <c r="A29" s="9"/>
      <c r="B29" s="2" t="s">
        <v>379</v>
      </c>
      <c r="C29" s="2"/>
      <c r="D29" s="31"/>
      <c r="E29" s="31"/>
      <c r="F29" s="31"/>
      <c r="G29" s="9"/>
      <c r="H29" s="28"/>
      <c r="I29" s="28"/>
      <c r="J29" s="28"/>
      <c r="K29" s="28"/>
      <c r="L29" s="28"/>
      <c r="M29" s="28"/>
      <c r="N29" s="28"/>
      <c r="O29" s="28"/>
      <c r="P29" s="9"/>
      <c r="Q29" s="9"/>
      <c r="R29" s="9"/>
      <c r="S29" s="9"/>
      <c r="T29" s="9"/>
      <c r="U29" s="9"/>
      <c r="V29" s="9"/>
      <c r="W29" s="9"/>
      <c r="X29" s="9"/>
    </row>
    <row r="30" spans="1:24" x14ac:dyDescent="0.25">
      <c r="A30" s="9"/>
      <c r="C30" s="4" t="s">
        <v>380</v>
      </c>
      <c r="D30" s="31"/>
      <c r="E30" s="31"/>
      <c r="F30" s="31"/>
      <c r="G30" s="9"/>
      <c r="H30" s="28"/>
      <c r="I30" s="28"/>
      <c r="J30" s="28"/>
      <c r="K30" s="9"/>
      <c r="L30" s="9"/>
      <c r="M30" s="9"/>
      <c r="N30" s="9"/>
      <c r="O30" s="9"/>
      <c r="P30" s="9"/>
      <c r="Q30" s="9"/>
      <c r="R30" s="9"/>
      <c r="S30" s="9"/>
      <c r="T30" s="9"/>
      <c r="U30" s="9"/>
      <c r="V30" s="9"/>
      <c r="W30" s="9"/>
      <c r="X30" s="9"/>
    </row>
    <row r="31" spans="1:24" x14ac:dyDescent="0.25">
      <c r="A31" s="9"/>
      <c r="D31" s="31"/>
      <c r="E31" s="31"/>
      <c r="F31" s="31"/>
      <c r="G31" s="9"/>
      <c r="H31" s="28"/>
      <c r="I31" s="28"/>
      <c r="J31" s="28"/>
      <c r="K31" s="9"/>
      <c r="L31" s="9"/>
      <c r="M31" s="9"/>
      <c r="N31" s="9"/>
      <c r="O31" s="9"/>
      <c r="P31" s="9"/>
      <c r="Q31" s="9"/>
      <c r="R31" s="9"/>
      <c r="S31" s="9"/>
      <c r="T31" s="9"/>
      <c r="U31" s="9"/>
      <c r="V31" s="9"/>
      <c r="W31" s="9"/>
      <c r="X31" s="9"/>
    </row>
    <row r="32" spans="1:24" x14ac:dyDescent="0.25">
      <c r="A32" s="9"/>
      <c r="D32" s="31"/>
      <c r="E32" s="31"/>
      <c r="F32" s="31"/>
      <c r="G32" s="9"/>
      <c r="H32" s="9" t="s">
        <v>372</v>
      </c>
      <c r="I32" s="9" t="s">
        <v>372</v>
      </c>
      <c r="J32" s="9" t="s">
        <v>373</v>
      </c>
      <c r="K32" s="9" t="s">
        <v>374</v>
      </c>
      <c r="L32" s="9" t="s">
        <v>374</v>
      </c>
      <c r="M32" s="9" t="s">
        <v>374</v>
      </c>
      <c r="N32" s="9" t="s">
        <v>374</v>
      </c>
      <c r="O32" s="9" t="s">
        <v>374</v>
      </c>
      <c r="P32" s="9"/>
      <c r="Q32" s="9"/>
      <c r="R32" s="9"/>
      <c r="S32" s="9"/>
      <c r="T32" s="9"/>
      <c r="U32" s="9"/>
      <c r="V32" s="9"/>
      <c r="W32" s="9"/>
      <c r="X32" s="9"/>
    </row>
    <row r="33" spans="1:24" x14ac:dyDescent="0.25">
      <c r="A33" s="9"/>
      <c r="D33" s="9"/>
      <c r="E33" s="9"/>
      <c r="F33" s="21"/>
      <c r="G33" s="9"/>
      <c r="H33" s="9" t="s">
        <v>375</v>
      </c>
      <c r="I33" s="9" t="s">
        <v>376</v>
      </c>
      <c r="J33" s="9" t="s">
        <v>377</v>
      </c>
      <c r="K33" s="9" t="s">
        <v>174</v>
      </c>
      <c r="L33" s="9" t="s">
        <v>175</v>
      </c>
      <c r="M33" s="9" t="s">
        <v>176</v>
      </c>
      <c r="N33" s="9" t="s">
        <v>177</v>
      </c>
      <c r="O33" s="9" t="s">
        <v>178</v>
      </c>
      <c r="P33" s="9"/>
      <c r="Q33" s="9"/>
      <c r="R33" s="9"/>
      <c r="S33" s="9"/>
      <c r="T33" s="9"/>
      <c r="U33" s="9"/>
      <c r="V33" s="9"/>
      <c r="W33" s="9"/>
      <c r="X33" s="9"/>
    </row>
    <row r="34" spans="1:24" x14ac:dyDescent="0.25">
      <c r="A34" s="9"/>
      <c r="D34" s="9"/>
      <c r="E34" s="9" t="s">
        <v>381</v>
      </c>
      <c r="F34" s="21" t="s">
        <v>194</v>
      </c>
      <c r="G34" s="9"/>
      <c r="H34" s="43">
        <f t="shared" ref="H34:O34" si="1">MIN(H15:H25)</f>
        <v>16.68</v>
      </c>
      <c r="I34" s="43">
        <f t="shared" si="1"/>
        <v>12</v>
      </c>
      <c r="J34" s="43">
        <f t="shared" si="1"/>
        <v>22</v>
      </c>
      <c r="K34" s="43">
        <f t="shared" si="1"/>
        <v>21</v>
      </c>
      <c r="L34" s="43">
        <f t="shared" si="1"/>
        <v>20</v>
      </c>
      <c r="M34" s="43">
        <f t="shared" si="1"/>
        <v>19</v>
      </c>
      <c r="N34" s="43">
        <f t="shared" si="1"/>
        <v>18</v>
      </c>
      <c r="O34" s="43">
        <f t="shared" si="1"/>
        <v>14.34</v>
      </c>
      <c r="P34" s="9"/>
      <c r="Q34" s="9"/>
      <c r="R34" s="9"/>
      <c r="S34" s="9"/>
      <c r="T34" s="9"/>
      <c r="U34" s="9"/>
      <c r="V34" s="9"/>
      <c r="W34" s="9"/>
      <c r="X34" s="9"/>
    </row>
    <row r="35" spans="1:24" ht="13.8" thickBot="1" x14ac:dyDescent="0.3">
      <c r="A35" s="9"/>
      <c r="D35" s="9"/>
      <c r="E35" s="9"/>
      <c r="F35" s="9"/>
      <c r="G35" s="9"/>
      <c r="I35" s="9"/>
      <c r="J35" s="9"/>
      <c r="K35" s="9"/>
      <c r="L35" s="9"/>
      <c r="M35" s="9"/>
      <c r="N35" s="9"/>
      <c r="O35" s="9"/>
      <c r="P35" s="9"/>
      <c r="Q35" s="9"/>
      <c r="R35" s="9"/>
      <c r="S35" s="9"/>
      <c r="T35" s="9"/>
      <c r="U35" s="9"/>
      <c r="V35" s="9"/>
      <c r="W35" s="9"/>
      <c r="X35" s="9"/>
    </row>
    <row r="36" spans="1:24" ht="13.8" thickBot="1" x14ac:dyDescent="0.3">
      <c r="A36" s="9"/>
      <c r="D36" s="9"/>
      <c r="E36" s="64" t="s">
        <v>382</v>
      </c>
      <c r="F36" s="65">
        <f>MIN(H34:I34,K34)</f>
        <v>12</v>
      </c>
      <c r="G36" s="9"/>
      <c r="I36" s="9"/>
      <c r="J36" s="9"/>
      <c r="K36" s="9"/>
      <c r="L36" s="9"/>
      <c r="M36" s="9"/>
      <c r="N36" s="9"/>
      <c r="O36" s="9"/>
      <c r="P36" s="9"/>
      <c r="Q36" s="9"/>
      <c r="R36" s="9"/>
      <c r="S36" s="9"/>
      <c r="T36" s="9"/>
      <c r="U36" s="9"/>
      <c r="V36" s="9"/>
      <c r="W36" s="9"/>
      <c r="X36" s="9"/>
    </row>
    <row r="37" spans="1:24" x14ac:dyDescent="0.25">
      <c r="A37" s="9"/>
      <c r="D37" s="9"/>
      <c r="E37" s="9"/>
      <c r="F37" s="9"/>
      <c r="G37" s="9"/>
      <c r="I37" s="9"/>
      <c r="J37" s="9"/>
      <c r="K37" s="9"/>
      <c r="L37" s="9"/>
      <c r="M37" s="9"/>
      <c r="N37" s="9"/>
      <c r="O37" s="9"/>
      <c r="P37" s="9"/>
      <c r="Q37" s="9"/>
      <c r="R37" s="9"/>
      <c r="S37" s="9"/>
      <c r="T37" s="9"/>
      <c r="U37" s="9"/>
      <c r="V37" s="9"/>
      <c r="W37" s="9"/>
      <c r="X37" s="9"/>
    </row>
    <row r="38" spans="1:24" ht="13.8" x14ac:dyDescent="0.3">
      <c r="A38" s="9"/>
      <c r="B38" s="2" t="s">
        <v>383</v>
      </c>
      <c r="D38" s="9"/>
      <c r="E38" s="9"/>
      <c r="F38" s="9"/>
      <c r="G38" s="9"/>
      <c r="I38" s="9"/>
      <c r="J38" s="9"/>
      <c r="K38" s="9"/>
      <c r="L38" s="9"/>
      <c r="M38" s="9"/>
      <c r="N38" s="9"/>
      <c r="O38" s="9"/>
      <c r="P38" s="9"/>
      <c r="Q38" s="9"/>
      <c r="R38" s="9"/>
      <c r="S38" s="9"/>
      <c r="T38" s="9"/>
      <c r="U38" s="9"/>
      <c r="V38" s="9"/>
      <c r="W38" s="9"/>
      <c r="X38" s="9"/>
    </row>
    <row r="39" spans="1:24" x14ac:dyDescent="0.25">
      <c r="A39" s="9"/>
      <c r="C39" s="4" t="s">
        <v>384</v>
      </c>
      <c r="D39" s="9"/>
      <c r="E39" s="9"/>
      <c r="F39" s="9"/>
      <c r="G39" s="9"/>
      <c r="I39" s="9"/>
      <c r="J39" s="9"/>
      <c r="K39" s="9"/>
      <c r="L39" s="9"/>
      <c r="M39" s="9"/>
      <c r="N39" s="9"/>
      <c r="O39" s="9"/>
      <c r="P39" s="9"/>
      <c r="Q39" s="9"/>
      <c r="R39" s="9"/>
      <c r="S39" s="9"/>
      <c r="T39" s="9"/>
      <c r="U39" s="9"/>
      <c r="V39" s="9"/>
      <c r="W39" s="9"/>
      <c r="X39" s="9"/>
    </row>
    <row r="40" spans="1:24" x14ac:dyDescent="0.25">
      <c r="A40" s="9"/>
      <c r="C40" s="4"/>
      <c r="D40" s="9"/>
      <c r="E40" s="9"/>
      <c r="F40" s="9"/>
      <c r="G40" s="9"/>
      <c r="I40" s="9"/>
      <c r="J40" s="9"/>
      <c r="K40" s="9"/>
      <c r="L40" s="9"/>
      <c r="M40" s="9"/>
      <c r="N40" s="9"/>
      <c r="O40" s="9"/>
      <c r="P40" s="9"/>
      <c r="Q40" s="9"/>
      <c r="R40" s="9"/>
      <c r="S40" s="9"/>
      <c r="T40" s="9"/>
      <c r="U40" s="9"/>
      <c r="V40" s="9"/>
      <c r="W40" s="9"/>
      <c r="X40" s="9"/>
    </row>
    <row r="41" spans="1:24" x14ac:dyDescent="0.25">
      <c r="A41" s="9"/>
      <c r="D41" s="9"/>
      <c r="E41" s="18" t="s">
        <v>121</v>
      </c>
      <c r="F41" s="121">
        <f>frontiershift</f>
        <v>1.3785667427973047E-2</v>
      </c>
      <c r="G41" s="9"/>
      <c r="I41" s="9"/>
      <c r="J41" s="9"/>
      <c r="K41" s="9"/>
      <c r="L41" s="9"/>
      <c r="M41" s="9"/>
      <c r="N41" s="9"/>
      <c r="O41" s="9"/>
      <c r="P41" s="9"/>
      <c r="Q41" s="9"/>
      <c r="R41" s="9"/>
      <c r="S41" s="9"/>
      <c r="T41" s="9"/>
      <c r="U41" s="9"/>
      <c r="V41" s="9"/>
      <c r="W41" s="9"/>
      <c r="X41" s="9"/>
    </row>
    <row r="42" spans="1:24" ht="13.8" thickBot="1" x14ac:dyDescent="0.3">
      <c r="A42" s="9"/>
      <c r="D42" s="9"/>
      <c r="E42" s="9"/>
      <c r="F42" s="9"/>
      <c r="G42" s="9"/>
      <c r="I42" s="9"/>
      <c r="J42" s="9"/>
      <c r="K42" s="9"/>
      <c r="L42" s="9"/>
      <c r="M42" s="9"/>
      <c r="N42" s="9"/>
      <c r="O42" s="9"/>
      <c r="P42" s="9"/>
      <c r="Q42" s="9"/>
      <c r="R42" s="9"/>
      <c r="S42" s="9"/>
      <c r="T42" s="9"/>
      <c r="U42" s="9"/>
      <c r="V42" s="9"/>
      <c r="W42" s="9"/>
      <c r="X42" s="9"/>
    </row>
    <row r="43" spans="1:24" ht="13.8" thickBot="1" x14ac:dyDescent="0.3">
      <c r="A43" s="9"/>
      <c r="D43" s="9"/>
      <c r="E43" s="64" t="s">
        <v>385</v>
      </c>
      <c r="F43" s="67">
        <f>F36*(1-F41)</f>
        <v>11.834571990864323</v>
      </c>
      <c r="G43" s="9"/>
      <c r="I43" s="9"/>
      <c r="J43" s="9"/>
      <c r="K43" s="9"/>
      <c r="L43" s="9"/>
      <c r="M43" s="9"/>
      <c r="N43" s="9"/>
      <c r="O43" s="9"/>
      <c r="P43" s="9"/>
      <c r="Q43" s="9"/>
      <c r="R43" s="9"/>
      <c r="S43" s="9"/>
      <c r="T43" s="9"/>
      <c r="U43" s="9"/>
      <c r="V43" s="9"/>
      <c r="W43" s="9"/>
      <c r="X43" s="9"/>
    </row>
    <row r="44" spans="1:24" x14ac:dyDescent="0.25">
      <c r="A44" s="9"/>
      <c r="D44" s="9"/>
      <c r="E44" s="9"/>
      <c r="F44" s="9"/>
      <c r="G44" s="9"/>
      <c r="I44" s="9"/>
      <c r="J44" s="9"/>
      <c r="K44" s="9"/>
      <c r="L44" s="9"/>
      <c r="M44" s="9"/>
      <c r="N44" s="9"/>
      <c r="O44" s="9"/>
      <c r="P44" s="9"/>
      <c r="Q44" s="9"/>
      <c r="R44" s="9"/>
      <c r="S44" s="9"/>
      <c r="T44" s="9"/>
      <c r="U44" s="9"/>
      <c r="V44" s="9"/>
      <c r="W44" s="9"/>
      <c r="X44" s="9"/>
    </row>
    <row r="45" spans="1:24" ht="13.8" x14ac:dyDescent="0.3">
      <c r="A45" s="9"/>
      <c r="B45" s="2" t="s">
        <v>386</v>
      </c>
      <c r="D45" s="9"/>
      <c r="E45" s="9"/>
      <c r="F45" s="9"/>
      <c r="G45" s="9"/>
      <c r="I45" s="9"/>
      <c r="J45" s="9"/>
      <c r="K45" s="9"/>
      <c r="L45" s="9"/>
      <c r="M45" s="9"/>
      <c r="N45" s="9"/>
      <c r="O45" s="9"/>
      <c r="P45" s="9"/>
      <c r="Q45" s="9"/>
      <c r="R45" s="9"/>
      <c r="S45" s="9"/>
      <c r="T45" s="9"/>
      <c r="U45" s="9"/>
      <c r="V45" s="9"/>
      <c r="W45" s="9"/>
      <c r="X45" s="9"/>
    </row>
    <row r="46" spans="1:24" x14ac:dyDescent="0.25">
      <c r="A46" s="9"/>
      <c r="C46" s="4" t="s">
        <v>387</v>
      </c>
      <c r="D46" s="9"/>
      <c r="E46" s="9"/>
      <c r="F46" s="9"/>
      <c r="G46" s="9"/>
      <c r="I46" s="9"/>
      <c r="J46" s="9"/>
      <c r="K46" s="9"/>
      <c r="L46" s="9"/>
      <c r="M46" s="9"/>
      <c r="N46" s="9"/>
      <c r="O46" s="9"/>
      <c r="P46" s="9"/>
      <c r="Q46" s="9"/>
      <c r="R46" s="9"/>
      <c r="S46" s="9"/>
      <c r="T46" s="9"/>
      <c r="U46" s="9"/>
      <c r="V46" s="9"/>
      <c r="W46" s="9"/>
      <c r="X46" s="9"/>
    </row>
    <row r="47" spans="1:24" x14ac:dyDescent="0.25">
      <c r="A47" s="9"/>
      <c r="C47" s="4" t="s">
        <v>388</v>
      </c>
      <c r="D47" s="9"/>
      <c r="E47" s="9"/>
      <c r="F47" s="9"/>
      <c r="G47" s="9"/>
      <c r="I47" s="9"/>
      <c r="J47" s="9"/>
      <c r="K47" s="9"/>
      <c r="L47" s="9"/>
      <c r="M47" s="9"/>
      <c r="N47" s="9"/>
      <c r="O47" s="9"/>
      <c r="P47" s="9"/>
      <c r="Q47" s="9"/>
      <c r="R47" s="9"/>
      <c r="S47" s="9"/>
      <c r="T47" s="9"/>
      <c r="U47" s="9"/>
      <c r="V47" s="9"/>
      <c r="W47" s="9"/>
      <c r="X47" s="9"/>
    </row>
    <row r="48" spans="1:24" x14ac:dyDescent="0.25">
      <c r="A48" s="9"/>
      <c r="C48" s="4"/>
      <c r="D48" s="9"/>
      <c r="E48" s="9"/>
      <c r="F48" s="9"/>
      <c r="G48" s="9"/>
      <c r="I48" s="9"/>
      <c r="J48" s="9"/>
      <c r="K48" s="9"/>
      <c r="L48" s="9"/>
      <c r="M48" s="9"/>
      <c r="N48" s="9"/>
      <c r="O48" s="9"/>
      <c r="P48" s="9"/>
      <c r="Q48" s="9"/>
      <c r="R48" s="9"/>
      <c r="S48" s="9"/>
      <c r="T48" s="9"/>
      <c r="U48" s="9"/>
      <c r="V48" s="9"/>
      <c r="W48" s="9"/>
      <c r="X48" s="9"/>
    </row>
    <row r="49" spans="1:24" x14ac:dyDescent="0.25">
      <c r="A49" s="9"/>
      <c r="D49" s="9"/>
      <c r="E49" s="9"/>
      <c r="F49" s="9"/>
      <c r="G49" s="9"/>
      <c r="H49" s="9" t="s">
        <v>372</v>
      </c>
      <c r="I49" s="9" t="s">
        <v>372</v>
      </c>
      <c r="J49" s="9" t="s">
        <v>373</v>
      </c>
      <c r="K49" s="9" t="s">
        <v>374</v>
      </c>
      <c r="L49" s="9" t="s">
        <v>374</v>
      </c>
      <c r="M49" s="9" t="s">
        <v>374</v>
      </c>
      <c r="N49" s="9" t="s">
        <v>374</v>
      </c>
      <c r="O49" s="9" t="s">
        <v>374</v>
      </c>
      <c r="P49" s="9"/>
      <c r="Q49" s="9"/>
      <c r="R49" s="9"/>
      <c r="S49" s="9"/>
      <c r="T49" s="9"/>
      <c r="U49" s="9"/>
      <c r="V49" s="9"/>
      <c r="W49" s="9"/>
      <c r="X49" s="9"/>
    </row>
    <row r="50" spans="1:24" x14ac:dyDescent="0.25">
      <c r="A50" s="9"/>
      <c r="D50" s="9"/>
      <c r="E50" s="9"/>
      <c r="F50" s="9"/>
      <c r="G50" s="9"/>
      <c r="H50" s="9" t="s">
        <v>375</v>
      </c>
      <c r="I50" s="9" t="s">
        <v>376</v>
      </c>
      <c r="J50" s="9" t="s">
        <v>377</v>
      </c>
      <c r="K50" s="9" t="s">
        <v>174</v>
      </c>
      <c r="L50" s="9" t="s">
        <v>175</v>
      </c>
      <c r="M50" s="9" t="s">
        <v>176</v>
      </c>
      <c r="N50" s="9" t="s">
        <v>177</v>
      </c>
      <c r="O50" s="9" t="s">
        <v>178</v>
      </c>
      <c r="P50" s="9"/>
      <c r="Q50" s="9"/>
      <c r="R50" s="9"/>
      <c r="S50" s="9"/>
      <c r="T50" s="9"/>
      <c r="U50" s="9"/>
      <c r="V50" s="9"/>
      <c r="W50" s="9"/>
      <c r="X50" s="9"/>
    </row>
    <row r="51" spans="1:24" x14ac:dyDescent="0.25">
      <c r="A51" s="9"/>
      <c r="D51" s="9"/>
      <c r="E51" s="9" t="s">
        <v>389</v>
      </c>
      <c r="F51" s="21" t="s">
        <v>194</v>
      </c>
      <c r="G51" s="9"/>
      <c r="H51" s="43">
        <f t="shared" ref="H51:O51" si="2">_xlfn.PERCENTILE.INC(H$15:H$25,0.25)</f>
        <v>26.3855</v>
      </c>
      <c r="I51" s="43">
        <f t="shared" si="2"/>
        <v>24.5</v>
      </c>
      <c r="J51" s="43">
        <f t="shared" si="2"/>
        <v>26.21</v>
      </c>
      <c r="K51" s="43">
        <f t="shared" si="2"/>
        <v>24.505000000000003</v>
      </c>
      <c r="L51" s="43">
        <f t="shared" si="2"/>
        <v>23.736000000000001</v>
      </c>
      <c r="M51" s="43">
        <f t="shared" si="2"/>
        <v>23</v>
      </c>
      <c r="N51" s="43">
        <f t="shared" si="2"/>
        <v>22.4</v>
      </c>
      <c r="O51" s="43">
        <f t="shared" si="2"/>
        <v>19.5</v>
      </c>
      <c r="P51" s="9"/>
      <c r="Q51" s="9"/>
      <c r="R51" s="9"/>
      <c r="S51" s="9"/>
      <c r="T51" s="9"/>
      <c r="U51" s="9"/>
      <c r="V51" s="9"/>
      <c r="W51" s="9"/>
      <c r="X51" s="9"/>
    </row>
    <row r="52" spans="1:24" x14ac:dyDescent="0.25">
      <c r="A52" s="9"/>
      <c r="D52" s="9"/>
      <c r="E52" s="9" t="s">
        <v>390</v>
      </c>
      <c r="F52" s="21" t="s">
        <v>194</v>
      </c>
      <c r="G52" s="9"/>
      <c r="H52" s="43">
        <f t="shared" ref="H52:O52" si="3">_xlfn.PERCENTILE.INC(H$15:H$25,0.75)</f>
        <v>37.049999999999997</v>
      </c>
      <c r="I52" s="43">
        <f t="shared" si="3"/>
        <v>41.596262849457197</v>
      </c>
      <c r="J52" s="43">
        <f t="shared" si="3"/>
        <v>31.1</v>
      </c>
      <c r="K52" s="43">
        <f t="shared" si="3"/>
        <v>27.9</v>
      </c>
      <c r="L52" s="43">
        <f t="shared" si="3"/>
        <v>26.7</v>
      </c>
      <c r="M52" s="43">
        <f t="shared" si="3"/>
        <v>25.5</v>
      </c>
      <c r="N52" s="43">
        <f t="shared" si="3"/>
        <v>23.740000000000002</v>
      </c>
      <c r="O52" s="43">
        <f t="shared" si="3"/>
        <v>22.849</v>
      </c>
      <c r="P52" s="9"/>
      <c r="Q52" s="9"/>
      <c r="R52" s="9"/>
      <c r="S52" s="9"/>
      <c r="T52" s="9"/>
      <c r="U52" s="9"/>
      <c r="V52" s="9"/>
      <c r="W52" s="9"/>
      <c r="X52" s="9"/>
    </row>
    <row r="53" spans="1:24" x14ac:dyDescent="0.25">
      <c r="A53" s="9"/>
      <c r="D53" s="9"/>
      <c r="E53" s="9"/>
      <c r="F53" s="9"/>
      <c r="G53" s="9"/>
      <c r="I53" s="9"/>
      <c r="J53" s="9"/>
      <c r="K53" s="9"/>
      <c r="L53" s="9"/>
      <c r="M53" s="9"/>
      <c r="N53" s="9"/>
      <c r="O53" s="9"/>
      <c r="P53" s="9"/>
      <c r="Q53" s="9"/>
      <c r="R53" s="9"/>
      <c r="S53" s="9"/>
      <c r="T53" s="9"/>
      <c r="U53" s="9"/>
      <c r="V53" s="9"/>
      <c r="W53" s="9"/>
      <c r="X53" s="9"/>
    </row>
    <row r="54" spans="1:24" x14ac:dyDescent="0.25">
      <c r="A54" s="9"/>
      <c r="D54" s="9"/>
      <c r="E54" s="9" t="s">
        <v>391</v>
      </c>
      <c r="F54" s="9" t="s">
        <v>392</v>
      </c>
      <c r="G54" s="9"/>
      <c r="H54" s="34"/>
      <c r="I54" s="34">
        <f>(I51/H51-1)</f>
        <v>-7.1459703246101069E-2</v>
      </c>
      <c r="J54" s="34">
        <f>(J51/I51-1)</f>
        <v>6.9795918367346887E-2</v>
      </c>
      <c r="K54" s="34">
        <f>(K51/J51-1)</f>
        <v>-6.5051507058374591E-2</v>
      </c>
      <c r="L54" s="34">
        <f t="shared" ref="L54:O54" si="4">(L51/K51-1)</f>
        <v>-3.1381350744746017E-2</v>
      </c>
      <c r="M54" s="34">
        <f t="shared" si="4"/>
        <v>-3.1007751937984551E-2</v>
      </c>
      <c r="N54" s="34">
        <f t="shared" si="4"/>
        <v>-2.6086956521739202E-2</v>
      </c>
      <c r="O54" s="34">
        <f t="shared" si="4"/>
        <v>-0.1294642857142857</v>
      </c>
      <c r="P54" s="9"/>
      <c r="Q54" s="9"/>
      <c r="R54" s="9"/>
      <c r="S54" s="9"/>
      <c r="T54" s="9"/>
      <c r="U54" s="9"/>
      <c r="V54" s="9"/>
      <c r="W54" s="9"/>
      <c r="X54" s="9"/>
    </row>
    <row r="55" spans="1:24" x14ac:dyDescent="0.25">
      <c r="A55" s="9"/>
      <c r="D55" s="9"/>
      <c r="E55" s="9"/>
      <c r="F55" s="9"/>
      <c r="G55" s="9"/>
      <c r="I55" s="9"/>
      <c r="J55" s="9"/>
      <c r="K55" s="9"/>
      <c r="L55" s="9"/>
      <c r="M55" s="9"/>
      <c r="N55" s="9"/>
      <c r="O55" s="9"/>
      <c r="P55" s="9"/>
      <c r="Q55" s="9"/>
      <c r="R55" s="9"/>
      <c r="S55" s="9"/>
      <c r="T55" s="9"/>
      <c r="U55" s="9"/>
      <c r="V55" s="9"/>
      <c r="W55" s="9"/>
      <c r="X55" s="9"/>
    </row>
    <row r="56" spans="1:24" x14ac:dyDescent="0.25">
      <c r="A56" s="9"/>
      <c r="D56" s="9"/>
      <c r="E56" s="9"/>
      <c r="F56" s="9"/>
      <c r="G56" s="9"/>
      <c r="I56" s="9"/>
      <c r="J56" s="9"/>
      <c r="K56" s="9"/>
      <c r="L56" s="9"/>
      <c r="M56" s="9"/>
      <c r="N56" s="9"/>
      <c r="O56" s="9"/>
      <c r="P56" s="9"/>
      <c r="Q56" s="9"/>
      <c r="R56" s="9"/>
      <c r="S56" s="9"/>
      <c r="T56" s="9"/>
      <c r="U56" s="9"/>
      <c r="V56" s="9"/>
      <c r="W56" s="9"/>
      <c r="X56" s="9"/>
    </row>
    <row r="57" spans="1:24" x14ac:dyDescent="0.25">
      <c r="A57" s="9"/>
      <c r="D57" s="9"/>
      <c r="E57" s="9"/>
      <c r="F57" s="9"/>
      <c r="G57" s="9"/>
      <c r="I57" s="9"/>
      <c r="J57" s="9"/>
      <c r="K57" s="9" t="s">
        <v>174</v>
      </c>
      <c r="L57" s="9" t="s">
        <v>175</v>
      </c>
      <c r="M57" s="9" t="s">
        <v>176</v>
      </c>
      <c r="N57" s="9" t="s">
        <v>177</v>
      </c>
      <c r="O57" s="9" t="s">
        <v>178</v>
      </c>
      <c r="P57" s="9"/>
      <c r="Q57" s="9"/>
      <c r="R57" s="9"/>
      <c r="S57" s="9"/>
      <c r="T57" s="9"/>
      <c r="U57" s="9"/>
      <c r="V57" s="9"/>
      <c r="W57" s="9"/>
      <c r="X57" s="9"/>
    </row>
    <row r="58" spans="1:24" x14ac:dyDescent="0.25">
      <c r="A58" s="9"/>
      <c r="D58" s="9"/>
      <c r="E58" s="9" t="s">
        <v>393</v>
      </c>
      <c r="F58" s="21" t="s">
        <v>194</v>
      </c>
      <c r="G58" s="9"/>
      <c r="I58" s="9"/>
      <c r="J58" s="9"/>
      <c r="K58" s="25">
        <f>F43</f>
        <v>11.834571990864323</v>
      </c>
      <c r="L58" s="25">
        <f>K58*(1-ABS(L54))</f>
        <v>11.463187136305063</v>
      </c>
      <c r="M58" s="25">
        <f>L58*(1-ABS(M54))</f>
        <v>11.10773947316382</v>
      </c>
      <c r="N58" s="25">
        <f>M58*(1-ABS(N54))</f>
        <v>10.817972356472589</v>
      </c>
      <c r="O58" s="25">
        <f>N58*(1-ABS(O54))</f>
        <v>9.4174312924649772</v>
      </c>
      <c r="P58" s="9"/>
      <c r="Q58" s="9"/>
      <c r="R58" s="9"/>
      <c r="S58" s="9"/>
      <c r="T58" s="9"/>
      <c r="U58" s="9"/>
      <c r="V58" s="9"/>
      <c r="W58" s="9"/>
      <c r="X58" s="9"/>
    </row>
    <row r="59" spans="1:24" x14ac:dyDescent="0.25">
      <c r="A59" s="9"/>
      <c r="D59" s="9"/>
      <c r="E59" s="9" t="s">
        <v>394</v>
      </c>
      <c r="F59" s="21" t="s">
        <v>194</v>
      </c>
      <c r="G59" s="9"/>
      <c r="I59" s="24"/>
      <c r="J59" s="9"/>
      <c r="K59" s="108">
        <f>$I$52</f>
        <v>41.596262849457197</v>
      </c>
      <c r="L59" s="108">
        <f>$I$52</f>
        <v>41.596262849457197</v>
      </c>
      <c r="M59" s="108">
        <f>$I$52</f>
        <v>41.596262849457197</v>
      </c>
      <c r="N59" s="108">
        <f>$I$52</f>
        <v>41.596262849457197</v>
      </c>
      <c r="O59" s="108">
        <f>$I$52</f>
        <v>41.596262849457197</v>
      </c>
      <c r="P59" s="9"/>
      <c r="Q59" s="9"/>
      <c r="R59" s="9"/>
      <c r="S59" s="9"/>
      <c r="T59" s="9"/>
      <c r="U59" s="9"/>
      <c r="V59" s="9"/>
      <c r="W59" s="9"/>
      <c r="X59" s="9"/>
    </row>
    <row r="60" spans="1:24" x14ac:dyDescent="0.25">
      <c r="A60" s="9"/>
      <c r="D60" s="9"/>
      <c r="E60" s="9"/>
      <c r="F60" s="21"/>
      <c r="G60" s="9"/>
      <c r="I60" s="24"/>
      <c r="J60" s="9"/>
      <c r="K60" s="74"/>
      <c r="L60" s="74"/>
      <c r="M60" s="74"/>
      <c r="N60" s="74"/>
      <c r="O60" s="74"/>
      <c r="P60" s="9"/>
      <c r="Q60" s="9"/>
      <c r="R60" s="9"/>
      <c r="S60" s="9"/>
      <c r="T60" s="9"/>
      <c r="U60" s="9"/>
      <c r="V60" s="9"/>
      <c r="W60" s="9"/>
      <c r="X60" s="9"/>
    </row>
    <row r="61" spans="1:24" x14ac:dyDescent="0.25">
      <c r="A61" s="9"/>
      <c r="D61" s="9"/>
      <c r="E61" s="9"/>
      <c r="F61" s="9"/>
      <c r="G61" s="9"/>
      <c r="I61" s="9"/>
      <c r="J61" s="9"/>
      <c r="K61" s="9"/>
      <c r="L61" s="9"/>
      <c r="M61" s="9"/>
      <c r="N61" s="9"/>
      <c r="O61" s="9"/>
      <c r="P61" s="9"/>
      <c r="Q61" s="9"/>
      <c r="R61" s="9"/>
      <c r="S61" s="9"/>
      <c r="T61" s="9"/>
      <c r="U61" s="9"/>
      <c r="V61" s="9"/>
      <c r="W61" s="9"/>
      <c r="X61" s="9"/>
    </row>
    <row r="62" spans="1:24" ht="13.8" x14ac:dyDescent="0.3">
      <c r="A62" s="9"/>
      <c r="B62" s="2" t="s">
        <v>395</v>
      </c>
      <c r="D62" s="9"/>
      <c r="E62" s="9"/>
      <c r="F62" s="9"/>
      <c r="G62" s="9"/>
      <c r="I62" s="9"/>
      <c r="J62" s="9"/>
      <c r="K62" s="24"/>
      <c r="L62" s="24"/>
      <c r="M62" s="24"/>
      <c r="N62" s="24"/>
      <c r="O62" s="24"/>
      <c r="P62" s="9"/>
      <c r="Q62" s="9"/>
      <c r="R62" s="9"/>
      <c r="S62" s="9"/>
      <c r="T62" s="9"/>
      <c r="U62" s="9"/>
      <c r="V62" s="9"/>
      <c r="W62" s="9"/>
      <c r="X62" s="9"/>
    </row>
    <row r="63" spans="1:24" x14ac:dyDescent="0.25">
      <c r="A63" s="9"/>
      <c r="C63" s="4" t="s">
        <v>396</v>
      </c>
      <c r="D63" s="9"/>
      <c r="E63" s="9"/>
      <c r="F63" s="9"/>
      <c r="G63" s="9"/>
      <c r="I63" s="9"/>
      <c r="J63" s="9"/>
      <c r="K63" s="9"/>
      <c r="L63" s="9"/>
      <c r="M63" s="9"/>
      <c r="N63" s="9"/>
      <c r="O63" s="9"/>
      <c r="P63" s="9"/>
      <c r="Q63" s="9"/>
      <c r="R63" s="9"/>
      <c r="S63" s="9"/>
      <c r="T63" s="9"/>
      <c r="U63" s="9"/>
      <c r="V63" s="9"/>
      <c r="W63" s="9"/>
      <c r="X63" s="9"/>
    </row>
    <row r="64" spans="1:24" x14ac:dyDescent="0.25">
      <c r="A64" s="9"/>
      <c r="D64" s="9"/>
      <c r="E64" s="9"/>
      <c r="F64" s="9"/>
      <c r="G64" s="9"/>
      <c r="I64" s="9"/>
      <c r="J64" s="9"/>
      <c r="K64" s="9" t="s">
        <v>174</v>
      </c>
      <c r="L64" s="9" t="s">
        <v>175</v>
      </c>
      <c r="M64" s="9" t="s">
        <v>176</v>
      </c>
      <c r="N64" s="9" t="s">
        <v>177</v>
      </c>
      <c r="O64" s="9" t="s">
        <v>178</v>
      </c>
      <c r="P64" s="9"/>
      <c r="Q64" s="9"/>
      <c r="R64" s="9"/>
      <c r="S64" s="9"/>
      <c r="T64" s="9"/>
      <c r="U64" s="9"/>
      <c r="V64" s="9"/>
      <c r="W64" s="9"/>
      <c r="X64" s="9"/>
    </row>
    <row r="65" spans="1:24" x14ac:dyDescent="0.25">
      <c r="A65" s="9"/>
      <c r="D65" s="9"/>
      <c r="E65" s="9" t="s">
        <v>397</v>
      </c>
      <c r="F65" s="21" t="s">
        <v>194</v>
      </c>
      <c r="G65" s="9"/>
      <c r="I65" s="9"/>
      <c r="J65" s="9"/>
      <c r="K65" s="105">
        <f>_xlfn.PERCENTILE.INC($I$15:$I$25,0.9)</f>
        <v>98</v>
      </c>
      <c r="L65" s="105">
        <f t="shared" ref="L65:O65" si="5">_xlfn.PERCENTILE.INC($I$15:$I$25,0.9)</f>
        <v>98</v>
      </c>
      <c r="M65" s="105">
        <f t="shared" si="5"/>
        <v>98</v>
      </c>
      <c r="N65" s="105">
        <f t="shared" si="5"/>
        <v>98</v>
      </c>
      <c r="O65" s="105">
        <f t="shared" si="5"/>
        <v>98</v>
      </c>
      <c r="P65" s="9"/>
      <c r="Q65" s="9"/>
      <c r="R65" s="9"/>
      <c r="S65" s="9"/>
      <c r="T65" s="9"/>
      <c r="U65" s="9"/>
      <c r="V65" s="9"/>
      <c r="W65" s="9"/>
      <c r="X65" s="9"/>
    </row>
    <row r="66" spans="1:24" x14ac:dyDescent="0.25">
      <c r="A66" s="9"/>
      <c r="D66" s="9"/>
      <c r="E66" s="9"/>
      <c r="F66" s="21"/>
      <c r="G66" s="9"/>
      <c r="I66" s="9"/>
      <c r="J66" s="9"/>
      <c r="K66" s="9"/>
      <c r="L66" s="9"/>
      <c r="M66" s="9"/>
      <c r="N66" s="9"/>
      <c r="O66" s="84"/>
      <c r="P66" s="84"/>
      <c r="Q66" s="84"/>
      <c r="R66" s="84"/>
      <c r="S66" s="84"/>
      <c r="T66" s="9"/>
      <c r="U66" s="9"/>
      <c r="V66" s="9"/>
      <c r="W66" s="9"/>
      <c r="X66" s="9"/>
    </row>
    <row r="67" spans="1:24" x14ac:dyDescent="0.25">
      <c r="A67" s="9"/>
      <c r="D67" s="9"/>
      <c r="E67" s="9"/>
      <c r="F67" s="21"/>
      <c r="G67" s="9"/>
      <c r="I67" s="9"/>
      <c r="J67" s="9"/>
      <c r="K67" s="9"/>
      <c r="L67" s="9"/>
      <c r="M67" s="9"/>
      <c r="N67" s="9"/>
      <c r="O67" s="84"/>
      <c r="P67" s="84"/>
      <c r="Q67" s="84"/>
      <c r="R67" s="84"/>
      <c r="S67" s="84"/>
      <c r="T67" s="9"/>
      <c r="U67" s="9"/>
      <c r="V67" s="9"/>
      <c r="W67" s="9"/>
      <c r="X67" s="9"/>
    </row>
    <row r="68" spans="1:24" ht="13.8" x14ac:dyDescent="0.3">
      <c r="A68" s="8" t="s">
        <v>398</v>
      </c>
      <c r="B68" s="8"/>
      <c r="C68" s="8"/>
      <c r="D68" s="8"/>
      <c r="E68" s="8"/>
      <c r="F68" s="8"/>
      <c r="G68" s="8"/>
      <c r="H68" s="8"/>
      <c r="I68" s="8"/>
      <c r="J68" s="8"/>
      <c r="K68" s="8"/>
      <c r="L68" s="8"/>
      <c r="M68" s="8"/>
      <c r="N68" s="8"/>
      <c r="O68" s="8"/>
      <c r="P68" s="8"/>
      <c r="Q68" s="8"/>
      <c r="R68" s="8"/>
      <c r="S68" s="8"/>
      <c r="T68" s="8"/>
      <c r="U68" s="8"/>
      <c r="V68" s="8"/>
      <c r="W68" s="8"/>
      <c r="X68" s="8"/>
    </row>
    <row r="69" spans="1:24" x14ac:dyDescent="0.25">
      <c r="A69" s="9"/>
      <c r="D69" s="9"/>
      <c r="E69" s="9"/>
      <c r="F69" s="21"/>
      <c r="G69" s="9"/>
      <c r="I69" s="9"/>
      <c r="J69" s="9"/>
      <c r="K69" s="9"/>
      <c r="L69" s="9"/>
      <c r="M69" s="9"/>
      <c r="N69" s="9"/>
      <c r="O69" s="84"/>
      <c r="P69" s="84"/>
      <c r="Q69" s="84"/>
      <c r="R69" s="84"/>
      <c r="S69" s="84"/>
      <c r="T69" s="9"/>
      <c r="U69" s="9"/>
      <c r="V69" s="9"/>
      <c r="W69" s="9"/>
      <c r="X69" s="9"/>
    </row>
    <row r="70" spans="1:24" ht="15" x14ac:dyDescent="0.35">
      <c r="A70" s="9"/>
      <c r="B70" s="1" t="s">
        <v>399</v>
      </c>
      <c r="D70" s="9"/>
      <c r="E70" s="9"/>
      <c r="F70" s="21"/>
      <c r="G70" s="9"/>
      <c r="I70" s="9"/>
      <c r="J70" s="9"/>
      <c r="K70" s="9"/>
      <c r="L70" s="9"/>
      <c r="M70" s="9"/>
      <c r="N70" s="9"/>
      <c r="O70" s="84"/>
      <c r="P70" s="84"/>
      <c r="Q70" s="84"/>
      <c r="R70" s="84"/>
      <c r="S70" s="84"/>
      <c r="T70" s="9"/>
      <c r="U70" s="9"/>
      <c r="V70" s="9"/>
      <c r="W70" s="9"/>
      <c r="X70" s="9"/>
    </row>
    <row r="71" spans="1:24" ht="15" x14ac:dyDescent="0.35">
      <c r="A71" s="9"/>
      <c r="B71" s="1"/>
      <c r="D71" s="9"/>
      <c r="E71" s="9"/>
      <c r="F71" s="21"/>
      <c r="G71" s="9"/>
      <c r="I71" s="9"/>
      <c r="J71" s="9"/>
      <c r="K71" s="9"/>
      <c r="L71" s="9"/>
      <c r="M71" s="9"/>
      <c r="N71" s="9"/>
      <c r="O71" s="84"/>
      <c r="P71" s="84"/>
      <c r="Q71" s="84"/>
      <c r="R71" s="84"/>
      <c r="S71" s="84"/>
      <c r="T71" s="9"/>
      <c r="U71" s="9"/>
      <c r="V71" s="9"/>
      <c r="W71" s="9"/>
      <c r="X71" s="9"/>
    </row>
    <row r="72" spans="1:24" x14ac:dyDescent="0.25">
      <c r="A72" s="9"/>
      <c r="D72" s="9" t="s">
        <v>149</v>
      </c>
      <c r="E72" s="9" t="s">
        <v>150</v>
      </c>
      <c r="F72" s="21" t="s">
        <v>151</v>
      </c>
      <c r="G72" s="9"/>
      <c r="I72" s="9"/>
      <c r="J72" s="9"/>
      <c r="K72" s="9" t="s">
        <v>174</v>
      </c>
      <c r="L72" s="9" t="s">
        <v>175</v>
      </c>
      <c r="M72" s="9" t="s">
        <v>176</v>
      </c>
      <c r="N72" s="9" t="s">
        <v>177</v>
      </c>
      <c r="O72" s="9" t="s">
        <v>178</v>
      </c>
      <c r="P72" s="84"/>
      <c r="Q72" s="84"/>
      <c r="R72" s="84"/>
      <c r="S72" s="84"/>
      <c r="T72" s="9"/>
      <c r="U72" s="9"/>
      <c r="V72" s="9"/>
      <c r="W72" s="9"/>
      <c r="X72" s="9"/>
    </row>
    <row r="73" spans="1:24" x14ac:dyDescent="0.25">
      <c r="A73" s="9"/>
      <c r="D73" s="31" t="s">
        <v>185</v>
      </c>
      <c r="E73" s="31" t="s">
        <v>186</v>
      </c>
      <c r="F73" s="21" t="s">
        <v>194</v>
      </c>
      <c r="G73" s="9"/>
      <c r="I73" s="9"/>
      <c r="J73" s="9"/>
      <c r="K73" s="43">
        <f t="shared" ref="K73:O76" si="6">INDEX(thresholdsproposed,MATCH($D73,thresholdsproposed_ID,0),MATCH(K$72,thresholdsproposed_years,0))</f>
        <v>17</v>
      </c>
      <c r="L73" s="43">
        <f t="shared" si="6"/>
        <v>16.5</v>
      </c>
      <c r="M73" s="43">
        <f t="shared" si="6"/>
        <v>16</v>
      </c>
      <c r="N73" s="43">
        <f t="shared" si="6"/>
        <v>15.5</v>
      </c>
      <c r="O73" s="43">
        <f t="shared" si="6"/>
        <v>15</v>
      </c>
      <c r="P73" s="84"/>
      <c r="Q73" s="84"/>
      <c r="R73" s="84"/>
      <c r="S73" s="84"/>
      <c r="T73" s="9"/>
      <c r="U73" s="9"/>
      <c r="V73" s="9"/>
      <c r="W73" s="9"/>
      <c r="X73" s="9"/>
    </row>
    <row r="74" spans="1:24" x14ac:dyDescent="0.25">
      <c r="A74" s="9"/>
      <c r="D74" s="31" t="s">
        <v>189</v>
      </c>
      <c r="E74" s="31" t="s">
        <v>190</v>
      </c>
      <c r="F74" s="21" t="s">
        <v>194</v>
      </c>
      <c r="G74" s="9"/>
      <c r="I74" s="9"/>
      <c r="J74" s="9"/>
      <c r="K74" s="43">
        <f t="shared" si="6"/>
        <v>17</v>
      </c>
      <c r="L74" s="43">
        <f t="shared" si="6"/>
        <v>16.5</v>
      </c>
      <c r="M74" s="43">
        <f t="shared" si="6"/>
        <v>16</v>
      </c>
      <c r="N74" s="43">
        <f t="shared" si="6"/>
        <v>15.5</v>
      </c>
      <c r="O74" s="43">
        <f t="shared" si="6"/>
        <v>15</v>
      </c>
      <c r="P74" s="84"/>
      <c r="Q74" s="84"/>
      <c r="R74" s="84"/>
      <c r="S74" s="84"/>
      <c r="T74" s="9"/>
      <c r="U74" s="9"/>
      <c r="V74" s="9"/>
      <c r="W74" s="9"/>
      <c r="X74" s="9"/>
    </row>
    <row r="75" spans="1:24" x14ac:dyDescent="0.25">
      <c r="A75" s="9"/>
      <c r="D75" s="31" t="s">
        <v>191</v>
      </c>
      <c r="E75" s="31" t="s">
        <v>169</v>
      </c>
      <c r="F75" s="21" t="s">
        <v>194</v>
      </c>
      <c r="G75" s="9"/>
      <c r="I75" s="9"/>
      <c r="J75" s="9"/>
      <c r="K75" s="43">
        <f t="shared" si="6"/>
        <v>21</v>
      </c>
      <c r="L75" s="43">
        <f t="shared" si="6"/>
        <v>20</v>
      </c>
      <c r="M75" s="43">
        <f t="shared" si="6"/>
        <v>19</v>
      </c>
      <c r="N75" s="43">
        <f t="shared" si="6"/>
        <v>18</v>
      </c>
      <c r="O75" s="43">
        <f t="shared" si="6"/>
        <v>17</v>
      </c>
      <c r="P75" s="84"/>
      <c r="Q75" s="84"/>
      <c r="R75" s="84"/>
      <c r="S75" s="84"/>
      <c r="T75" s="9"/>
      <c r="U75" s="9"/>
      <c r="V75" s="9"/>
      <c r="W75" s="9"/>
      <c r="X75" s="9"/>
    </row>
    <row r="76" spans="1:24" x14ac:dyDescent="0.25">
      <c r="A76" s="9"/>
      <c r="D76" s="31" t="s">
        <v>192</v>
      </c>
      <c r="E76" s="31" t="s">
        <v>171</v>
      </c>
      <c r="F76" s="21" t="s">
        <v>194</v>
      </c>
      <c r="G76" s="9"/>
      <c r="I76" s="9"/>
      <c r="J76" s="9"/>
      <c r="K76" s="43">
        <f t="shared" si="6"/>
        <v>18</v>
      </c>
      <c r="L76" s="43">
        <f t="shared" si="6"/>
        <v>18</v>
      </c>
      <c r="M76" s="43">
        <f t="shared" si="6"/>
        <v>18</v>
      </c>
      <c r="N76" s="43">
        <f t="shared" si="6"/>
        <v>18</v>
      </c>
      <c r="O76" s="43">
        <f t="shared" si="6"/>
        <v>18</v>
      </c>
      <c r="P76" s="84"/>
      <c r="Q76" s="84"/>
      <c r="R76" s="84"/>
      <c r="S76" s="84"/>
      <c r="T76" s="9"/>
      <c r="U76" s="9"/>
      <c r="V76" s="9"/>
      <c r="W76" s="9"/>
      <c r="X76" s="9"/>
    </row>
    <row r="77" spans="1:24" x14ac:dyDescent="0.25">
      <c r="A77" s="9"/>
      <c r="D77" s="9"/>
      <c r="E77" s="9"/>
      <c r="F77" s="21"/>
      <c r="G77" s="9"/>
      <c r="I77" s="9"/>
      <c r="J77" s="9"/>
      <c r="K77" s="9"/>
      <c r="L77" s="9"/>
      <c r="M77" s="9"/>
      <c r="N77" s="9"/>
      <c r="O77" s="9"/>
      <c r="P77" s="84"/>
      <c r="Q77" s="84"/>
      <c r="R77" s="84"/>
      <c r="S77" s="84"/>
      <c r="T77" s="9"/>
      <c r="U77" s="9"/>
      <c r="V77" s="9"/>
      <c r="W77" s="9"/>
      <c r="X77" s="9"/>
    </row>
    <row r="78" spans="1:24" ht="15" x14ac:dyDescent="0.35">
      <c r="A78" s="9"/>
      <c r="B78" s="1" t="s">
        <v>400</v>
      </c>
      <c r="D78" s="9"/>
      <c r="E78" s="9"/>
      <c r="F78" s="21"/>
      <c r="G78" s="9"/>
      <c r="I78" s="9"/>
      <c r="J78" s="9"/>
      <c r="K78" s="9"/>
      <c r="L78" s="9"/>
      <c r="M78" s="9"/>
      <c r="N78" s="9"/>
      <c r="O78" s="9"/>
      <c r="P78" s="84"/>
      <c r="Q78" s="84"/>
      <c r="R78" s="84"/>
      <c r="S78" s="84"/>
      <c r="T78" s="9"/>
      <c r="U78" s="9"/>
      <c r="V78" s="9"/>
      <c r="W78" s="9"/>
      <c r="X78" s="9"/>
    </row>
    <row r="79" spans="1:24" x14ac:dyDescent="0.25">
      <c r="A79" s="9"/>
      <c r="C79" s="4" t="s">
        <v>401</v>
      </c>
      <c r="D79" s="9"/>
      <c r="E79" s="9"/>
      <c r="F79" s="21"/>
      <c r="G79" s="9"/>
      <c r="I79" s="9"/>
      <c r="J79" s="9"/>
      <c r="K79" s="9"/>
      <c r="L79" s="9"/>
      <c r="M79" s="9"/>
      <c r="N79" s="9"/>
      <c r="O79" s="9"/>
      <c r="P79" s="74"/>
      <c r="Q79" s="74"/>
      <c r="R79" s="74"/>
      <c r="S79" s="74"/>
      <c r="T79" s="9"/>
      <c r="U79" s="9"/>
      <c r="V79" s="9"/>
      <c r="W79" s="9"/>
      <c r="X79" s="9"/>
    </row>
    <row r="80" spans="1:24" x14ac:dyDescent="0.25">
      <c r="A80" s="9"/>
      <c r="C80" s="4"/>
      <c r="D80" s="9"/>
      <c r="E80" s="9"/>
      <c r="F80" s="21"/>
      <c r="G80" s="9"/>
      <c r="I80" s="9"/>
      <c r="J80" s="9"/>
      <c r="K80" s="9"/>
      <c r="L80" s="9"/>
      <c r="M80" s="9"/>
      <c r="N80" s="9"/>
      <c r="O80" s="9"/>
      <c r="P80" s="9"/>
      <c r="Q80" s="9"/>
      <c r="R80" s="9"/>
      <c r="S80" s="9"/>
      <c r="T80" s="9"/>
      <c r="U80" s="9"/>
      <c r="V80" s="9"/>
      <c r="W80" s="9"/>
      <c r="X80" s="9"/>
    </row>
    <row r="81" spans="1:24" x14ac:dyDescent="0.25">
      <c r="A81" s="9"/>
      <c r="C81" s="4"/>
      <c r="D81" s="9" t="s">
        <v>149</v>
      </c>
      <c r="E81" s="9" t="s">
        <v>150</v>
      </c>
      <c r="F81" s="21" t="s">
        <v>151</v>
      </c>
      <c r="G81" s="9"/>
      <c r="I81" s="9"/>
      <c r="J81" s="9"/>
      <c r="K81" s="9" t="s">
        <v>174</v>
      </c>
      <c r="L81" s="9" t="s">
        <v>175</v>
      </c>
      <c r="M81" s="9" t="s">
        <v>176</v>
      </c>
      <c r="N81" s="9" t="s">
        <v>177</v>
      </c>
      <c r="O81" s="9" t="s">
        <v>178</v>
      </c>
      <c r="P81" s="74"/>
      <c r="Q81" s="74"/>
      <c r="R81" s="74"/>
      <c r="S81" s="74"/>
      <c r="T81" s="9"/>
      <c r="U81" s="9"/>
      <c r="V81" s="9"/>
      <c r="W81" s="9"/>
      <c r="X81" s="9"/>
    </row>
    <row r="82" spans="1:24" x14ac:dyDescent="0.25">
      <c r="A82" s="9"/>
      <c r="C82" s="4"/>
      <c r="D82" s="31" t="s">
        <v>185</v>
      </c>
      <c r="E82" s="31" t="s">
        <v>186</v>
      </c>
      <c r="F82" s="21" t="s">
        <v>194</v>
      </c>
      <c r="G82" s="9"/>
      <c r="I82" s="9"/>
      <c r="J82" s="9"/>
      <c r="K82" s="105">
        <f t="shared" ref="K82:O85" si="7">MIN(K73,K$58)</f>
        <v>11.834571990864323</v>
      </c>
      <c r="L82" s="105">
        <f t="shared" si="7"/>
        <v>11.463187136305063</v>
      </c>
      <c r="M82" s="105">
        <f t="shared" si="7"/>
        <v>11.10773947316382</v>
      </c>
      <c r="N82" s="105">
        <f t="shared" si="7"/>
        <v>10.817972356472589</v>
      </c>
      <c r="O82" s="105">
        <f t="shared" si="7"/>
        <v>9.4174312924649772</v>
      </c>
      <c r="P82" s="74"/>
      <c r="Q82" s="74"/>
      <c r="R82" s="74"/>
      <c r="S82" s="74"/>
      <c r="T82" s="9"/>
      <c r="U82" s="9"/>
      <c r="V82" s="9"/>
      <c r="W82" s="9"/>
      <c r="X82" s="9"/>
    </row>
    <row r="83" spans="1:24" x14ac:dyDescent="0.25">
      <c r="A83" s="9"/>
      <c r="C83" s="4"/>
      <c r="D83" s="31" t="s">
        <v>189</v>
      </c>
      <c r="E83" s="31" t="s">
        <v>190</v>
      </c>
      <c r="F83" s="21" t="s">
        <v>194</v>
      </c>
      <c r="G83" s="9"/>
      <c r="I83" s="9"/>
      <c r="J83" s="9"/>
      <c r="K83" s="105">
        <f t="shared" si="7"/>
        <v>11.834571990864323</v>
      </c>
      <c r="L83" s="105">
        <f t="shared" si="7"/>
        <v>11.463187136305063</v>
      </c>
      <c r="M83" s="105">
        <f t="shared" si="7"/>
        <v>11.10773947316382</v>
      </c>
      <c r="N83" s="105">
        <f t="shared" si="7"/>
        <v>10.817972356472589</v>
      </c>
      <c r="O83" s="105">
        <f t="shared" si="7"/>
        <v>9.4174312924649772</v>
      </c>
      <c r="P83" s="74"/>
      <c r="Q83" s="74"/>
      <c r="R83" s="74"/>
      <c r="S83" s="74"/>
      <c r="T83" s="9"/>
      <c r="U83" s="9"/>
      <c r="V83" s="9"/>
      <c r="W83" s="9"/>
      <c r="X83" s="9"/>
    </row>
    <row r="84" spans="1:24" x14ac:dyDescent="0.25">
      <c r="A84" s="9"/>
      <c r="D84" s="31" t="s">
        <v>191</v>
      </c>
      <c r="E84" s="31" t="s">
        <v>169</v>
      </c>
      <c r="F84" s="21" t="s">
        <v>194</v>
      </c>
      <c r="G84" s="9"/>
      <c r="I84" s="9"/>
      <c r="J84" s="9"/>
      <c r="K84" s="105">
        <f t="shared" si="7"/>
        <v>11.834571990864323</v>
      </c>
      <c r="L84" s="105">
        <f t="shared" si="7"/>
        <v>11.463187136305063</v>
      </c>
      <c r="M84" s="105">
        <f t="shared" si="7"/>
        <v>11.10773947316382</v>
      </c>
      <c r="N84" s="105">
        <f t="shared" si="7"/>
        <v>10.817972356472589</v>
      </c>
      <c r="O84" s="105">
        <f t="shared" si="7"/>
        <v>9.4174312924649772</v>
      </c>
      <c r="P84" s="84"/>
      <c r="Q84" s="84"/>
      <c r="R84" s="84"/>
      <c r="S84" s="84"/>
      <c r="T84" s="9"/>
      <c r="U84" s="9"/>
      <c r="V84" s="9"/>
      <c r="W84" s="9"/>
      <c r="X84" s="9"/>
    </row>
    <row r="85" spans="1:24" x14ac:dyDescent="0.25">
      <c r="A85" s="9"/>
      <c r="D85" s="31" t="s">
        <v>192</v>
      </c>
      <c r="E85" s="31" t="s">
        <v>171</v>
      </c>
      <c r="F85" s="21" t="s">
        <v>194</v>
      </c>
      <c r="G85" s="9"/>
      <c r="I85" s="9"/>
      <c r="J85" s="9"/>
      <c r="K85" s="105">
        <f t="shared" si="7"/>
        <v>11.834571990864323</v>
      </c>
      <c r="L85" s="105">
        <f t="shared" si="7"/>
        <v>11.463187136305063</v>
      </c>
      <c r="M85" s="105">
        <f t="shared" si="7"/>
        <v>11.10773947316382</v>
      </c>
      <c r="N85" s="105">
        <f t="shared" si="7"/>
        <v>10.817972356472589</v>
      </c>
      <c r="O85" s="105">
        <f t="shared" si="7"/>
        <v>9.4174312924649772</v>
      </c>
      <c r="P85" s="84"/>
      <c r="Q85" s="84"/>
      <c r="R85" s="84"/>
      <c r="S85" s="84"/>
      <c r="T85" s="9"/>
      <c r="U85" s="9"/>
      <c r="V85" s="9"/>
      <c r="W85" s="9"/>
      <c r="X85" s="9"/>
    </row>
    <row r="86" spans="1:24" x14ac:dyDescent="0.25">
      <c r="A86" s="9"/>
      <c r="D86" s="9"/>
      <c r="E86" s="9"/>
      <c r="F86" s="21"/>
      <c r="G86" s="9"/>
      <c r="I86" s="9"/>
      <c r="J86" s="9"/>
      <c r="K86" s="9"/>
      <c r="L86" s="9"/>
      <c r="M86" s="9"/>
      <c r="N86" s="9"/>
      <c r="O86" s="9"/>
      <c r="P86" s="84"/>
      <c r="Q86" s="84"/>
      <c r="R86" s="84"/>
      <c r="S86" s="84"/>
      <c r="T86" s="9"/>
      <c r="U86" s="9"/>
      <c r="V86" s="9"/>
      <c r="W86" s="9"/>
      <c r="X86" s="9"/>
    </row>
    <row r="87" spans="1:24" ht="15" x14ac:dyDescent="0.35">
      <c r="A87" s="9"/>
      <c r="B87" s="1" t="s">
        <v>402</v>
      </c>
      <c r="D87" s="9"/>
      <c r="E87" s="9"/>
      <c r="F87" s="21"/>
      <c r="G87" s="9"/>
      <c r="I87" s="9"/>
      <c r="J87" s="9"/>
      <c r="K87" s="9"/>
      <c r="L87" s="9"/>
      <c r="M87" s="9"/>
      <c r="N87" s="9"/>
      <c r="O87" s="9"/>
      <c r="P87" s="84"/>
      <c r="Q87" s="84"/>
      <c r="R87" s="84"/>
      <c r="S87" s="84"/>
      <c r="T87" s="9"/>
      <c r="U87" s="9"/>
      <c r="V87" s="9"/>
      <c r="W87" s="9"/>
      <c r="X87" s="9"/>
    </row>
    <row r="88" spans="1:24" ht="15" x14ac:dyDescent="0.35">
      <c r="A88" s="9"/>
      <c r="B88" s="1"/>
      <c r="C88" s="4" t="s">
        <v>403</v>
      </c>
      <c r="D88" s="9"/>
      <c r="E88" s="9"/>
      <c r="F88" s="21"/>
      <c r="G88" s="9"/>
      <c r="I88" s="9"/>
      <c r="J88" s="9"/>
      <c r="K88" s="9"/>
      <c r="L88" s="9"/>
      <c r="M88" s="9"/>
      <c r="N88" s="9"/>
      <c r="O88" s="9"/>
      <c r="P88" s="84"/>
      <c r="Q88" s="84"/>
      <c r="R88" s="84"/>
      <c r="S88" s="84"/>
      <c r="T88" s="9"/>
      <c r="U88" s="9"/>
      <c r="V88" s="9"/>
      <c r="W88" s="9"/>
      <c r="X88" s="9"/>
    </row>
    <row r="89" spans="1:24" ht="15" x14ac:dyDescent="0.35">
      <c r="A89" s="9"/>
      <c r="B89" s="1"/>
      <c r="D89" s="9"/>
      <c r="E89" s="9"/>
      <c r="F89" s="21"/>
      <c r="G89" s="9"/>
      <c r="I89" s="9"/>
      <c r="J89" s="9"/>
      <c r="K89" s="9"/>
      <c r="L89" s="9"/>
      <c r="M89" s="9"/>
      <c r="N89" s="9"/>
      <c r="O89" s="9"/>
      <c r="P89" s="84"/>
      <c r="Q89" s="84"/>
      <c r="R89" s="84"/>
      <c r="S89" s="84"/>
      <c r="T89" s="9"/>
      <c r="U89" s="9"/>
      <c r="V89" s="9"/>
      <c r="W89" s="9"/>
      <c r="X89" s="9"/>
    </row>
    <row r="90" spans="1:24" x14ac:dyDescent="0.25">
      <c r="A90" s="9"/>
      <c r="D90" s="9" t="s">
        <v>149</v>
      </c>
      <c r="E90" s="9" t="s">
        <v>150</v>
      </c>
      <c r="F90" s="21" t="s">
        <v>151</v>
      </c>
      <c r="G90" s="9"/>
      <c r="I90" s="9"/>
      <c r="J90" s="9"/>
      <c r="K90" s="9" t="s">
        <v>174</v>
      </c>
      <c r="L90" s="9" t="s">
        <v>175</v>
      </c>
      <c r="M90" s="9" t="s">
        <v>176</v>
      </c>
      <c r="N90" s="9" t="s">
        <v>177</v>
      </c>
      <c r="O90" s="9" t="s">
        <v>178</v>
      </c>
      <c r="P90" s="84"/>
      <c r="Q90" s="84"/>
      <c r="R90" s="84"/>
      <c r="S90" s="84"/>
      <c r="T90" s="9"/>
      <c r="U90" s="9"/>
      <c r="V90" s="9"/>
      <c r="W90" s="9"/>
      <c r="X90" s="9"/>
    </row>
    <row r="91" spans="1:24" x14ac:dyDescent="0.25">
      <c r="A91" s="9"/>
      <c r="D91" s="31" t="s">
        <v>185</v>
      </c>
      <c r="E91" s="31" t="s">
        <v>186</v>
      </c>
      <c r="F91" s="21" t="s">
        <v>194</v>
      </c>
      <c r="G91" s="9"/>
      <c r="I91" s="9"/>
      <c r="J91" s="9"/>
      <c r="K91" s="105">
        <f>K$59</f>
        <v>41.596262849457197</v>
      </c>
      <c r="L91" s="105">
        <f t="shared" ref="K91:O94" si="8">L$59</f>
        <v>41.596262849457197</v>
      </c>
      <c r="M91" s="105">
        <f t="shared" si="8"/>
        <v>41.596262849457197</v>
      </c>
      <c r="N91" s="105">
        <f t="shared" si="8"/>
        <v>41.596262849457197</v>
      </c>
      <c r="O91" s="105">
        <f t="shared" si="8"/>
        <v>41.596262849457197</v>
      </c>
      <c r="P91" s="84"/>
      <c r="Q91" s="84"/>
      <c r="R91" s="84"/>
      <c r="S91" s="84"/>
      <c r="T91" s="9"/>
      <c r="U91" s="9"/>
      <c r="V91" s="9"/>
      <c r="W91" s="9"/>
      <c r="X91" s="9"/>
    </row>
    <row r="92" spans="1:24" x14ac:dyDescent="0.25">
      <c r="A92" s="9"/>
      <c r="D92" s="31" t="s">
        <v>189</v>
      </c>
      <c r="E92" s="31" t="s">
        <v>190</v>
      </c>
      <c r="F92" s="21" t="s">
        <v>194</v>
      </c>
      <c r="G92" s="9"/>
      <c r="I92" s="9"/>
      <c r="J92" s="9"/>
      <c r="K92" s="105">
        <f t="shared" si="8"/>
        <v>41.596262849457197</v>
      </c>
      <c r="L92" s="105">
        <f t="shared" si="8"/>
        <v>41.596262849457197</v>
      </c>
      <c r="M92" s="105">
        <f t="shared" si="8"/>
        <v>41.596262849457197</v>
      </c>
      <c r="N92" s="105">
        <f t="shared" si="8"/>
        <v>41.596262849457197</v>
      </c>
      <c r="O92" s="105">
        <f t="shared" si="8"/>
        <v>41.596262849457197</v>
      </c>
      <c r="P92" s="84"/>
      <c r="Q92" s="84"/>
      <c r="R92" s="84"/>
      <c r="S92" s="84"/>
      <c r="T92" s="9"/>
      <c r="U92" s="9"/>
      <c r="V92" s="9"/>
      <c r="W92" s="9"/>
      <c r="X92" s="9"/>
    </row>
    <row r="93" spans="1:24" x14ac:dyDescent="0.25">
      <c r="A93" s="9"/>
      <c r="D93" s="31" t="s">
        <v>191</v>
      </c>
      <c r="E93" s="31" t="s">
        <v>169</v>
      </c>
      <c r="F93" s="21" t="s">
        <v>194</v>
      </c>
      <c r="G93" s="9"/>
      <c r="I93" s="9"/>
      <c r="J93" s="9"/>
      <c r="K93" s="105">
        <f t="shared" si="8"/>
        <v>41.596262849457197</v>
      </c>
      <c r="L93" s="105">
        <f t="shared" si="8"/>
        <v>41.596262849457197</v>
      </c>
      <c r="M93" s="105">
        <f t="shared" si="8"/>
        <v>41.596262849457197</v>
      </c>
      <c r="N93" s="105">
        <f t="shared" si="8"/>
        <v>41.596262849457197</v>
      </c>
      <c r="O93" s="105">
        <f t="shared" si="8"/>
        <v>41.596262849457197</v>
      </c>
      <c r="P93" s="9"/>
      <c r="Q93" s="9"/>
      <c r="R93" s="9"/>
      <c r="S93" s="9"/>
      <c r="T93" s="9"/>
      <c r="U93" s="9"/>
      <c r="V93" s="9"/>
      <c r="W93" s="9"/>
      <c r="X93" s="9"/>
    </row>
    <row r="94" spans="1:24" x14ac:dyDescent="0.25">
      <c r="A94" s="9"/>
      <c r="D94" s="31" t="s">
        <v>192</v>
      </c>
      <c r="E94" s="31" t="s">
        <v>171</v>
      </c>
      <c r="F94" s="21" t="s">
        <v>194</v>
      </c>
      <c r="G94" s="9"/>
      <c r="I94" s="9"/>
      <c r="J94" s="9"/>
      <c r="K94" s="105">
        <f t="shared" si="8"/>
        <v>41.596262849457197</v>
      </c>
      <c r="L94" s="105">
        <f t="shared" si="8"/>
        <v>41.596262849457197</v>
      </c>
      <c r="M94" s="105">
        <f t="shared" si="8"/>
        <v>41.596262849457197</v>
      </c>
      <c r="N94" s="105">
        <f t="shared" si="8"/>
        <v>41.596262849457197</v>
      </c>
      <c r="O94" s="105">
        <f t="shared" si="8"/>
        <v>41.596262849457197</v>
      </c>
      <c r="P94" s="9"/>
      <c r="Q94" s="9"/>
      <c r="R94" s="9"/>
      <c r="S94" s="9"/>
      <c r="T94" s="9"/>
      <c r="U94" s="9"/>
      <c r="V94" s="9"/>
      <c r="W94" s="9"/>
      <c r="X94" s="9"/>
    </row>
    <row r="95" spans="1:24" x14ac:dyDescent="0.25">
      <c r="A95" s="9"/>
      <c r="D95" s="31"/>
      <c r="E95" s="31"/>
      <c r="F95" s="21"/>
      <c r="G95" s="9"/>
      <c r="H95" s="105"/>
      <c r="I95" s="105"/>
      <c r="J95" s="105"/>
      <c r="K95" s="105"/>
      <c r="L95" s="105"/>
      <c r="M95" s="9"/>
      <c r="N95" s="9"/>
      <c r="O95" s="9"/>
      <c r="P95" s="9"/>
      <c r="Q95" s="9"/>
      <c r="R95" s="9"/>
      <c r="S95" s="9"/>
      <c r="T95" s="9"/>
      <c r="U95" s="9"/>
      <c r="V95" s="9"/>
      <c r="W95" s="9"/>
      <c r="X95" s="9"/>
    </row>
    <row r="96" spans="1:24" x14ac:dyDescent="0.25">
      <c r="A96" s="9"/>
      <c r="D96" s="31"/>
      <c r="E96" s="31"/>
      <c r="F96" s="21"/>
      <c r="G96" s="9"/>
      <c r="H96" s="105"/>
      <c r="I96" s="105"/>
      <c r="J96" s="105"/>
      <c r="K96" s="105"/>
      <c r="L96" s="105"/>
      <c r="M96" s="9"/>
      <c r="N96" s="9"/>
      <c r="O96" s="9"/>
      <c r="P96" s="9"/>
      <c r="Q96" s="9"/>
      <c r="R96" s="9"/>
      <c r="S96" s="9"/>
      <c r="T96" s="9"/>
      <c r="U96" s="9"/>
      <c r="V96" s="9"/>
      <c r="W96" s="9"/>
      <c r="X96" s="9"/>
    </row>
    <row r="97" spans="1:24" ht="13.8" x14ac:dyDescent="0.3">
      <c r="A97" s="10" t="s">
        <v>22</v>
      </c>
      <c r="B97" s="10"/>
      <c r="C97" s="10"/>
      <c r="D97" s="10"/>
      <c r="E97" s="10"/>
      <c r="F97" s="10"/>
      <c r="G97" s="10"/>
      <c r="H97" s="109"/>
      <c r="I97" s="109"/>
      <c r="J97" s="109"/>
      <c r="K97" s="109"/>
      <c r="L97" s="109"/>
      <c r="M97" s="10"/>
      <c r="N97" s="10"/>
      <c r="O97" s="10"/>
      <c r="P97" s="10"/>
      <c r="Q97" s="10"/>
      <c r="R97" s="10"/>
      <c r="S97" s="10"/>
      <c r="T97" s="10"/>
      <c r="U97" s="10"/>
      <c r="V97" s="10"/>
      <c r="W97" s="10"/>
      <c r="X97" s="10"/>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sheetPr>
  <dimension ref="A1:X100"/>
  <sheetViews>
    <sheetView zoomScaleNormal="100" workbookViewId="0">
      <pane ySplit="1" topLeftCell="A2" activePane="bottomLeft" state="frozen"/>
      <selection pane="bottomLeft" activeCell="A2" sqref="A2"/>
    </sheetView>
  </sheetViews>
  <sheetFormatPr defaultRowHeight="13.2" x14ac:dyDescent="0.25"/>
  <cols>
    <col min="1" max="3" width="2.77734375" style="9" customWidth="1"/>
    <col min="4" max="4" width="27.21875" style="9" bestFit="1" customWidth="1"/>
    <col min="5" max="5" width="23.21875" style="9" bestFit="1" customWidth="1"/>
    <col min="6" max="6" width="27.88671875" style="9" bestFit="1" customWidth="1"/>
    <col min="7" max="7" width="2.77734375" style="9" customWidth="1"/>
    <col min="8" max="12" width="12.44140625" style="9" bestFit="1" customWidth="1"/>
    <col min="13" max="21" width="9" style="9"/>
    <col min="22" max="24" width="9" style="9" bestFit="1" customWidth="1"/>
    <col min="25" max="25" width="9.5546875" bestFit="1" customWidth="1"/>
    <col min="26" max="26" width="10" bestFit="1" customWidth="1"/>
    <col min="30" max="34" width="9.88671875" bestFit="1" customWidth="1"/>
  </cols>
  <sheetData>
    <row r="1" spans="1:24" ht="30" x14ac:dyDescent="0.5">
      <c r="A1" s="3" t="s">
        <v>196</v>
      </c>
      <c r="B1" s="3"/>
      <c r="C1" s="3"/>
      <c r="D1" s="3"/>
      <c r="E1" s="3"/>
      <c r="F1" s="3"/>
      <c r="G1" s="3"/>
      <c r="H1" s="3"/>
      <c r="I1" s="3"/>
      <c r="J1" s="3"/>
      <c r="K1" s="3"/>
      <c r="L1" s="3"/>
      <c r="M1" s="3"/>
      <c r="N1" s="3"/>
      <c r="O1" s="3"/>
      <c r="P1" s="3"/>
      <c r="Q1" s="3"/>
      <c r="R1" s="3"/>
      <c r="S1" s="3"/>
      <c r="T1" s="3"/>
      <c r="U1" s="3"/>
      <c r="V1" s="3"/>
      <c r="W1" s="3"/>
      <c r="X1" s="3"/>
    </row>
    <row r="3" spans="1:24" x14ac:dyDescent="0.25">
      <c r="B3" s="4" t="s">
        <v>404</v>
      </c>
    </row>
    <row r="5" spans="1:24" ht="13.8" x14ac:dyDescent="0.3">
      <c r="A5" s="8" t="s">
        <v>368</v>
      </c>
      <c r="B5" s="8"/>
      <c r="C5" s="8"/>
      <c r="D5" s="8"/>
      <c r="E5" s="8"/>
      <c r="F5" s="8"/>
      <c r="G5" s="8"/>
      <c r="H5" s="8"/>
      <c r="I5" s="8"/>
      <c r="J5" s="8"/>
      <c r="K5" s="8"/>
      <c r="L5" s="8"/>
      <c r="M5" s="8"/>
      <c r="N5" s="8"/>
      <c r="O5" s="8"/>
      <c r="P5" s="8"/>
      <c r="Q5" s="8"/>
      <c r="R5" s="8"/>
      <c r="S5" s="8"/>
      <c r="T5" s="8"/>
      <c r="U5" s="8"/>
      <c r="V5" s="8"/>
      <c r="W5" s="8"/>
      <c r="X5" s="8"/>
    </row>
    <row r="7" spans="1:24" ht="15" x14ac:dyDescent="0.35">
      <c r="A7" s="1" t="s">
        <v>369</v>
      </c>
    </row>
    <row r="8" spans="1:24" x14ac:dyDescent="0.25">
      <c r="B8" s="4" t="s">
        <v>405</v>
      </c>
    </row>
    <row r="9" spans="1:24" x14ac:dyDescent="0.25">
      <c r="B9" s="4"/>
    </row>
    <row r="10" spans="1:24" x14ac:dyDescent="0.25">
      <c r="D10" s="9" t="s">
        <v>371</v>
      </c>
      <c r="E10" s="106" t="str">
        <f>INDEX(Assumptions_BP,MATCH(A1,Assumptions_BP_PC,0))</f>
        <v>September 2018</v>
      </c>
    </row>
    <row r="13" spans="1:24" x14ac:dyDescent="0.25">
      <c r="H13" s="9" t="s">
        <v>372</v>
      </c>
      <c r="I13" s="9" t="s">
        <v>372</v>
      </c>
      <c r="J13" s="9" t="s">
        <v>373</v>
      </c>
      <c r="K13" s="9" t="s">
        <v>374</v>
      </c>
      <c r="L13" s="9" t="s">
        <v>374</v>
      </c>
      <c r="M13" s="9" t="s">
        <v>374</v>
      </c>
      <c r="N13" s="9" t="s">
        <v>374</v>
      </c>
      <c r="O13" s="9" t="s">
        <v>374</v>
      </c>
    </row>
    <row r="14" spans="1:24" x14ac:dyDescent="0.25">
      <c r="D14" s="9" t="s">
        <v>149</v>
      </c>
      <c r="E14" s="9" t="s">
        <v>150</v>
      </c>
      <c r="F14" s="9" t="s">
        <v>151</v>
      </c>
      <c r="H14" s="9" t="s">
        <v>375</v>
      </c>
      <c r="I14" s="9" t="s">
        <v>376</v>
      </c>
      <c r="J14" s="9" t="s">
        <v>377</v>
      </c>
      <c r="K14" s="9" t="s">
        <v>174</v>
      </c>
      <c r="L14" s="9" t="s">
        <v>175</v>
      </c>
      <c r="M14" s="9" t="s">
        <v>176</v>
      </c>
      <c r="N14" s="9" t="s">
        <v>177</v>
      </c>
      <c r="O14" s="9" t="s">
        <v>178</v>
      </c>
    </row>
    <row r="15" spans="1:24" x14ac:dyDescent="0.25">
      <c r="D15" s="9" t="s">
        <v>263</v>
      </c>
      <c r="E15" s="9" t="s">
        <v>157</v>
      </c>
      <c r="F15" s="9" t="s">
        <v>202</v>
      </c>
      <c r="H15" s="46">
        <f t="shared" ref="H15:O25" si="0">IF(H$13="Proposed",IF($E$10="September 2018",INDEX(PCLsProposed_Sept,MATCH($D15,PCLsProposed_ID,0),MATCH(H$14,PCLpropsedyears_September,0)),INDEX(PCLsProposed_April,MATCH($D15,PCLsProposed_ID,0),MATCH(H$14,PCLProposedyears_April,0))),IF(INDEX(PCLhistorical_data,MATCH($D15,PCLhistorical_ID,0),MATCH(H$14,PCLhistorical_years,0))="","",INDEX(PCLhistorical_data,MATCH($D15,PCLhistorical_ID,0),MATCH(H$14,PCLhistorical_years,0))))</f>
        <v>1.33</v>
      </c>
      <c r="I15" s="46">
        <f t="shared" si="0"/>
        <v>0.94330312828342044</v>
      </c>
      <c r="J15" s="46">
        <f t="shared" si="0"/>
        <v>1.7</v>
      </c>
      <c r="K15" s="46">
        <f t="shared" si="0"/>
        <v>1.64</v>
      </c>
      <c r="L15" s="46">
        <f t="shared" si="0"/>
        <v>1.55</v>
      </c>
      <c r="M15" s="46">
        <f t="shared" si="0"/>
        <v>1.46</v>
      </c>
      <c r="N15" s="46">
        <f t="shared" si="0"/>
        <v>1.38</v>
      </c>
      <c r="O15" s="46">
        <f t="shared" si="0"/>
        <v>1.31</v>
      </c>
      <c r="T15" s="43"/>
    </row>
    <row r="16" spans="1:24" x14ac:dyDescent="0.25">
      <c r="D16" s="9" t="s">
        <v>265</v>
      </c>
      <c r="E16" s="9" t="s">
        <v>237</v>
      </c>
      <c r="F16" s="9" t="s">
        <v>202</v>
      </c>
      <c r="H16" s="46">
        <f t="shared" si="0"/>
        <v>2.5499999999999998</v>
      </c>
      <c r="I16" s="46">
        <f t="shared" si="0"/>
        <v>2.1221660241219538</v>
      </c>
      <c r="J16" s="46">
        <f t="shared" si="0"/>
        <v>1.74</v>
      </c>
      <c r="K16" s="46">
        <f t="shared" si="0"/>
        <v>1.69</v>
      </c>
      <c r="L16" s="46">
        <f t="shared" si="0"/>
        <v>1.65</v>
      </c>
      <c r="M16" s="46">
        <f t="shared" si="0"/>
        <v>1.61</v>
      </c>
      <c r="N16" s="46">
        <f t="shared" si="0"/>
        <v>1.25</v>
      </c>
      <c r="O16" s="46">
        <f t="shared" si="0"/>
        <v>1.22</v>
      </c>
      <c r="T16" s="43"/>
    </row>
    <row r="17" spans="1:24" x14ac:dyDescent="0.25">
      <c r="D17" s="9" t="s">
        <v>266</v>
      </c>
      <c r="E17" s="9" t="s">
        <v>186</v>
      </c>
      <c r="F17" s="9" t="s">
        <v>202</v>
      </c>
      <c r="H17" s="46">
        <f t="shared" si="0"/>
        <v>3.09</v>
      </c>
      <c r="I17" s="46">
        <f t="shared" si="0"/>
        <v>4.0901542787206759</v>
      </c>
      <c r="J17" s="46">
        <f t="shared" si="0"/>
        <v>2.35</v>
      </c>
      <c r="K17" s="46">
        <f t="shared" si="0"/>
        <v>1.97</v>
      </c>
      <c r="L17" s="46">
        <f t="shared" si="0"/>
        <v>1.92</v>
      </c>
      <c r="M17" s="46">
        <f t="shared" si="0"/>
        <v>1.87</v>
      </c>
      <c r="N17" s="46">
        <f t="shared" si="0"/>
        <v>1.82</v>
      </c>
      <c r="O17" s="46">
        <f t="shared" si="0"/>
        <v>1.77</v>
      </c>
      <c r="T17" s="43"/>
    </row>
    <row r="18" spans="1:24" x14ac:dyDescent="0.25">
      <c r="D18" s="9" t="s">
        <v>267</v>
      </c>
      <c r="E18" s="9" t="s">
        <v>205</v>
      </c>
      <c r="F18" s="9" t="s">
        <v>202</v>
      </c>
      <c r="H18" s="46">
        <f t="shared" si="0"/>
        <v>2.11</v>
      </c>
      <c r="I18" s="46">
        <f t="shared" si="0"/>
        <v>2.2343515592581951</v>
      </c>
      <c r="J18" s="46">
        <f t="shared" si="0"/>
        <v>1.99</v>
      </c>
      <c r="K18" s="46">
        <f t="shared" si="0"/>
        <v>1.83</v>
      </c>
      <c r="L18" s="46">
        <f t="shared" si="0"/>
        <v>1.78</v>
      </c>
      <c r="M18" s="46">
        <f t="shared" si="0"/>
        <v>1.73</v>
      </c>
      <c r="N18" s="46">
        <f t="shared" si="0"/>
        <v>1.69</v>
      </c>
      <c r="O18" s="46">
        <f t="shared" si="0"/>
        <v>1.65</v>
      </c>
      <c r="T18" s="43"/>
    </row>
    <row r="19" spans="1:24" x14ac:dyDescent="0.25">
      <c r="D19" s="21" t="s">
        <v>197</v>
      </c>
      <c r="E19" s="21" t="s">
        <v>198</v>
      </c>
      <c r="F19" s="9" t="s">
        <v>202</v>
      </c>
      <c r="H19" s="46">
        <f t="shared" si="0"/>
        <v>1.63</v>
      </c>
      <c r="I19" s="46">
        <f t="shared" si="0"/>
        <v>1.913046784107431</v>
      </c>
      <c r="J19" s="46">
        <f t="shared" si="0"/>
        <v>1.7</v>
      </c>
      <c r="K19" s="46">
        <f t="shared" si="0"/>
        <v>1.66</v>
      </c>
      <c r="L19" s="46">
        <f t="shared" si="0"/>
        <v>1.62</v>
      </c>
      <c r="M19" s="46">
        <f t="shared" si="0"/>
        <v>1.58</v>
      </c>
      <c r="N19" s="46">
        <f t="shared" si="0"/>
        <v>1.54</v>
      </c>
      <c r="O19" s="46">
        <f t="shared" si="0"/>
        <v>1.51</v>
      </c>
      <c r="T19" s="43"/>
      <c r="V19" s="21"/>
      <c r="W19" s="21"/>
      <c r="X19" s="21"/>
    </row>
    <row r="20" spans="1:24" x14ac:dyDescent="0.25">
      <c r="D20" s="21" t="s">
        <v>200</v>
      </c>
      <c r="E20" s="21" t="s">
        <v>167</v>
      </c>
      <c r="F20" s="9" t="s">
        <v>202</v>
      </c>
      <c r="H20" s="46">
        <f t="shared" si="0"/>
        <v>1.89</v>
      </c>
      <c r="I20" s="46">
        <f t="shared" si="0"/>
        <v>1.2460741963491366</v>
      </c>
      <c r="J20" s="46">
        <f t="shared" si="0"/>
        <v>1.77</v>
      </c>
      <c r="K20" s="46">
        <f t="shared" si="0"/>
        <v>1.78</v>
      </c>
      <c r="L20" s="46">
        <f t="shared" si="0"/>
        <v>1.69</v>
      </c>
      <c r="M20" s="46">
        <f t="shared" si="0"/>
        <v>1.65</v>
      </c>
      <c r="N20" s="46">
        <f t="shared" si="0"/>
        <v>1.53</v>
      </c>
      <c r="O20" s="46">
        <f t="shared" si="0"/>
        <v>1.37</v>
      </c>
      <c r="T20" s="43"/>
      <c r="V20" s="21"/>
      <c r="W20" s="21"/>
      <c r="X20" s="21"/>
    </row>
    <row r="21" spans="1:24" x14ac:dyDescent="0.25">
      <c r="D21" s="21" t="s">
        <v>268</v>
      </c>
      <c r="E21" s="21" t="s">
        <v>249</v>
      </c>
      <c r="F21" s="9" t="s">
        <v>202</v>
      </c>
      <c r="H21" s="46">
        <f t="shared" si="0"/>
        <v>2</v>
      </c>
      <c r="I21" s="46">
        <f t="shared" si="0"/>
        <v>2.1221571187580701</v>
      </c>
      <c r="J21" s="46">
        <f t="shared" si="0"/>
        <v>2.08</v>
      </c>
      <c r="K21" s="46">
        <f t="shared" si="0"/>
        <v>1.89</v>
      </c>
      <c r="L21" s="46">
        <f t="shared" si="0"/>
        <v>1.87</v>
      </c>
      <c r="M21" s="46">
        <f t="shared" si="0"/>
        <v>1.8</v>
      </c>
      <c r="N21" s="46">
        <f t="shared" si="0"/>
        <v>1.73</v>
      </c>
      <c r="O21" s="46">
        <f t="shared" si="0"/>
        <v>1.66</v>
      </c>
      <c r="T21" s="43"/>
      <c r="V21" s="21"/>
      <c r="W21" s="21"/>
      <c r="X21" s="21"/>
    </row>
    <row r="22" spans="1:24" x14ac:dyDescent="0.25">
      <c r="D22" s="21" t="s">
        <v>269</v>
      </c>
      <c r="E22" s="21" t="s">
        <v>190</v>
      </c>
      <c r="F22" s="9" t="s">
        <v>202</v>
      </c>
      <c r="H22" s="46">
        <f t="shared" si="0"/>
        <v>4.0439999999999996</v>
      </c>
      <c r="I22" s="46">
        <f t="shared" si="0"/>
        <v>2.8893148131671924</v>
      </c>
      <c r="J22" s="46">
        <f t="shared" si="0"/>
        <v>4.9400000000000004</v>
      </c>
      <c r="K22" s="46">
        <f t="shared" si="0"/>
        <v>2.2029999999999998</v>
      </c>
      <c r="L22" s="46">
        <f t="shared" si="0"/>
        <v>2.1850000000000001</v>
      </c>
      <c r="M22" s="46">
        <f t="shared" si="0"/>
        <v>2.173</v>
      </c>
      <c r="N22" s="46">
        <f t="shared" si="0"/>
        <v>2.1589999999999998</v>
      </c>
      <c r="O22" s="46">
        <f t="shared" si="0"/>
        <v>2.1379999999999999</v>
      </c>
      <c r="T22" s="43"/>
      <c r="V22" s="21"/>
      <c r="W22" s="21"/>
      <c r="X22" s="21"/>
    </row>
    <row r="23" spans="1:24" x14ac:dyDescent="0.25">
      <c r="D23" s="21" t="s">
        <v>270</v>
      </c>
      <c r="E23" s="21" t="s">
        <v>252</v>
      </c>
      <c r="F23" s="9" t="s">
        <v>202</v>
      </c>
      <c r="H23" s="46">
        <f t="shared" si="0"/>
        <v>2</v>
      </c>
      <c r="I23" s="46">
        <f t="shared" si="0"/>
        <v>1.7242461423441056</v>
      </c>
      <c r="J23" s="46">
        <f t="shared" si="0"/>
        <v>2</v>
      </c>
      <c r="K23" s="46">
        <f t="shared" si="0"/>
        <v>2</v>
      </c>
      <c r="L23" s="46">
        <f t="shared" si="0"/>
        <v>2</v>
      </c>
      <c r="M23" s="46">
        <f t="shared" si="0"/>
        <v>2</v>
      </c>
      <c r="N23" s="46">
        <f t="shared" si="0"/>
        <v>2</v>
      </c>
      <c r="O23" s="46">
        <f t="shared" si="0"/>
        <v>2</v>
      </c>
      <c r="T23" s="43"/>
      <c r="V23" s="21"/>
      <c r="W23" s="21"/>
      <c r="X23" s="21"/>
    </row>
    <row r="24" spans="1:24" x14ac:dyDescent="0.25">
      <c r="D24" s="21" t="s">
        <v>201</v>
      </c>
      <c r="E24" s="21" t="s">
        <v>169</v>
      </c>
      <c r="F24" s="9" t="s">
        <v>202</v>
      </c>
      <c r="H24" s="46">
        <f t="shared" si="0"/>
        <v>1.24</v>
      </c>
      <c r="I24" s="46">
        <f t="shared" si="0"/>
        <v>1.4537313649810653</v>
      </c>
      <c r="J24" s="46">
        <f t="shared" si="0"/>
        <v>1.6</v>
      </c>
      <c r="K24" s="46">
        <f t="shared" si="0"/>
        <v>1.54</v>
      </c>
      <c r="L24" s="46">
        <f t="shared" si="0"/>
        <v>1.47</v>
      </c>
      <c r="M24" s="46">
        <f t="shared" si="0"/>
        <v>1.41</v>
      </c>
      <c r="N24" s="46">
        <f t="shared" si="0"/>
        <v>1.34</v>
      </c>
      <c r="O24" s="46">
        <f t="shared" si="0"/>
        <v>1.24</v>
      </c>
      <c r="T24" s="43"/>
      <c r="V24" s="21"/>
      <c r="W24" s="21"/>
      <c r="X24" s="21"/>
    </row>
    <row r="25" spans="1:24" x14ac:dyDescent="0.25">
      <c r="D25" s="21" t="s">
        <v>271</v>
      </c>
      <c r="E25" s="21" t="s">
        <v>171</v>
      </c>
      <c r="F25" s="9" t="s">
        <v>202</v>
      </c>
      <c r="H25" s="46">
        <f t="shared" si="0"/>
        <v>7.49</v>
      </c>
      <c r="I25" s="46">
        <f t="shared" si="0"/>
        <v>5.842881670696241</v>
      </c>
      <c r="J25" s="46">
        <f t="shared" si="0"/>
        <v>2.52</v>
      </c>
      <c r="K25" s="46">
        <f t="shared" si="0"/>
        <v>1.72</v>
      </c>
      <c r="L25" s="46">
        <f t="shared" si="0"/>
        <v>1.64</v>
      </c>
      <c r="M25" s="46">
        <f t="shared" si="0"/>
        <v>1.57</v>
      </c>
      <c r="N25" s="46">
        <f t="shared" si="0"/>
        <v>1.5</v>
      </c>
      <c r="O25" s="46">
        <f t="shared" si="0"/>
        <v>1.43</v>
      </c>
      <c r="T25" s="43"/>
      <c r="V25" s="21"/>
      <c r="W25" s="21"/>
      <c r="X25" s="21"/>
    </row>
    <row r="26" spans="1:24" x14ac:dyDescent="0.25">
      <c r="D26" s="31"/>
      <c r="E26" s="31"/>
      <c r="F26" s="31"/>
      <c r="H26" s="28"/>
      <c r="I26" s="28"/>
      <c r="J26" s="28"/>
      <c r="K26" s="28"/>
      <c r="L26" s="28"/>
      <c r="M26" s="28"/>
      <c r="N26" s="28"/>
      <c r="O26" s="28"/>
      <c r="X26" s="82"/>
    </row>
    <row r="27" spans="1:24" ht="15" x14ac:dyDescent="0.35">
      <c r="A27" s="1" t="s">
        <v>378</v>
      </c>
      <c r="D27" s="31"/>
      <c r="E27" s="31"/>
      <c r="F27" s="31"/>
      <c r="H27" s="28"/>
      <c r="I27" s="28"/>
      <c r="J27" s="28"/>
      <c r="K27" s="28"/>
      <c r="L27" s="28"/>
      <c r="M27" s="28"/>
      <c r="N27" s="28"/>
      <c r="O27" s="28"/>
    </row>
    <row r="28" spans="1:24" x14ac:dyDescent="0.25">
      <c r="D28" s="31"/>
      <c r="E28" s="31"/>
      <c r="F28" s="31"/>
      <c r="H28" s="28"/>
      <c r="I28" s="28"/>
      <c r="J28" s="28"/>
      <c r="K28" s="28"/>
      <c r="L28" s="28"/>
      <c r="M28" s="28"/>
      <c r="N28" s="28"/>
      <c r="O28" s="28"/>
    </row>
    <row r="29" spans="1:24" ht="13.8" x14ac:dyDescent="0.3">
      <c r="B29" s="2" t="s">
        <v>379</v>
      </c>
      <c r="C29" s="2"/>
      <c r="D29" s="31"/>
      <c r="E29" s="31"/>
      <c r="F29" s="31"/>
      <c r="H29" s="28"/>
      <c r="I29" s="28"/>
      <c r="J29" s="28"/>
      <c r="K29" s="28"/>
      <c r="L29" s="28"/>
      <c r="M29" s="28"/>
      <c r="N29" s="28"/>
      <c r="O29" s="28"/>
    </row>
    <row r="30" spans="1:24" x14ac:dyDescent="0.25">
      <c r="C30" s="4" t="s">
        <v>380</v>
      </c>
      <c r="D30" s="31"/>
      <c r="E30" s="31"/>
      <c r="F30" s="31"/>
      <c r="H30" s="28"/>
      <c r="I30" s="28"/>
      <c r="J30" s="28"/>
    </row>
    <row r="31" spans="1:24" x14ac:dyDescent="0.25">
      <c r="D31" s="31"/>
      <c r="E31" s="31"/>
      <c r="F31" s="31"/>
      <c r="H31" s="28"/>
      <c r="I31" s="28"/>
      <c r="J31" s="28"/>
    </row>
    <row r="32" spans="1:24" x14ac:dyDescent="0.25">
      <c r="D32" s="31"/>
      <c r="E32" s="31"/>
      <c r="F32" s="31"/>
      <c r="H32" s="9" t="s">
        <v>372</v>
      </c>
      <c r="I32" s="9" t="s">
        <v>372</v>
      </c>
      <c r="J32" s="9" t="s">
        <v>373</v>
      </c>
      <c r="K32" s="9" t="s">
        <v>374</v>
      </c>
      <c r="L32" s="9" t="s">
        <v>374</v>
      </c>
      <c r="M32" s="9" t="s">
        <v>374</v>
      </c>
      <c r="N32" s="9" t="s">
        <v>374</v>
      </c>
      <c r="O32" s="9" t="s">
        <v>374</v>
      </c>
    </row>
    <row r="33" spans="2:15" x14ac:dyDescent="0.25">
      <c r="F33" s="21"/>
      <c r="H33" s="9" t="s">
        <v>375</v>
      </c>
      <c r="I33" s="9" t="s">
        <v>376</v>
      </c>
      <c r="J33" s="9" t="s">
        <v>377</v>
      </c>
      <c r="K33" s="9" t="s">
        <v>174</v>
      </c>
      <c r="L33" s="9" t="s">
        <v>175</v>
      </c>
      <c r="M33" s="9" t="s">
        <v>176</v>
      </c>
      <c r="N33" s="9" t="s">
        <v>177</v>
      </c>
      <c r="O33" s="9" t="s">
        <v>178</v>
      </c>
    </row>
    <row r="34" spans="2:15" x14ac:dyDescent="0.25">
      <c r="E34" s="9" t="s">
        <v>381</v>
      </c>
      <c r="F34" s="9" t="s">
        <v>202</v>
      </c>
      <c r="H34" s="25">
        <f t="shared" ref="H34:O34" si="1">MIN(H15:H25)</f>
        <v>1.24</v>
      </c>
      <c r="I34" s="25">
        <f t="shared" si="1"/>
        <v>0.94330312828342044</v>
      </c>
      <c r="J34" s="25">
        <f t="shared" si="1"/>
        <v>1.6</v>
      </c>
      <c r="K34" s="25">
        <f t="shared" si="1"/>
        <v>1.54</v>
      </c>
      <c r="L34" s="25">
        <f t="shared" si="1"/>
        <v>1.47</v>
      </c>
      <c r="M34" s="25">
        <f t="shared" si="1"/>
        <v>1.41</v>
      </c>
      <c r="N34" s="25">
        <f t="shared" si="1"/>
        <v>1.25</v>
      </c>
      <c r="O34" s="25">
        <f t="shared" si="1"/>
        <v>1.22</v>
      </c>
    </row>
    <row r="35" spans="2:15" ht="13.8" thickBot="1" x14ac:dyDescent="0.3"/>
    <row r="36" spans="2:15" ht="13.8" thickBot="1" x14ac:dyDescent="0.3">
      <c r="E36" s="64" t="s">
        <v>382</v>
      </c>
      <c r="F36" s="67">
        <f>MIN(H34:I34,K34)</f>
        <v>0.94330312828342044</v>
      </c>
    </row>
    <row r="38" spans="2:15" ht="13.8" x14ac:dyDescent="0.3">
      <c r="B38" s="2" t="s">
        <v>383</v>
      </c>
    </row>
    <row r="39" spans="2:15" x14ac:dyDescent="0.25">
      <c r="C39" s="4" t="s">
        <v>384</v>
      </c>
    </row>
    <row r="40" spans="2:15" x14ac:dyDescent="0.25">
      <c r="C40" s="4"/>
    </row>
    <row r="41" spans="2:15" x14ac:dyDescent="0.25">
      <c r="E41" s="18" t="s">
        <v>121</v>
      </c>
      <c r="F41" s="66">
        <f>frontiershift</f>
        <v>1.3785667427973047E-2</v>
      </c>
    </row>
    <row r="42" spans="2:15" ht="13.8" thickBot="1" x14ac:dyDescent="0.3"/>
    <row r="43" spans="2:15" ht="13.8" thickBot="1" x14ac:dyDescent="0.3">
      <c r="E43" s="64" t="s">
        <v>385</v>
      </c>
      <c r="F43" s="67">
        <f>F36*(1-F41)</f>
        <v>0.93029906507313864</v>
      </c>
    </row>
    <row r="45" spans="2:15" ht="13.8" x14ac:dyDescent="0.3">
      <c r="B45" s="2" t="s">
        <v>386</v>
      </c>
    </row>
    <row r="46" spans="2:15" x14ac:dyDescent="0.25">
      <c r="C46" s="4" t="s">
        <v>387</v>
      </c>
    </row>
    <row r="47" spans="2:15" x14ac:dyDescent="0.25">
      <c r="C47" s="4" t="s">
        <v>388</v>
      </c>
    </row>
    <row r="48" spans="2:15" x14ac:dyDescent="0.25">
      <c r="C48" s="4"/>
    </row>
    <row r="49" spans="2:19" x14ac:dyDescent="0.25">
      <c r="H49" s="9" t="s">
        <v>372</v>
      </c>
      <c r="I49" s="9" t="s">
        <v>372</v>
      </c>
      <c r="J49" s="9" t="s">
        <v>373</v>
      </c>
      <c r="K49" s="9" t="s">
        <v>374</v>
      </c>
      <c r="L49" s="9" t="s">
        <v>374</v>
      </c>
      <c r="M49" s="9" t="s">
        <v>374</v>
      </c>
      <c r="N49" s="9" t="s">
        <v>374</v>
      </c>
      <c r="O49" s="9" t="s">
        <v>374</v>
      </c>
    </row>
    <row r="50" spans="2:19" x14ac:dyDescent="0.25">
      <c r="H50" s="9" t="s">
        <v>375</v>
      </c>
      <c r="I50" s="9" t="s">
        <v>376</v>
      </c>
      <c r="J50" s="9" t="s">
        <v>377</v>
      </c>
      <c r="K50" s="9" t="s">
        <v>174</v>
      </c>
      <c r="L50" s="9" t="s">
        <v>175</v>
      </c>
      <c r="M50" s="9" t="s">
        <v>176</v>
      </c>
      <c r="N50" s="9" t="s">
        <v>177</v>
      </c>
      <c r="O50" s="9" t="s">
        <v>178</v>
      </c>
    </row>
    <row r="51" spans="2:19" x14ac:dyDescent="0.25">
      <c r="E51" s="9" t="s">
        <v>389</v>
      </c>
      <c r="F51" s="9" t="s">
        <v>202</v>
      </c>
      <c r="H51" s="25">
        <f t="shared" ref="H51:O51" si="2">_xlfn.PERCENTILE.INC(H$15:H$25,0.25)</f>
        <v>1.7599999999999998</v>
      </c>
      <c r="I51" s="25">
        <f t="shared" si="2"/>
        <v>1.5889887536625853</v>
      </c>
      <c r="J51" s="25">
        <f t="shared" si="2"/>
        <v>1.72</v>
      </c>
      <c r="K51" s="25">
        <f t="shared" si="2"/>
        <v>1.6749999999999998</v>
      </c>
      <c r="L51" s="25">
        <f t="shared" si="2"/>
        <v>1.63</v>
      </c>
      <c r="M51" s="25">
        <f t="shared" si="2"/>
        <v>1.5750000000000002</v>
      </c>
      <c r="N51" s="25">
        <f t="shared" si="2"/>
        <v>1.44</v>
      </c>
      <c r="O51" s="25">
        <f t="shared" si="2"/>
        <v>1.34</v>
      </c>
    </row>
    <row r="52" spans="2:19" x14ac:dyDescent="0.25">
      <c r="E52" s="9" t="s">
        <v>390</v>
      </c>
      <c r="F52" s="9" t="s">
        <v>202</v>
      </c>
      <c r="H52" s="25">
        <f t="shared" ref="H52:O52" si="3">_xlfn.PERCENTILE.INC(H$15:H$25,0.75)</f>
        <v>2.82</v>
      </c>
      <c r="I52" s="25">
        <f t="shared" si="3"/>
        <v>2.5618331862126937</v>
      </c>
      <c r="J52" s="25">
        <f t="shared" si="3"/>
        <v>2.2149999999999999</v>
      </c>
      <c r="K52" s="25">
        <f t="shared" si="3"/>
        <v>1.93</v>
      </c>
      <c r="L52" s="25">
        <f t="shared" si="3"/>
        <v>1.895</v>
      </c>
      <c r="M52" s="25">
        <f t="shared" si="3"/>
        <v>1.835</v>
      </c>
      <c r="N52" s="25">
        <f t="shared" si="3"/>
        <v>1.7749999999999999</v>
      </c>
      <c r="O52" s="25">
        <f t="shared" si="3"/>
        <v>1.7149999999999999</v>
      </c>
    </row>
    <row r="54" spans="2:19" x14ac:dyDescent="0.25">
      <c r="E54" s="9" t="s">
        <v>391</v>
      </c>
      <c r="F54" s="9" t="s">
        <v>392</v>
      </c>
      <c r="H54" s="34"/>
      <c r="I54" s="34">
        <f t="shared" ref="I54:O54" si="4">(I51/H51-1)</f>
        <v>-9.7165480873530941E-2</v>
      </c>
      <c r="J54" s="34">
        <f>(J51/I51-1)</f>
        <v>8.2449448452946328E-2</v>
      </c>
      <c r="K54" s="34">
        <f>(K51/J51-1)</f>
        <v>-2.6162790697674465E-2</v>
      </c>
      <c r="L54" s="34">
        <f t="shared" si="4"/>
        <v>-2.6865671641790989E-2</v>
      </c>
      <c r="M54" s="34">
        <f t="shared" si="4"/>
        <v>-3.3742331288343363E-2</v>
      </c>
      <c r="N54" s="34">
        <f t="shared" si="4"/>
        <v>-8.5714285714285854E-2</v>
      </c>
      <c r="O54" s="34">
        <f t="shared" si="4"/>
        <v>-6.9444444444444309E-2</v>
      </c>
    </row>
    <row r="57" spans="2:19" x14ac:dyDescent="0.25">
      <c r="K57" s="9" t="s">
        <v>174</v>
      </c>
      <c r="L57" s="9" t="s">
        <v>175</v>
      </c>
      <c r="M57" s="9" t="s">
        <v>176</v>
      </c>
      <c r="N57" s="9" t="s">
        <v>177</v>
      </c>
      <c r="O57" s="9" t="s">
        <v>178</v>
      </c>
    </row>
    <row r="58" spans="2:19" x14ac:dyDescent="0.25">
      <c r="E58" s="9" t="s">
        <v>393</v>
      </c>
      <c r="F58" s="9" t="s">
        <v>202</v>
      </c>
      <c r="K58" s="25">
        <f>F43</f>
        <v>0.93029906507313864</v>
      </c>
      <c r="L58" s="25">
        <f>K58*(1-ABS(L54))</f>
        <v>0.90530595586221851</v>
      </c>
      <c r="M58" s="25">
        <f>L58*(1-ABS(M54))</f>
        <v>0.87475882238220515</v>
      </c>
      <c r="N58" s="25">
        <f>M58*(1-ABS(N54))</f>
        <v>0.79977949474944454</v>
      </c>
      <c r="O58" s="25">
        <f>N58*(1-ABS(O54))</f>
        <v>0.74423925205851105</v>
      </c>
    </row>
    <row r="59" spans="2:19" x14ac:dyDescent="0.25">
      <c r="E59" s="9" t="s">
        <v>394</v>
      </c>
      <c r="F59" s="9" t="s">
        <v>202</v>
      </c>
      <c r="I59" s="24"/>
      <c r="K59" s="23">
        <f>$I$52</f>
        <v>2.5618331862126937</v>
      </c>
      <c r="L59" s="23">
        <f>$I$52</f>
        <v>2.5618331862126937</v>
      </c>
      <c r="M59" s="23">
        <f>$I$52</f>
        <v>2.5618331862126937</v>
      </c>
      <c r="N59" s="23">
        <f>$I$52</f>
        <v>2.5618331862126937</v>
      </c>
      <c r="O59" s="23">
        <f>$I$52</f>
        <v>2.5618331862126937</v>
      </c>
    </row>
    <row r="60" spans="2:19" x14ac:dyDescent="0.25">
      <c r="F60" s="21"/>
      <c r="M60" s="24"/>
      <c r="O60" s="74"/>
      <c r="P60" s="74"/>
      <c r="Q60" s="74"/>
      <c r="R60" s="74"/>
      <c r="S60" s="74"/>
    </row>
    <row r="62" spans="2:19" ht="13.8" x14ac:dyDescent="0.3">
      <c r="B62" s="2" t="s">
        <v>395</v>
      </c>
      <c r="O62" s="24"/>
      <c r="P62" s="24"/>
      <c r="Q62" s="24"/>
      <c r="R62" s="24"/>
      <c r="S62" s="24"/>
    </row>
    <row r="63" spans="2:19" x14ac:dyDescent="0.25">
      <c r="C63" s="4" t="s">
        <v>396</v>
      </c>
    </row>
    <row r="64" spans="2:19" x14ac:dyDescent="0.25">
      <c r="K64" s="9" t="s">
        <v>174</v>
      </c>
      <c r="L64" s="9" t="s">
        <v>175</v>
      </c>
      <c r="M64" s="9" t="s">
        <v>176</v>
      </c>
      <c r="N64" s="9" t="s">
        <v>177</v>
      </c>
      <c r="O64" s="9" t="s">
        <v>178</v>
      </c>
    </row>
    <row r="65" spans="1:24" x14ac:dyDescent="0.25">
      <c r="E65" s="9" t="s">
        <v>397</v>
      </c>
      <c r="F65" s="9" t="s">
        <v>202</v>
      </c>
      <c r="K65" s="110">
        <f>_xlfn.PERCENTILE.INC($I$15:$I$25,0.9)</f>
        <v>4.0901542787206759</v>
      </c>
      <c r="L65" s="110">
        <f t="shared" ref="L65:O65" si="5">_xlfn.PERCENTILE.INC($I$15:$I$25,0.9)</f>
        <v>4.0901542787206759</v>
      </c>
      <c r="M65" s="110">
        <f t="shared" si="5"/>
        <v>4.0901542787206759</v>
      </c>
      <c r="N65" s="110">
        <f t="shared" si="5"/>
        <v>4.0901542787206759</v>
      </c>
      <c r="O65" s="110">
        <f t="shared" si="5"/>
        <v>4.0901542787206759</v>
      </c>
    </row>
    <row r="66" spans="1:24" x14ac:dyDescent="0.25">
      <c r="K66" s="110"/>
      <c r="L66" s="110"/>
      <c r="M66" s="110"/>
      <c r="N66" s="110"/>
      <c r="O66" s="110"/>
    </row>
    <row r="67" spans="1:24" ht="13.8" x14ac:dyDescent="0.3">
      <c r="C67" s="2" t="s">
        <v>139</v>
      </c>
      <c r="K67" s="110"/>
      <c r="L67" s="110"/>
      <c r="M67" s="110"/>
      <c r="N67" s="110"/>
      <c r="O67" s="110"/>
    </row>
    <row r="68" spans="1:24" x14ac:dyDescent="0.25">
      <c r="D68" s="4" t="s">
        <v>406</v>
      </c>
      <c r="K68" s="110"/>
      <c r="L68" s="110"/>
      <c r="M68" s="110"/>
      <c r="N68" s="110"/>
      <c r="O68" s="110"/>
    </row>
    <row r="69" spans="1:24" x14ac:dyDescent="0.25">
      <c r="D69" s="4"/>
      <c r="K69" s="9" t="s">
        <v>174</v>
      </c>
      <c r="L69" s="9" t="s">
        <v>175</v>
      </c>
      <c r="M69" s="9" t="s">
        <v>176</v>
      </c>
      <c r="N69" s="9" t="s">
        <v>177</v>
      </c>
      <c r="O69" s="9" t="s">
        <v>178</v>
      </c>
    </row>
    <row r="70" spans="1:24" x14ac:dyDescent="0.25">
      <c r="D70" s="9" t="s">
        <v>197</v>
      </c>
      <c r="E70" s="9" t="s">
        <v>198</v>
      </c>
      <c r="F70" s="9" t="s">
        <v>202</v>
      </c>
      <c r="K70" s="46">
        <f t="shared" ref="K70:O71" si="6">INDEX(early_collar,MATCH($D70,early_ID,0))</f>
        <v>2.35</v>
      </c>
      <c r="L70" s="46">
        <f t="shared" si="6"/>
        <v>2.35</v>
      </c>
      <c r="M70" s="46">
        <f t="shared" si="6"/>
        <v>2.35</v>
      </c>
      <c r="N70" s="46">
        <f t="shared" si="6"/>
        <v>2.35</v>
      </c>
      <c r="O70" s="46">
        <f t="shared" si="6"/>
        <v>2.35</v>
      </c>
    </row>
    <row r="71" spans="1:24" x14ac:dyDescent="0.25">
      <c r="D71" s="9" t="s">
        <v>200</v>
      </c>
      <c r="E71" s="9" t="s">
        <v>167</v>
      </c>
      <c r="F71" s="9" t="s">
        <v>202</v>
      </c>
      <c r="K71" s="46">
        <f t="shared" si="6"/>
        <v>8.4700000000000006</v>
      </c>
      <c r="L71" s="46">
        <f t="shared" si="6"/>
        <v>8.4700000000000006</v>
      </c>
      <c r="M71" s="46">
        <f t="shared" si="6"/>
        <v>8.4700000000000006</v>
      </c>
      <c r="N71" s="46">
        <f t="shared" si="6"/>
        <v>8.4700000000000006</v>
      </c>
      <c r="O71" s="46">
        <f t="shared" si="6"/>
        <v>8.4700000000000006</v>
      </c>
    </row>
    <row r="72" spans="1:24" x14ac:dyDescent="0.25">
      <c r="F72" s="21"/>
      <c r="O72" s="84"/>
      <c r="P72" s="84"/>
      <c r="Q72" s="84"/>
      <c r="R72" s="84"/>
      <c r="S72" s="84"/>
    </row>
    <row r="73" spans="1:24" x14ac:dyDescent="0.25">
      <c r="F73" s="21"/>
      <c r="O73" s="84"/>
      <c r="P73" s="84"/>
      <c r="Q73" s="84"/>
      <c r="R73" s="84"/>
      <c r="S73" s="84"/>
    </row>
    <row r="74" spans="1:24" ht="13.8" x14ac:dyDescent="0.3">
      <c r="A74" s="8" t="s">
        <v>398</v>
      </c>
      <c r="B74" s="8"/>
      <c r="C74" s="8"/>
      <c r="D74" s="8"/>
      <c r="E74" s="8"/>
      <c r="F74" s="8"/>
      <c r="G74" s="8"/>
      <c r="H74" s="8"/>
      <c r="I74" s="8"/>
      <c r="J74" s="8"/>
      <c r="K74" s="8"/>
      <c r="L74" s="8"/>
      <c r="M74" s="8"/>
      <c r="N74" s="8"/>
      <c r="O74" s="8"/>
      <c r="P74" s="8"/>
      <c r="Q74" s="8"/>
      <c r="R74" s="8"/>
      <c r="S74" s="8"/>
      <c r="T74" s="8"/>
      <c r="U74" s="8"/>
      <c r="V74" s="8"/>
      <c r="W74" s="8"/>
      <c r="X74" s="8"/>
    </row>
    <row r="75" spans="1:24" x14ac:dyDescent="0.25">
      <c r="F75" s="21"/>
      <c r="O75" s="84"/>
      <c r="P75" s="84"/>
      <c r="Q75" s="84"/>
      <c r="R75" s="84"/>
      <c r="S75" s="84"/>
    </row>
    <row r="76" spans="1:24" ht="15" x14ac:dyDescent="0.35">
      <c r="B76" s="1" t="s">
        <v>399</v>
      </c>
      <c r="F76" s="21"/>
      <c r="O76" s="84"/>
      <c r="P76" s="84"/>
      <c r="Q76" s="84"/>
      <c r="R76" s="84"/>
      <c r="S76" s="84"/>
    </row>
    <row r="77" spans="1:24" ht="15" x14ac:dyDescent="0.35">
      <c r="B77" s="1"/>
      <c r="F77" s="21"/>
      <c r="O77" s="84"/>
      <c r="P77" s="84"/>
      <c r="Q77" s="84"/>
      <c r="R77" s="84"/>
      <c r="S77" s="84"/>
    </row>
    <row r="78" spans="1:24" x14ac:dyDescent="0.25">
      <c r="D78" s="9" t="s">
        <v>149</v>
      </c>
      <c r="E78" s="9" t="s">
        <v>150</v>
      </c>
      <c r="F78" s="21" t="s">
        <v>151</v>
      </c>
      <c r="K78" s="9" t="s">
        <v>174</v>
      </c>
      <c r="L78" s="9" t="s">
        <v>175</v>
      </c>
      <c r="M78" s="9" t="s">
        <v>176</v>
      </c>
      <c r="N78" s="9" t="s">
        <v>177</v>
      </c>
      <c r="O78" s="9" t="s">
        <v>178</v>
      </c>
    </row>
    <row r="79" spans="1:24" x14ac:dyDescent="0.25">
      <c r="D79" s="31" t="s">
        <v>197</v>
      </c>
      <c r="E79" s="31" t="s">
        <v>198</v>
      </c>
      <c r="F79" s="9" t="s">
        <v>202</v>
      </c>
      <c r="K79" s="25">
        <f t="shared" ref="K79:O81" si="7">INDEX(thresholdsproposed,MATCH($D79,thresholdsproposed_ID,0),MATCH(K$78,thresholdsproposed_years,0))</f>
        <v>1.24</v>
      </c>
      <c r="L79" s="25">
        <f t="shared" si="7"/>
        <v>1.21</v>
      </c>
      <c r="M79" s="25">
        <f t="shared" si="7"/>
        <v>1.18</v>
      </c>
      <c r="N79" s="25">
        <f t="shared" si="7"/>
        <v>1.1499999999999999</v>
      </c>
      <c r="O79" s="25">
        <f t="shared" si="7"/>
        <v>1.1100000000000001</v>
      </c>
    </row>
    <row r="80" spans="1:24" x14ac:dyDescent="0.25">
      <c r="D80" s="31" t="s">
        <v>200</v>
      </c>
      <c r="E80" s="31" t="s">
        <v>167</v>
      </c>
      <c r="F80" s="9" t="s">
        <v>202</v>
      </c>
      <c r="K80" s="25">
        <f t="shared" si="7"/>
        <v>1.22</v>
      </c>
      <c r="L80" s="25">
        <f t="shared" si="7"/>
        <v>1.1599999999999999</v>
      </c>
      <c r="M80" s="25">
        <f t="shared" si="7"/>
        <v>1.1000000000000001</v>
      </c>
      <c r="N80" s="25">
        <f t="shared" si="7"/>
        <v>1.04</v>
      </c>
      <c r="O80" s="25">
        <f t="shared" si="7"/>
        <v>0.98</v>
      </c>
    </row>
    <row r="81" spans="2:19" x14ac:dyDescent="0.25">
      <c r="D81" s="31" t="s">
        <v>201</v>
      </c>
      <c r="E81" s="31" t="s">
        <v>169</v>
      </c>
      <c r="F81" s="9" t="s">
        <v>202</v>
      </c>
      <c r="K81" s="25">
        <f t="shared" si="7"/>
        <v>1.24</v>
      </c>
      <c r="L81" s="25">
        <f t="shared" si="7"/>
        <v>1.24</v>
      </c>
      <c r="M81" s="25">
        <f t="shared" si="7"/>
        <v>1.24</v>
      </c>
      <c r="N81" s="25">
        <f t="shared" si="7"/>
        <v>1.24</v>
      </c>
      <c r="O81" s="25">
        <f t="shared" si="7"/>
        <v>1.24</v>
      </c>
    </row>
    <row r="82" spans="2:19" x14ac:dyDescent="0.25">
      <c r="F82" s="21"/>
      <c r="P82" s="84"/>
      <c r="Q82" s="84"/>
      <c r="R82" s="84"/>
      <c r="S82" s="84"/>
    </row>
    <row r="83" spans="2:19" ht="15" x14ac:dyDescent="0.35">
      <c r="B83" s="1" t="s">
        <v>400</v>
      </c>
      <c r="F83" s="21"/>
      <c r="P83" s="84"/>
      <c r="Q83" s="84"/>
      <c r="R83" s="84"/>
      <c r="S83" s="84"/>
    </row>
    <row r="84" spans="2:19" x14ac:dyDescent="0.25">
      <c r="C84" s="4" t="s">
        <v>401</v>
      </c>
      <c r="F84" s="21"/>
      <c r="P84" s="74"/>
      <c r="Q84" s="74"/>
      <c r="R84" s="74"/>
      <c r="S84" s="74"/>
    </row>
    <row r="85" spans="2:19" x14ac:dyDescent="0.25">
      <c r="C85" s="4"/>
      <c r="F85" s="21"/>
    </row>
    <row r="86" spans="2:19" x14ac:dyDescent="0.25">
      <c r="C86" s="4"/>
      <c r="D86" s="9" t="s">
        <v>149</v>
      </c>
      <c r="E86" s="9" t="s">
        <v>150</v>
      </c>
      <c r="F86" s="21" t="s">
        <v>151</v>
      </c>
      <c r="K86" s="9" t="s">
        <v>174</v>
      </c>
      <c r="L86" s="9" t="s">
        <v>175</v>
      </c>
      <c r="M86" s="9" t="s">
        <v>176</v>
      </c>
      <c r="N86" s="9" t="s">
        <v>177</v>
      </c>
      <c r="O86" s="9" t="s">
        <v>178</v>
      </c>
      <c r="P86" s="74"/>
      <c r="Q86" s="74"/>
      <c r="R86" s="74"/>
      <c r="S86" s="74"/>
    </row>
    <row r="87" spans="2:19" x14ac:dyDescent="0.25">
      <c r="C87" s="4"/>
      <c r="D87" s="31" t="s">
        <v>197</v>
      </c>
      <c r="E87" s="31" t="s">
        <v>198</v>
      </c>
      <c r="F87" s="9" t="s">
        <v>202</v>
      </c>
      <c r="K87" s="110">
        <f t="shared" ref="K87:O89" si="8">MIN(K79,K$58)</f>
        <v>0.93029906507313864</v>
      </c>
      <c r="L87" s="110">
        <f t="shared" si="8"/>
        <v>0.90530595586221851</v>
      </c>
      <c r="M87" s="110">
        <f t="shared" si="8"/>
        <v>0.87475882238220515</v>
      </c>
      <c r="N87" s="110">
        <f t="shared" si="8"/>
        <v>0.79977949474944454</v>
      </c>
      <c r="O87" s="110">
        <f t="shared" si="8"/>
        <v>0.74423925205851105</v>
      </c>
      <c r="P87" s="73"/>
      <c r="Q87" s="73"/>
      <c r="R87" s="73"/>
      <c r="S87" s="74"/>
    </row>
    <row r="88" spans="2:19" x14ac:dyDescent="0.25">
      <c r="C88" s="4"/>
      <c r="D88" s="31" t="s">
        <v>200</v>
      </c>
      <c r="E88" s="31" t="s">
        <v>167</v>
      </c>
      <c r="F88" s="9" t="s">
        <v>202</v>
      </c>
      <c r="K88" s="110">
        <f t="shared" si="8"/>
        <v>0.93029906507313864</v>
      </c>
      <c r="L88" s="110">
        <f t="shared" si="8"/>
        <v>0.90530595586221851</v>
      </c>
      <c r="M88" s="110">
        <f t="shared" si="8"/>
        <v>0.87475882238220515</v>
      </c>
      <c r="N88" s="110">
        <f t="shared" si="8"/>
        <v>0.79977949474944454</v>
      </c>
      <c r="O88" s="110">
        <f t="shared" si="8"/>
        <v>0.74423925205851105</v>
      </c>
      <c r="P88" s="73"/>
      <c r="Q88" s="73"/>
      <c r="R88" s="73"/>
      <c r="S88" s="74"/>
    </row>
    <row r="89" spans="2:19" x14ac:dyDescent="0.25">
      <c r="D89" s="31" t="s">
        <v>201</v>
      </c>
      <c r="E89" s="31" t="s">
        <v>169</v>
      </c>
      <c r="F89" s="9" t="s">
        <v>202</v>
      </c>
      <c r="K89" s="110">
        <f t="shared" si="8"/>
        <v>0.93029906507313864</v>
      </c>
      <c r="L89" s="110">
        <f t="shared" si="8"/>
        <v>0.90530595586221851</v>
      </c>
      <c r="M89" s="110">
        <f t="shared" si="8"/>
        <v>0.87475882238220515</v>
      </c>
      <c r="N89" s="110">
        <f t="shared" si="8"/>
        <v>0.79977949474944454</v>
      </c>
      <c r="O89" s="110">
        <f t="shared" si="8"/>
        <v>0.74423925205851105</v>
      </c>
      <c r="P89" s="25"/>
      <c r="Q89" s="25"/>
      <c r="R89" s="25"/>
      <c r="S89" s="84"/>
    </row>
    <row r="90" spans="2:19" x14ac:dyDescent="0.25">
      <c r="F90" s="21"/>
      <c r="P90" s="84"/>
      <c r="Q90" s="84"/>
      <c r="R90" s="84"/>
      <c r="S90" s="84"/>
    </row>
    <row r="91" spans="2:19" ht="15" x14ac:dyDescent="0.35">
      <c r="B91" s="1" t="s">
        <v>402</v>
      </c>
      <c r="F91" s="21"/>
      <c r="P91" s="84"/>
      <c r="Q91" s="84"/>
      <c r="R91" s="84"/>
      <c r="S91" s="84"/>
    </row>
    <row r="92" spans="2:19" ht="15" x14ac:dyDescent="0.35">
      <c r="B92" s="1"/>
      <c r="C92" s="4" t="s">
        <v>403</v>
      </c>
      <c r="F92" s="21"/>
      <c r="P92" s="84"/>
      <c r="Q92" s="84"/>
      <c r="R92" s="84"/>
      <c r="S92" s="84"/>
    </row>
    <row r="93" spans="2:19" ht="15" x14ac:dyDescent="0.35">
      <c r="B93" s="1"/>
      <c r="C93" s="4"/>
      <c r="F93" s="21"/>
      <c r="P93" s="84"/>
      <c r="Q93" s="84"/>
      <c r="R93" s="84"/>
      <c r="S93" s="84"/>
    </row>
    <row r="94" spans="2:19" x14ac:dyDescent="0.25">
      <c r="D94" s="9" t="s">
        <v>149</v>
      </c>
      <c r="E94" s="9" t="s">
        <v>150</v>
      </c>
      <c r="F94" s="21" t="s">
        <v>151</v>
      </c>
      <c r="K94" s="9" t="s">
        <v>174</v>
      </c>
      <c r="L94" s="9" t="s">
        <v>175</v>
      </c>
      <c r="M94" s="9" t="s">
        <v>176</v>
      </c>
      <c r="N94" s="9" t="s">
        <v>177</v>
      </c>
      <c r="O94" s="9" t="s">
        <v>178</v>
      </c>
      <c r="P94" s="84"/>
      <c r="Q94" s="84"/>
      <c r="R94" s="84"/>
      <c r="S94" s="84"/>
    </row>
    <row r="95" spans="2:19" x14ac:dyDescent="0.25">
      <c r="D95" s="31" t="s">
        <v>197</v>
      </c>
      <c r="E95" s="31" t="s">
        <v>198</v>
      </c>
      <c r="F95" s="9" t="s">
        <v>202</v>
      </c>
      <c r="K95" s="110">
        <f t="shared" ref="K95:O97" si="9">K$59</f>
        <v>2.5618331862126937</v>
      </c>
      <c r="L95" s="110">
        <f t="shared" si="9"/>
        <v>2.5618331862126937</v>
      </c>
      <c r="M95" s="110">
        <f t="shared" si="9"/>
        <v>2.5618331862126937</v>
      </c>
      <c r="N95" s="110">
        <f t="shared" si="9"/>
        <v>2.5618331862126937</v>
      </c>
      <c r="O95" s="110">
        <f t="shared" si="9"/>
        <v>2.5618331862126937</v>
      </c>
      <c r="S95" s="84"/>
    </row>
    <row r="96" spans="2:19" x14ac:dyDescent="0.25">
      <c r="D96" s="31" t="s">
        <v>200</v>
      </c>
      <c r="E96" s="31" t="s">
        <v>167</v>
      </c>
      <c r="F96" s="9" t="s">
        <v>202</v>
      </c>
      <c r="K96" s="110">
        <f t="shared" si="9"/>
        <v>2.5618331862126937</v>
      </c>
      <c r="L96" s="110">
        <f t="shared" si="9"/>
        <v>2.5618331862126937</v>
      </c>
      <c r="M96" s="110">
        <f t="shared" si="9"/>
        <v>2.5618331862126937</v>
      </c>
      <c r="N96" s="110">
        <f t="shared" si="9"/>
        <v>2.5618331862126937</v>
      </c>
      <c r="O96" s="110">
        <f t="shared" si="9"/>
        <v>2.5618331862126937</v>
      </c>
      <c r="S96" s="84"/>
    </row>
    <row r="97" spans="1:24" x14ac:dyDescent="0.25">
      <c r="D97" s="31" t="s">
        <v>201</v>
      </c>
      <c r="E97" s="31" t="s">
        <v>169</v>
      </c>
      <c r="F97" s="9" t="s">
        <v>202</v>
      </c>
      <c r="K97" s="110">
        <f t="shared" si="9"/>
        <v>2.5618331862126937</v>
      </c>
      <c r="L97" s="110">
        <f t="shared" si="9"/>
        <v>2.5618331862126937</v>
      </c>
      <c r="M97" s="110">
        <f t="shared" si="9"/>
        <v>2.5618331862126937</v>
      </c>
      <c r="N97" s="110">
        <f t="shared" si="9"/>
        <v>2.5618331862126937</v>
      </c>
      <c r="O97" s="110">
        <f t="shared" si="9"/>
        <v>2.5618331862126937</v>
      </c>
    </row>
    <row r="98" spans="1:24" x14ac:dyDescent="0.25">
      <c r="D98" s="31"/>
      <c r="E98" s="31"/>
      <c r="F98" s="21"/>
      <c r="H98" s="105"/>
      <c r="I98" s="105"/>
      <c r="J98" s="105"/>
      <c r="K98" s="105"/>
      <c r="L98" s="105"/>
    </row>
    <row r="99" spans="1:24" x14ac:dyDescent="0.25">
      <c r="D99" s="31"/>
      <c r="E99" s="31"/>
      <c r="F99" s="21"/>
      <c r="H99" s="105"/>
      <c r="I99" s="105"/>
      <c r="J99" s="105"/>
      <c r="K99" s="105"/>
      <c r="L99" s="105"/>
    </row>
    <row r="100" spans="1:24" ht="13.8" x14ac:dyDescent="0.3">
      <c r="A100" s="10" t="s">
        <v>22</v>
      </c>
      <c r="B100" s="10"/>
      <c r="C100" s="10"/>
      <c r="D100" s="10"/>
      <c r="E100" s="10"/>
      <c r="F100" s="10"/>
      <c r="G100" s="10"/>
      <c r="H100" s="109"/>
      <c r="I100" s="109"/>
      <c r="J100" s="109"/>
      <c r="K100" s="109"/>
      <c r="L100" s="109"/>
      <c r="M100" s="10"/>
      <c r="N100" s="10"/>
      <c r="O100" s="10"/>
      <c r="P100" s="10"/>
      <c r="Q100" s="10"/>
      <c r="R100" s="10"/>
      <c r="S100" s="10"/>
      <c r="T100" s="10"/>
      <c r="U100" s="10"/>
      <c r="V100" s="10"/>
      <c r="W100" s="10"/>
      <c r="X100" s="10"/>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sheetPr>
  <dimension ref="A1:X99"/>
  <sheetViews>
    <sheetView zoomScaleNormal="100" workbookViewId="0">
      <pane ySplit="1" topLeftCell="A2" activePane="bottomLeft" state="frozen"/>
      <selection pane="bottomLeft" activeCell="A2" sqref="A2"/>
    </sheetView>
  </sheetViews>
  <sheetFormatPr defaultRowHeight="13.2" x14ac:dyDescent="0.25"/>
  <cols>
    <col min="1" max="3" width="2.77734375" style="9" customWidth="1"/>
    <col min="4" max="4" width="31.21875" style="9" bestFit="1" customWidth="1"/>
    <col min="5" max="5" width="23.21875" style="9" bestFit="1" customWidth="1"/>
    <col min="6" max="6" width="27.88671875" style="9" bestFit="1" customWidth="1"/>
    <col min="7" max="7" width="2.77734375" style="9" customWidth="1"/>
    <col min="8" max="12" width="12.44140625" style="9" bestFit="1" customWidth="1"/>
    <col min="13" max="21" width="9" style="9"/>
    <col min="22" max="24" width="9" style="9" bestFit="1" customWidth="1"/>
    <col min="25" max="25" width="9.5546875" bestFit="1" customWidth="1"/>
    <col min="26" max="26" width="10" bestFit="1" customWidth="1"/>
    <col min="30" max="34" width="9.88671875" bestFit="1" customWidth="1"/>
  </cols>
  <sheetData>
    <row r="1" spans="1:24" ht="30" x14ac:dyDescent="0.5">
      <c r="A1" s="3" t="s">
        <v>203</v>
      </c>
      <c r="B1" s="3"/>
      <c r="C1" s="3"/>
      <c r="D1" s="3"/>
      <c r="E1" s="3"/>
      <c r="F1" s="3"/>
      <c r="G1" s="3"/>
      <c r="H1" s="3"/>
      <c r="I1" s="3"/>
      <c r="J1" s="3"/>
      <c r="K1" s="3"/>
      <c r="L1" s="3"/>
      <c r="M1" s="3"/>
      <c r="N1" s="3"/>
      <c r="O1" s="3"/>
      <c r="P1" s="3"/>
      <c r="Q1" s="3"/>
      <c r="R1" s="3"/>
      <c r="S1" s="3"/>
      <c r="T1" s="3"/>
      <c r="U1" s="3"/>
      <c r="V1" s="3"/>
      <c r="W1" s="3"/>
      <c r="X1" s="3"/>
    </row>
    <row r="3" spans="1:24" ht="13.8" x14ac:dyDescent="0.3">
      <c r="A3" s="8" t="s">
        <v>368</v>
      </c>
      <c r="B3" s="8"/>
      <c r="C3" s="8"/>
      <c r="D3" s="8"/>
      <c r="E3" s="8"/>
      <c r="F3" s="8"/>
      <c r="G3" s="8"/>
      <c r="H3" s="8"/>
      <c r="I3" s="8"/>
      <c r="J3" s="8"/>
      <c r="K3" s="8"/>
      <c r="L3" s="8"/>
      <c r="M3" s="8"/>
      <c r="N3" s="8"/>
      <c r="O3" s="8"/>
      <c r="P3" s="8"/>
      <c r="Q3" s="8"/>
      <c r="R3" s="8"/>
      <c r="S3" s="8"/>
      <c r="T3" s="8"/>
      <c r="U3" s="8"/>
      <c r="V3" s="8"/>
      <c r="W3" s="8"/>
      <c r="X3" s="8"/>
    </row>
    <row r="5" spans="1:24" ht="15" x14ac:dyDescent="0.35">
      <c r="A5" s="1" t="s">
        <v>369</v>
      </c>
    </row>
    <row r="6" spans="1:24" ht="15" x14ac:dyDescent="0.35">
      <c r="A6" s="1"/>
      <c r="B6" s="4" t="s">
        <v>405</v>
      </c>
    </row>
    <row r="8" spans="1:24" x14ac:dyDescent="0.25">
      <c r="D8" s="9" t="s">
        <v>371</v>
      </c>
      <c r="E8" s="106" t="str">
        <f>INDEX(Assumptions_BP,MATCH(A1,Assumptions_BP_PC,0))</f>
        <v>April 2019</v>
      </c>
    </row>
    <row r="11" spans="1:24" x14ac:dyDescent="0.25">
      <c r="H11" s="9" t="s">
        <v>372</v>
      </c>
      <c r="I11" s="9" t="s">
        <v>372</v>
      </c>
      <c r="J11" s="9" t="s">
        <v>373</v>
      </c>
      <c r="K11" s="9" t="s">
        <v>374</v>
      </c>
      <c r="L11" s="9" t="s">
        <v>374</v>
      </c>
      <c r="M11" s="9" t="s">
        <v>374</v>
      </c>
      <c r="N11" s="9" t="s">
        <v>374</v>
      </c>
      <c r="O11" s="9" t="s">
        <v>374</v>
      </c>
    </row>
    <row r="12" spans="1:24" x14ac:dyDescent="0.25">
      <c r="D12" s="9" t="s">
        <v>149</v>
      </c>
      <c r="E12" s="9" t="s">
        <v>150</v>
      </c>
      <c r="F12" s="9" t="s">
        <v>151</v>
      </c>
      <c r="H12" s="9" t="s">
        <v>375</v>
      </c>
      <c r="I12" s="9" t="s">
        <v>376</v>
      </c>
      <c r="J12" s="9" t="s">
        <v>377</v>
      </c>
      <c r="K12" s="9" t="s">
        <v>174</v>
      </c>
      <c r="L12" s="9" t="s">
        <v>175</v>
      </c>
      <c r="M12" s="9" t="s">
        <v>176</v>
      </c>
      <c r="N12" s="9" t="s">
        <v>177</v>
      </c>
      <c r="O12" s="9" t="s">
        <v>178</v>
      </c>
    </row>
    <row r="13" spans="1:24" x14ac:dyDescent="0.25">
      <c r="D13" s="31" t="s">
        <v>272</v>
      </c>
      <c r="E13" s="31" t="s">
        <v>231</v>
      </c>
      <c r="F13" s="31" t="s">
        <v>210</v>
      </c>
      <c r="H13" s="45" t="str">
        <f t="shared" ref="H13:O22" si="0">IF(H$11="Proposed",IF($E$8="September 2018",INDEX(PCLsProposed_Sept,MATCH($D13,PCLsProposed_ID,0),MATCH(H$12,PCLpropsedyears_September,0)),INDEX(PCLsProposed_April,MATCH($D13,PCLsProposed_ID,0),MATCH(H$12,PCLProposedyears_April,0))),IF(INDEX(PCLhistorical_data,MATCH($D13,PCLhistorical_ID,0),MATCH(H$12,PCLhistorical_years,0))="","",INDEX(PCLhistorical_data,MATCH($D13,PCLhistorical_ID,0),MATCH(H$12,PCLhistorical_years,0))))</f>
        <v/>
      </c>
      <c r="I13" s="45">
        <f t="shared" si="0"/>
        <v>161</v>
      </c>
      <c r="J13" s="45">
        <f t="shared" si="0"/>
        <v>151.6</v>
      </c>
      <c r="K13" s="45">
        <f t="shared" si="0"/>
        <v>149</v>
      </c>
      <c r="L13" s="45">
        <f t="shared" si="0"/>
        <v>144.1</v>
      </c>
      <c r="M13" s="45">
        <f t="shared" si="0"/>
        <v>140.5</v>
      </c>
      <c r="N13" s="45">
        <f t="shared" si="0"/>
        <v>136.5</v>
      </c>
      <c r="O13" s="45">
        <f t="shared" si="0"/>
        <v>132.6</v>
      </c>
      <c r="T13" s="43"/>
    </row>
    <row r="14" spans="1:24" x14ac:dyDescent="0.25">
      <c r="D14" s="31" t="s">
        <v>274</v>
      </c>
      <c r="E14" s="31" t="s">
        <v>157</v>
      </c>
      <c r="F14" s="31" t="s">
        <v>210</v>
      </c>
      <c r="H14" s="45">
        <f t="shared" si="0"/>
        <v>136.69999999999999</v>
      </c>
      <c r="I14" s="45">
        <f t="shared" si="0"/>
        <v>135</v>
      </c>
      <c r="J14" s="45">
        <f t="shared" si="0"/>
        <v>136.19999999999999</v>
      </c>
      <c r="K14" s="45">
        <f t="shared" si="0"/>
        <v>135.5</v>
      </c>
      <c r="L14" s="45">
        <f t="shared" si="0"/>
        <v>134.4</v>
      </c>
      <c r="M14" s="45">
        <f t="shared" si="0"/>
        <v>133.1</v>
      </c>
      <c r="N14" s="45">
        <f t="shared" si="0"/>
        <v>131.80000000000001</v>
      </c>
      <c r="O14" s="45">
        <f t="shared" si="0"/>
        <v>130.69999999999999</v>
      </c>
      <c r="T14" s="43"/>
    </row>
    <row r="15" spans="1:24" x14ac:dyDescent="0.25">
      <c r="D15" s="31" t="s">
        <v>275</v>
      </c>
      <c r="E15" s="31" t="s">
        <v>235</v>
      </c>
      <c r="F15" s="31" t="s">
        <v>210</v>
      </c>
      <c r="H15" s="45" t="str">
        <f t="shared" si="0"/>
        <v/>
      </c>
      <c r="I15" s="45">
        <f t="shared" si="0"/>
        <v>148</v>
      </c>
      <c r="J15" s="45">
        <f t="shared" si="0"/>
        <v>142</v>
      </c>
      <c r="K15" s="45">
        <f t="shared" si="0"/>
        <v>140.6</v>
      </c>
      <c r="L15" s="45">
        <f t="shared" si="0"/>
        <v>139.19999999999999</v>
      </c>
      <c r="M15" s="45">
        <f t="shared" si="0"/>
        <v>137.80000000000001</v>
      </c>
      <c r="N15" s="45">
        <f t="shared" si="0"/>
        <v>136.4</v>
      </c>
      <c r="O15" s="45">
        <f t="shared" si="0"/>
        <v>135</v>
      </c>
      <c r="T15" s="43"/>
    </row>
    <row r="16" spans="1:24" x14ac:dyDescent="0.25">
      <c r="D16" s="31" t="s">
        <v>276</v>
      </c>
      <c r="E16" s="31" t="s">
        <v>237</v>
      </c>
      <c r="F16" s="31" t="s">
        <v>210</v>
      </c>
      <c r="H16" s="45">
        <f t="shared" si="0"/>
        <v>156.69999999999999</v>
      </c>
      <c r="I16" s="45">
        <f t="shared" si="0"/>
        <v>143.59659884904573</v>
      </c>
      <c r="J16" s="45">
        <f t="shared" si="0"/>
        <v>141.30000000000001</v>
      </c>
      <c r="K16" s="45">
        <f t="shared" si="0"/>
        <v>140</v>
      </c>
      <c r="L16" s="45">
        <f t="shared" si="0"/>
        <v>138.69999999999999</v>
      </c>
      <c r="M16" s="45">
        <f t="shared" si="0"/>
        <v>137.5</v>
      </c>
      <c r="N16" s="45">
        <f t="shared" si="0"/>
        <v>136.4</v>
      </c>
      <c r="O16" s="45">
        <f t="shared" si="0"/>
        <v>135.30000000000001</v>
      </c>
      <c r="T16" s="43"/>
    </row>
    <row r="17" spans="1:24" x14ac:dyDescent="0.25">
      <c r="D17" s="31" t="s">
        <v>277</v>
      </c>
      <c r="E17" s="31" t="s">
        <v>186</v>
      </c>
      <c r="F17" s="31" t="s">
        <v>210</v>
      </c>
      <c r="H17" s="45" t="str">
        <f t="shared" si="0"/>
        <v/>
      </c>
      <c r="I17" s="45">
        <f t="shared" si="0"/>
        <v>154</v>
      </c>
      <c r="J17" s="45">
        <f t="shared" si="0"/>
        <v>143.6</v>
      </c>
      <c r="K17" s="45">
        <f t="shared" si="0"/>
        <v>142.5</v>
      </c>
      <c r="L17" s="45">
        <f t="shared" si="0"/>
        <v>141</v>
      </c>
      <c r="M17" s="45">
        <f t="shared" si="0"/>
        <v>139.4</v>
      </c>
      <c r="N17" s="45">
        <f t="shared" si="0"/>
        <v>137.69999999999999</v>
      </c>
      <c r="O17" s="45">
        <f t="shared" si="0"/>
        <v>136</v>
      </c>
      <c r="T17" s="43"/>
      <c r="V17" s="21"/>
      <c r="W17" s="21"/>
      <c r="X17" s="21"/>
    </row>
    <row r="18" spans="1:24" x14ac:dyDescent="0.25">
      <c r="D18" s="31" t="s">
        <v>278</v>
      </c>
      <c r="E18" s="31" t="s">
        <v>239</v>
      </c>
      <c r="F18" s="31" t="s">
        <v>210</v>
      </c>
      <c r="H18" s="45">
        <f t="shared" si="0"/>
        <v>141.5</v>
      </c>
      <c r="I18" s="45">
        <f t="shared" si="0"/>
        <v>152.19999999999999</v>
      </c>
      <c r="J18" s="45">
        <f t="shared" si="0"/>
        <v>142</v>
      </c>
      <c r="K18" s="45">
        <f t="shared" si="0"/>
        <v>140.6</v>
      </c>
      <c r="L18" s="45">
        <f t="shared" si="0"/>
        <v>139.19999999999999</v>
      </c>
      <c r="M18" s="45">
        <f t="shared" si="0"/>
        <v>137.80000000000001</v>
      </c>
      <c r="N18" s="45">
        <f t="shared" si="0"/>
        <v>136.4</v>
      </c>
      <c r="O18" s="45">
        <f t="shared" si="0"/>
        <v>135</v>
      </c>
      <c r="T18" s="43"/>
      <c r="V18" s="21"/>
      <c r="W18" s="21"/>
      <c r="X18" s="21"/>
    </row>
    <row r="19" spans="1:24" x14ac:dyDescent="0.25">
      <c r="D19" s="31" t="s">
        <v>279</v>
      </c>
      <c r="E19" s="31" t="s">
        <v>165</v>
      </c>
      <c r="F19" s="31" t="s">
        <v>210</v>
      </c>
      <c r="H19" s="45" t="str">
        <f t="shared" si="0"/>
        <v/>
      </c>
      <c r="I19" s="45">
        <f t="shared" si="0"/>
        <v>155</v>
      </c>
      <c r="J19" s="45">
        <f t="shared" si="0"/>
        <v>145.80000000000001</v>
      </c>
      <c r="K19" s="45">
        <f t="shared" si="0"/>
        <v>142.5</v>
      </c>
      <c r="L19" s="45">
        <f t="shared" si="0"/>
        <v>140.19999999999999</v>
      </c>
      <c r="M19" s="45">
        <f t="shared" si="0"/>
        <v>138.1</v>
      </c>
      <c r="N19" s="45">
        <f t="shared" si="0"/>
        <v>136.19999999999999</v>
      </c>
      <c r="O19" s="45">
        <f t="shared" si="0"/>
        <v>134.30000000000001</v>
      </c>
      <c r="T19" s="43"/>
      <c r="V19" s="21"/>
      <c r="W19" s="21"/>
      <c r="X19" s="21"/>
    </row>
    <row r="20" spans="1:24" x14ac:dyDescent="0.25">
      <c r="D20" s="31" t="s">
        <v>280</v>
      </c>
      <c r="E20" s="31" t="s">
        <v>241</v>
      </c>
      <c r="F20" s="31" t="s">
        <v>210</v>
      </c>
      <c r="H20" s="45">
        <f t="shared" si="0"/>
        <v>154</v>
      </c>
      <c r="I20" s="45">
        <f t="shared" si="0"/>
        <v>152</v>
      </c>
      <c r="J20" s="45">
        <f t="shared" si="0"/>
        <v>149.69999999999999</v>
      </c>
      <c r="K20" s="45">
        <f t="shared" si="0"/>
        <v>148.19999999999999</v>
      </c>
      <c r="L20" s="45">
        <f t="shared" si="0"/>
        <v>145.9</v>
      </c>
      <c r="M20" s="45">
        <f t="shared" si="0"/>
        <v>143.69999999999999</v>
      </c>
      <c r="N20" s="45">
        <f t="shared" si="0"/>
        <v>142</v>
      </c>
      <c r="O20" s="45">
        <f t="shared" si="0"/>
        <v>140.30000000000001</v>
      </c>
      <c r="T20" s="43"/>
      <c r="V20" s="21"/>
      <c r="W20" s="21"/>
      <c r="X20" s="21"/>
    </row>
    <row r="21" spans="1:24" x14ac:dyDescent="0.25">
      <c r="D21" s="31" t="s">
        <v>204</v>
      </c>
      <c r="E21" s="31" t="s">
        <v>205</v>
      </c>
      <c r="F21" s="31" t="s">
        <v>210</v>
      </c>
      <c r="H21" s="45" t="str">
        <f t="shared" si="0"/>
        <v/>
      </c>
      <c r="I21" s="45">
        <f t="shared" si="0"/>
        <v>130</v>
      </c>
      <c r="J21" s="45">
        <f t="shared" si="0"/>
        <v>130.42999999999998</v>
      </c>
      <c r="K21" s="45">
        <f t="shared" si="0"/>
        <v>130.89666666666665</v>
      </c>
      <c r="L21" s="45">
        <f t="shared" si="0"/>
        <v>127.83</v>
      </c>
      <c r="M21" s="45">
        <f t="shared" si="0"/>
        <v>124.80000000000001</v>
      </c>
      <c r="N21" s="45">
        <f t="shared" si="0"/>
        <v>122.66666666666669</v>
      </c>
      <c r="O21" s="45">
        <f t="shared" si="0"/>
        <v>121.00000000000001</v>
      </c>
      <c r="T21" s="43"/>
      <c r="V21" s="21"/>
      <c r="W21" s="21"/>
      <c r="X21" s="21"/>
    </row>
    <row r="22" spans="1:24" x14ac:dyDescent="0.25">
      <c r="D22" s="31" t="s">
        <v>281</v>
      </c>
      <c r="E22" s="31" t="s">
        <v>244</v>
      </c>
      <c r="F22" s="31" t="s">
        <v>210</v>
      </c>
      <c r="H22" s="45">
        <f t="shared" si="0"/>
        <v>128.93</v>
      </c>
      <c r="I22" s="45">
        <f t="shared" si="0"/>
        <v>133.16999999999999</v>
      </c>
      <c r="J22" s="45">
        <f t="shared" si="0"/>
        <v>129.6</v>
      </c>
      <c r="K22" s="45">
        <f t="shared" si="0"/>
        <v>129.13</v>
      </c>
      <c r="L22" s="45">
        <f t="shared" si="0"/>
        <v>128.93</v>
      </c>
      <c r="M22" s="45">
        <f t="shared" si="0"/>
        <v>128.72999999999999</v>
      </c>
      <c r="N22" s="45">
        <f t="shared" si="0"/>
        <v>128.53</v>
      </c>
      <c r="O22" s="45">
        <f t="shared" si="0"/>
        <v>128.33000000000001</v>
      </c>
      <c r="T22" s="43"/>
      <c r="V22" s="21"/>
      <c r="W22" s="21"/>
      <c r="X22" s="21"/>
    </row>
    <row r="23" spans="1:24" x14ac:dyDescent="0.25">
      <c r="D23" s="31" t="s">
        <v>282</v>
      </c>
      <c r="E23" s="31" t="s">
        <v>246</v>
      </c>
      <c r="F23" s="31" t="s">
        <v>210</v>
      </c>
      <c r="H23" s="45" t="str">
        <f t="shared" ref="H23:O30" si="1">IF(H$11="Proposed",IF($E$8="September 2018",INDEX(PCLsProposed_Sept,MATCH($D23,PCLsProposed_ID,0),MATCH(H$12,PCLpropsedyears_September,0)),INDEX(PCLsProposed_April,MATCH($D23,PCLsProposed_ID,0),MATCH(H$12,PCLProposedyears_April,0))),IF(INDEX(PCLhistorical_data,MATCH($D23,PCLhistorical_ID,0),MATCH(H$12,PCLhistorical_years,0))="","",INDEX(PCLhistorical_data,MATCH($D23,PCLhistorical_ID,0),MATCH(H$12,PCLhistorical_years,0))))</f>
        <v/>
      </c>
      <c r="I23" s="45">
        <f t="shared" si="1"/>
        <v>139.08000000000001</v>
      </c>
      <c r="J23" s="45">
        <f t="shared" si="1"/>
        <v>143.66</v>
      </c>
      <c r="K23" s="45">
        <f t="shared" si="1"/>
        <v>142.58000000000001</v>
      </c>
      <c r="L23" s="45">
        <f t="shared" si="1"/>
        <v>141.37</v>
      </c>
      <c r="M23" s="45">
        <f t="shared" si="1"/>
        <v>140.16</v>
      </c>
      <c r="N23" s="45">
        <f t="shared" si="1"/>
        <v>138.94999999999999</v>
      </c>
      <c r="O23" s="45">
        <f t="shared" si="1"/>
        <v>137.74</v>
      </c>
      <c r="T23" s="43"/>
      <c r="V23" s="21"/>
      <c r="W23" s="21"/>
      <c r="X23" s="21"/>
    </row>
    <row r="24" spans="1:24" x14ac:dyDescent="0.25">
      <c r="D24" s="31" t="s">
        <v>283</v>
      </c>
      <c r="E24" s="31" t="s">
        <v>198</v>
      </c>
      <c r="F24" s="31" t="s">
        <v>210</v>
      </c>
      <c r="H24" s="45">
        <f t="shared" si="1"/>
        <v>139.11000000000001</v>
      </c>
      <c r="I24" s="45">
        <f t="shared" si="1"/>
        <v>134.51127636436411</v>
      </c>
      <c r="J24" s="45">
        <f t="shared" si="1"/>
        <v>133.27000000000001</v>
      </c>
      <c r="K24" s="45">
        <f t="shared" si="1"/>
        <v>132.34</v>
      </c>
      <c r="L24" s="45">
        <f t="shared" si="1"/>
        <v>131.4</v>
      </c>
      <c r="M24" s="45">
        <f t="shared" si="1"/>
        <v>130.47</v>
      </c>
      <c r="N24" s="45">
        <f t="shared" si="1"/>
        <v>129.54</v>
      </c>
      <c r="O24" s="45">
        <f t="shared" si="1"/>
        <v>128.61000000000001</v>
      </c>
      <c r="T24" s="43"/>
      <c r="V24" s="21"/>
      <c r="W24" s="21"/>
      <c r="X24" s="21"/>
    </row>
    <row r="25" spans="1:24" x14ac:dyDescent="0.25">
      <c r="D25" s="31" t="s">
        <v>284</v>
      </c>
      <c r="E25" s="31" t="s">
        <v>167</v>
      </c>
      <c r="F25" s="31" t="s">
        <v>210</v>
      </c>
      <c r="H25" s="45">
        <f t="shared" si="1"/>
        <v>134.57</v>
      </c>
      <c r="I25" s="45">
        <f t="shared" si="1"/>
        <v>153.92860393181837</v>
      </c>
      <c r="J25" s="45">
        <f t="shared" si="1"/>
        <v>137.19999999999999</v>
      </c>
      <c r="K25" s="45">
        <f t="shared" si="1"/>
        <v>135.69999999999999</v>
      </c>
      <c r="L25" s="45">
        <f t="shared" si="1"/>
        <v>134.1</v>
      </c>
      <c r="M25" s="45">
        <f t="shared" si="1"/>
        <v>132.19999999999999</v>
      </c>
      <c r="N25" s="45">
        <f t="shared" si="1"/>
        <v>130.4</v>
      </c>
      <c r="O25" s="45">
        <f t="shared" si="1"/>
        <v>128.69999999999999</v>
      </c>
      <c r="T25" s="43"/>
      <c r="V25" s="21"/>
      <c r="W25" s="21"/>
      <c r="X25" s="21"/>
    </row>
    <row r="26" spans="1:24" x14ac:dyDescent="0.25">
      <c r="D26" s="31" t="s">
        <v>285</v>
      </c>
      <c r="E26" s="31" t="s">
        <v>249</v>
      </c>
      <c r="F26" s="31" t="s">
        <v>210</v>
      </c>
      <c r="H26" s="45">
        <f t="shared" si="1"/>
        <v>135.19999999999999</v>
      </c>
      <c r="I26" s="45">
        <f t="shared" si="1"/>
        <v>143.6</v>
      </c>
      <c r="J26" s="45">
        <f t="shared" si="1"/>
        <v>142</v>
      </c>
      <c r="K26" s="45">
        <f t="shared" si="1"/>
        <v>141</v>
      </c>
      <c r="L26" s="45">
        <f t="shared" si="1"/>
        <v>140</v>
      </c>
      <c r="M26" s="45">
        <f t="shared" si="1"/>
        <v>139</v>
      </c>
      <c r="N26" s="45">
        <f t="shared" si="1"/>
        <v>138</v>
      </c>
      <c r="O26" s="45">
        <f t="shared" si="1"/>
        <v>136</v>
      </c>
      <c r="T26" s="43"/>
      <c r="V26" s="21"/>
      <c r="W26" s="21"/>
      <c r="X26" s="21"/>
    </row>
    <row r="27" spans="1:24" x14ac:dyDescent="0.25">
      <c r="D27" s="31" t="s">
        <v>286</v>
      </c>
      <c r="E27" s="31" t="s">
        <v>190</v>
      </c>
      <c r="F27" s="31" t="s">
        <v>210</v>
      </c>
      <c r="H27" s="45">
        <f t="shared" si="1"/>
        <v>146</v>
      </c>
      <c r="I27" s="45">
        <f t="shared" si="1"/>
        <v>144</v>
      </c>
      <c r="J27" s="45">
        <f t="shared" si="1"/>
        <v>141.30000000000001</v>
      </c>
      <c r="K27" s="45">
        <f t="shared" si="1"/>
        <v>140.41999999999999</v>
      </c>
      <c r="L27" s="45">
        <f t="shared" si="1"/>
        <v>139.34</v>
      </c>
      <c r="M27" s="45">
        <f t="shared" si="1"/>
        <v>138.13</v>
      </c>
      <c r="N27" s="45">
        <f t="shared" si="1"/>
        <v>137.13</v>
      </c>
      <c r="O27" s="45">
        <f t="shared" si="1"/>
        <v>136.22999999999999</v>
      </c>
      <c r="T27" s="43"/>
      <c r="V27" s="21"/>
      <c r="W27" s="21"/>
      <c r="X27" s="21"/>
    </row>
    <row r="28" spans="1:24" x14ac:dyDescent="0.25">
      <c r="D28" s="31" t="s">
        <v>287</v>
      </c>
      <c r="E28" s="31" t="s">
        <v>252</v>
      </c>
      <c r="F28" s="31" t="s">
        <v>210</v>
      </c>
      <c r="H28" s="45">
        <f t="shared" si="1"/>
        <v>136.84</v>
      </c>
      <c r="I28" s="45">
        <f t="shared" si="1"/>
        <v>151</v>
      </c>
      <c r="J28" s="45">
        <f t="shared" si="1"/>
        <v>145</v>
      </c>
      <c r="K28" s="45">
        <f t="shared" si="1"/>
        <v>144</v>
      </c>
      <c r="L28" s="45">
        <f t="shared" si="1"/>
        <v>143</v>
      </c>
      <c r="M28" s="45">
        <f t="shared" si="1"/>
        <v>142</v>
      </c>
      <c r="N28" s="45">
        <f t="shared" si="1"/>
        <v>140</v>
      </c>
      <c r="O28" s="45">
        <f t="shared" si="1"/>
        <v>138</v>
      </c>
      <c r="T28" s="43"/>
      <c r="V28" s="21"/>
      <c r="W28" s="21"/>
      <c r="X28" s="21"/>
    </row>
    <row r="29" spans="1:24" x14ac:dyDescent="0.25">
      <c r="D29" s="31" t="s">
        <v>207</v>
      </c>
      <c r="E29" s="31" t="s">
        <v>169</v>
      </c>
      <c r="F29" s="31" t="s">
        <v>210</v>
      </c>
      <c r="H29" s="45">
        <f t="shared" si="1"/>
        <v>144</v>
      </c>
      <c r="I29" s="45">
        <f t="shared" si="1"/>
        <v>136</v>
      </c>
      <c r="J29" s="45">
        <f t="shared" si="1"/>
        <v>129</v>
      </c>
      <c r="K29" s="45">
        <f t="shared" si="1"/>
        <v>130.19999999999999</v>
      </c>
      <c r="L29" s="45">
        <f t="shared" si="1"/>
        <v>129.69999999999999</v>
      </c>
      <c r="M29" s="45">
        <f t="shared" si="1"/>
        <v>129.1</v>
      </c>
      <c r="N29" s="45">
        <f t="shared" si="1"/>
        <v>128.5</v>
      </c>
      <c r="O29" s="45">
        <f t="shared" si="1"/>
        <v>127.9</v>
      </c>
      <c r="T29" s="43"/>
      <c r="V29" s="21"/>
      <c r="W29" s="21"/>
      <c r="X29" s="21"/>
    </row>
    <row r="30" spans="1:24" x14ac:dyDescent="0.25">
      <c r="D30" s="31" t="s">
        <v>208</v>
      </c>
      <c r="E30" s="31" t="s">
        <v>171</v>
      </c>
      <c r="F30" s="31" t="s">
        <v>210</v>
      </c>
      <c r="H30" s="45">
        <f t="shared" si="1"/>
        <v>129.19999999999999</v>
      </c>
      <c r="I30" s="45">
        <f t="shared" si="1"/>
        <v>133</v>
      </c>
      <c r="J30" s="45">
        <f t="shared" si="1"/>
        <v>131.19999999999999</v>
      </c>
      <c r="K30" s="45">
        <f t="shared" si="1"/>
        <v>128.80000000000001</v>
      </c>
      <c r="L30" s="45">
        <f t="shared" si="1"/>
        <v>125.5</v>
      </c>
      <c r="M30" s="45">
        <f t="shared" si="1"/>
        <v>122.2</v>
      </c>
      <c r="N30" s="45">
        <f t="shared" si="1"/>
        <v>121.1</v>
      </c>
      <c r="O30" s="45">
        <f t="shared" si="1"/>
        <v>120.2</v>
      </c>
      <c r="T30" s="43"/>
      <c r="V30" s="21"/>
      <c r="W30" s="21"/>
      <c r="X30" s="21"/>
    </row>
    <row r="31" spans="1:24" x14ac:dyDescent="0.25">
      <c r="D31" s="31"/>
      <c r="E31" s="31"/>
      <c r="F31" s="31"/>
      <c r="H31" s="28"/>
      <c r="I31" s="28"/>
      <c r="J31" s="28"/>
      <c r="K31" s="28"/>
      <c r="L31" s="28"/>
      <c r="M31" s="28"/>
      <c r="N31" s="28"/>
      <c r="O31" s="28"/>
      <c r="X31" s="82"/>
    </row>
    <row r="32" spans="1:24" ht="15" x14ac:dyDescent="0.35">
      <c r="A32" s="1" t="s">
        <v>378</v>
      </c>
      <c r="D32" s="31"/>
      <c r="E32" s="31"/>
      <c r="F32" s="31"/>
      <c r="H32" s="28"/>
      <c r="I32" s="28"/>
      <c r="J32" s="28"/>
      <c r="K32" s="28"/>
      <c r="L32" s="28"/>
      <c r="M32" s="28"/>
      <c r="N32" s="28"/>
      <c r="O32" s="28"/>
    </row>
    <row r="33" spans="2:15" x14ac:dyDescent="0.25">
      <c r="D33" s="31"/>
      <c r="E33" s="31"/>
      <c r="F33" s="31"/>
      <c r="H33" s="28"/>
      <c r="I33" s="28"/>
      <c r="J33" s="28"/>
      <c r="K33" s="28"/>
      <c r="L33" s="28"/>
      <c r="M33" s="28"/>
      <c r="N33" s="28"/>
      <c r="O33" s="28"/>
    </row>
    <row r="34" spans="2:15" ht="13.8" x14ac:dyDescent="0.3">
      <c r="B34" s="2" t="s">
        <v>379</v>
      </c>
      <c r="C34" s="2"/>
      <c r="D34" s="31"/>
      <c r="E34" s="31"/>
      <c r="F34" s="31"/>
      <c r="H34" s="28"/>
      <c r="I34" s="28"/>
      <c r="J34" s="28"/>
      <c r="K34" s="28"/>
      <c r="L34" s="28"/>
      <c r="M34" s="28"/>
      <c r="N34" s="28"/>
      <c r="O34" s="28"/>
    </row>
    <row r="35" spans="2:15" x14ac:dyDescent="0.25">
      <c r="C35" s="4" t="s">
        <v>380</v>
      </c>
      <c r="D35" s="31"/>
      <c r="E35" s="31"/>
      <c r="F35" s="31"/>
      <c r="H35" s="28"/>
      <c r="I35" s="28"/>
      <c r="J35" s="28"/>
    </row>
    <row r="36" spans="2:15" x14ac:dyDescent="0.25">
      <c r="D36" s="31"/>
      <c r="E36" s="31"/>
      <c r="F36" s="31"/>
      <c r="H36" s="28"/>
      <c r="I36" s="28"/>
      <c r="J36" s="28"/>
    </row>
    <row r="37" spans="2:15" x14ac:dyDescent="0.25">
      <c r="D37" s="31"/>
      <c r="E37" s="31"/>
      <c r="F37" s="31"/>
      <c r="H37" s="9" t="s">
        <v>372</v>
      </c>
      <c r="I37" s="9" t="s">
        <v>372</v>
      </c>
      <c r="J37" s="9" t="s">
        <v>373</v>
      </c>
      <c r="K37" s="9" t="s">
        <v>374</v>
      </c>
      <c r="L37" s="9" t="s">
        <v>374</v>
      </c>
      <c r="M37" s="9" t="s">
        <v>374</v>
      </c>
      <c r="N37" s="9" t="s">
        <v>374</v>
      </c>
      <c r="O37" s="9" t="s">
        <v>374</v>
      </c>
    </row>
    <row r="38" spans="2:15" x14ac:dyDescent="0.25">
      <c r="F38" s="21"/>
      <c r="H38" s="9" t="s">
        <v>375</v>
      </c>
      <c r="I38" s="9" t="s">
        <v>376</v>
      </c>
      <c r="J38" s="9" t="s">
        <v>377</v>
      </c>
      <c r="K38" s="9" t="s">
        <v>174</v>
      </c>
      <c r="L38" s="9" t="s">
        <v>175</v>
      </c>
      <c r="M38" s="9" t="s">
        <v>176</v>
      </c>
      <c r="N38" s="9" t="s">
        <v>177</v>
      </c>
      <c r="O38" s="9" t="s">
        <v>178</v>
      </c>
    </row>
    <row r="39" spans="2:15" x14ac:dyDescent="0.25">
      <c r="E39" s="9" t="s">
        <v>381</v>
      </c>
      <c r="F39" s="31" t="s">
        <v>210</v>
      </c>
      <c r="H39" s="43">
        <f>MIN(H13:H30)</f>
        <v>128.93</v>
      </c>
      <c r="I39" s="43">
        <f t="shared" ref="I39:O39" si="2">MIN(I13:I30)</f>
        <v>130</v>
      </c>
      <c r="J39" s="43">
        <f t="shared" si="2"/>
        <v>129</v>
      </c>
      <c r="K39" s="43">
        <f t="shared" si="2"/>
        <v>128.80000000000001</v>
      </c>
      <c r="L39" s="43">
        <f t="shared" si="2"/>
        <v>125.5</v>
      </c>
      <c r="M39" s="43">
        <f t="shared" si="2"/>
        <v>122.2</v>
      </c>
      <c r="N39" s="43">
        <f t="shared" si="2"/>
        <v>121.1</v>
      </c>
      <c r="O39" s="43">
        <f t="shared" si="2"/>
        <v>120.2</v>
      </c>
    </row>
    <row r="40" spans="2:15" ht="13.8" thickBot="1" x14ac:dyDescent="0.3"/>
    <row r="41" spans="2:15" ht="13.8" thickBot="1" x14ac:dyDescent="0.3">
      <c r="E41" s="64" t="s">
        <v>382</v>
      </c>
      <c r="F41" s="67">
        <f>MIN(H39:I39,K39)</f>
        <v>128.80000000000001</v>
      </c>
    </row>
    <row r="43" spans="2:15" ht="13.8" x14ac:dyDescent="0.3">
      <c r="B43" s="2" t="s">
        <v>383</v>
      </c>
    </row>
    <row r="44" spans="2:15" x14ac:dyDescent="0.25">
      <c r="C44" s="4" t="s">
        <v>384</v>
      </c>
    </row>
    <row r="45" spans="2:15" x14ac:dyDescent="0.25">
      <c r="C45" s="4"/>
    </row>
    <row r="46" spans="2:15" x14ac:dyDescent="0.25">
      <c r="E46" s="18" t="s">
        <v>121</v>
      </c>
      <c r="F46" s="121">
        <f>frontiershift</f>
        <v>1.3785667427973047E-2</v>
      </c>
    </row>
    <row r="47" spans="2:15" ht="13.8" thickBot="1" x14ac:dyDescent="0.3"/>
    <row r="48" spans="2:15" ht="13.8" thickBot="1" x14ac:dyDescent="0.3">
      <c r="E48" s="64" t="s">
        <v>385</v>
      </c>
      <c r="F48" s="67">
        <f>F41*(1-F46)</f>
        <v>127.02440603527708</v>
      </c>
    </row>
    <row r="50" spans="2:15" ht="13.8" x14ac:dyDescent="0.3">
      <c r="B50" s="2" t="s">
        <v>386</v>
      </c>
    </row>
    <row r="51" spans="2:15" x14ac:dyDescent="0.25">
      <c r="C51" s="4" t="s">
        <v>387</v>
      </c>
    </row>
    <row r="52" spans="2:15" x14ac:dyDescent="0.25">
      <c r="C52" s="4" t="s">
        <v>388</v>
      </c>
    </row>
    <row r="54" spans="2:15" x14ac:dyDescent="0.25">
      <c r="H54" s="9" t="s">
        <v>372</v>
      </c>
      <c r="I54" s="9" t="s">
        <v>372</v>
      </c>
      <c r="J54" s="9" t="s">
        <v>373</v>
      </c>
      <c r="K54" s="9" t="s">
        <v>374</v>
      </c>
      <c r="L54" s="9" t="s">
        <v>374</v>
      </c>
      <c r="M54" s="9" t="s">
        <v>374</v>
      </c>
      <c r="N54" s="9" t="s">
        <v>374</v>
      </c>
      <c r="O54" s="9" t="s">
        <v>374</v>
      </c>
    </row>
    <row r="55" spans="2:15" x14ac:dyDescent="0.25">
      <c r="H55" s="9" t="s">
        <v>375</v>
      </c>
      <c r="I55" s="9" t="s">
        <v>376</v>
      </c>
      <c r="J55" s="9" t="s">
        <v>377</v>
      </c>
      <c r="K55" s="9" t="s">
        <v>174</v>
      </c>
      <c r="L55" s="9" t="s">
        <v>175</v>
      </c>
      <c r="M55" s="9" t="s">
        <v>176</v>
      </c>
      <c r="N55" s="9" t="s">
        <v>177</v>
      </c>
      <c r="O55" s="9" t="s">
        <v>178</v>
      </c>
    </row>
    <row r="56" spans="2:15" x14ac:dyDescent="0.25">
      <c r="E56" s="9" t="s">
        <v>389</v>
      </c>
      <c r="F56" s="31" t="s">
        <v>210</v>
      </c>
      <c r="H56" s="43">
        <f>_xlfn.PERCENTILE.INC(H$13:H$30,0.25)</f>
        <v>135.04249999999999</v>
      </c>
      <c r="I56" s="43">
        <f t="shared" ref="I56:O56" si="3">_xlfn.PERCENTILE.INC(I$13:I$30,0.25)</f>
        <v>135.25</v>
      </c>
      <c r="J56" s="43">
        <f t="shared" si="3"/>
        <v>134.0025</v>
      </c>
      <c r="K56" s="43">
        <f t="shared" si="3"/>
        <v>133.13</v>
      </c>
      <c r="L56" s="43">
        <f t="shared" si="3"/>
        <v>132.07499999999999</v>
      </c>
      <c r="M56" s="43">
        <f t="shared" si="3"/>
        <v>130.9025</v>
      </c>
      <c r="N56" s="43">
        <f t="shared" si="3"/>
        <v>129.755</v>
      </c>
      <c r="O56" s="43">
        <f t="shared" si="3"/>
        <v>128.63249999999999</v>
      </c>
    </row>
    <row r="57" spans="2:15" x14ac:dyDescent="0.25">
      <c r="E57" s="9" t="s">
        <v>390</v>
      </c>
      <c r="F57" s="31" t="s">
        <v>210</v>
      </c>
      <c r="H57" s="43">
        <f>_xlfn.PERCENTILE.INC(H$13:H$30,0.75)</f>
        <v>144.5</v>
      </c>
      <c r="I57" s="43">
        <f t="shared" ref="I57:O57" si="4">_xlfn.PERCENTILE.INC(I$13:I$30,0.75)</f>
        <v>152.14999999999998</v>
      </c>
      <c r="J57" s="43">
        <f t="shared" si="4"/>
        <v>143.64499999999998</v>
      </c>
      <c r="K57" s="43">
        <f t="shared" si="4"/>
        <v>142.5</v>
      </c>
      <c r="L57" s="43">
        <f t="shared" si="4"/>
        <v>140.80000000000001</v>
      </c>
      <c r="M57" s="43">
        <f t="shared" si="4"/>
        <v>139.30000000000001</v>
      </c>
      <c r="N57" s="43">
        <f t="shared" si="4"/>
        <v>137.5575</v>
      </c>
      <c r="O57" s="43">
        <f t="shared" si="4"/>
        <v>136</v>
      </c>
    </row>
    <row r="59" spans="2:15" x14ac:dyDescent="0.25">
      <c r="E59" s="9" t="s">
        <v>391</v>
      </c>
      <c r="F59" s="9" t="s">
        <v>392</v>
      </c>
      <c r="H59" s="34"/>
      <c r="I59" s="34">
        <f t="shared" ref="I59:O59" si="5">(I56/H56-1)</f>
        <v>1.5365533072921878E-3</v>
      </c>
      <c r="J59" s="34">
        <f>(J56/I56-1)</f>
        <v>-9.2236598890942378E-3</v>
      </c>
      <c r="K59" s="34">
        <f>(K56/J56-1)</f>
        <v>-6.5110725546165815E-3</v>
      </c>
      <c r="L59" s="34">
        <f t="shared" si="5"/>
        <v>-7.9245849921130151E-3</v>
      </c>
      <c r="M59" s="34">
        <f t="shared" si="5"/>
        <v>-8.8775317054702318E-3</v>
      </c>
      <c r="N59" s="34">
        <f t="shared" si="5"/>
        <v>-8.7660663470904288E-3</v>
      </c>
      <c r="O59" s="34">
        <f t="shared" si="5"/>
        <v>-8.6509190397286995E-3</v>
      </c>
    </row>
    <row r="62" spans="2:15" x14ac:dyDescent="0.25">
      <c r="K62" s="9" t="s">
        <v>174</v>
      </c>
      <c r="L62" s="9" t="s">
        <v>175</v>
      </c>
      <c r="M62" s="9" t="s">
        <v>176</v>
      </c>
      <c r="N62" s="9" t="s">
        <v>177</v>
      </c>
      <c r="O62" s="9" t="s">
        <v>178</v>
      </c>
    </row>
    <row r="63" spans="2:15" x14ac:dyDescent="0.25">
      <c r="E63" s="9" t="s">
        <v>393</v>
      </c>
      <c r="F63" s="31" t="s">
        <v>210</v>
      </c>
      <c r="K63" s="25">
        <f>F48</f>
        <v>127.02440603527708</v>
      </c>
      <c r="L63" s="25">
        <f>K63*(1-ABS(L59))</f>
        <v>126.01779033357785</v>
      </c>
      <c r="M63" s="25">
        <f>L63*(1-ABS(M59))</f>
        <v>124.89906340443821</v>
      </c>
      <c r="N63" s="25">
        <f>M63*(1-ABS(N59))</f>
        <v>123.80418992794544</v>
      </c>
      <c r="O63" s="25">
        <f>N63*(1-ABS(O59))</f>
        <v>122.7331699040996</v>
      </c>
    </row>
    <row r="64" spans="2:15" x14ac:dyDescent="0.25">
      <c r="E64" s="9" t="s">
        <v>394</v>
      </c>
      <c r="F64" s="31" t="s">
        <v>210</v>
      </c>
      <c r="I64" s="24"/>
      <c r="K64" s="108">
        <f>$I$57</f>
        <v>152.14999999999998</v>
      </c>
      <c r="L64" s="108">
        <f>$I$57</f>
        <v>152.14999999999998</v>
      </c>
      <c r="M64" s="108">
        <f>$I$57</f>
        <v>152.14999999999998</v>
      </c>
      <c r="N64" s="108">
        <f>$I$57</f>
        <v>152.14999999999998</v>
      </c>
      <c r="O64" s="108">
        <f>$I$57</f>
        <v>152.14999999999998</v>
      </c>
    </row>
    <row r="65" spans="1:24" x14ac:dyDescent="0.25">
      <c r="F65" s="21"/>
      <c r="I65" s="24"/>
      <c r="K65" s="74"/>
      <c r="L65" s="74"/>
      <c r="M65" s="74"/>
      <c r="N65" s="74"/>
      <c r="O65" s="74"/>
    </row>
    <row r="67" spans="1:24" ht="13.8" x14ac:dyDescent="0.3">
      <c r="B67" s="2" t="s">
        <v>395</v>
      </c>
      <c r="K67" s="24"/>
      <c r="L67" s="24"/>
      <c r="M67" s="24"/>
      <c r="N67" s="24"/>
      <c r="O67" s="24"/>
    </row>
    <row r="68" spans="1:24" x14ac:dyDescent="0.25">
      <c r="C68" s="4" t="s">
        <v>396</v>
      </c>
    </row>
    <row r="69" spans="1:24" x14ac:dyDescent="0.25">
      <c r="K69" s="9" t="s">
        <v>174</v>
      </c>
      <c r="L69" s="9" t="s">
        <v>175</v>
      </c>
      <c r="M69" s="9" t="s">
        <v>176</v>
      </c>
      <c r="N69" s="9" t="s">
        <v>177</v>
      </c>
      <c r="O69" s="9" t="s">
        <v>178</v>
      </c>
    </row>
    <row r="70" spans="1:24" x14ac:dyDescent="0.25">
      <c r="E70" s="9" t="s">
        <v>397</v>
      </c>
      <c r="F70" s="31" t="s">
        <v>210</v>
      </c>
      <c r="K70" s="110">
        <f>_xlfn.PERCENTILE.INC($I$13:$I$30,0.9)</f>
        <v>154.30000000000001</v>
      </c>
      <c r="L70" s="110">
        <f t="shared" ref="L70:O70" si="6">_xlfn.PERCENTILE.INC($I$13:$I$30,0.9)</f>
        <v>154.30000000000001</v>
      </c>
      <c r="M70" s="110">
        <f t="shared" si="6"/>
        <v>154.30000000000001</v>
      </c>
      <c r="N70" s="110">
        <f t="shared" si="6"/>
        <v>154.30000000000001</v>
      </c>
      <c r="O70" s="110">
        <f t="shared" si="6"/>
        <v>154.30000000000001</v>
      </c>
    </row>
    <row r="71" spans="1:24" x14ac:dyDescent="0.25">
      <c r="F71" s="21"/>
      <c r="O71" s="84"/>
      <c r="P71" s="84"/>
      <c r="Q71" s="84"/>
      <c r="R71" s="84"/>
      <c r="S71" s="84"/>
    </row>
    <row r="72" spans="1:24" x14ac:dyDescent="0.25">
      <c r="F72" s="21"/>
      <c r="O72" s="84"/>
      <c r="P72" s="84"/>
      <c r="Q72" s="84"/>
      <c r="R72" s="84"/>
      <c r="S72" s="84"/>
    </row>
    <row r="73" spans="1:24" ht="13.8" x14ac:dyDescent="0.3">
      <c r="A73" s="8" t="s">
        <v>398</v>
      </c>
      <c r="B73" s="8"/>
      <c r="C73" s="8"/>
      <c r="D73" s="8"/>
      <c r="E73" s="8"/>
      <c r="F73" s="8"/>
      <c r="G73" s="8"/>
      <c r="H73" s="8"/>
      <c r="I73" s="8"/>
      <c r="J73" s="8"/>
      <c r="K73" s="8"/>
      <c r="L73" s="8"/>
      <c r="M73" s="8"/>
      <c r="N73" s="8"/>
      <c r="O73" s="8"/>
      <c r="P73" s="8"/>
      <c r="Q73" s="8"/>
      <c r="R73" s="8"/>
      <c r="S73" s="8"/>
      <c r="T73" s="8"/>
      <c r="U73" s="8"/>
      <c r="V73" s="8"/>
      <c r="W73" s="8"/>
      <c r="X73" s="8"/>
    </row>
    <row r="74" spans="1:24" x14ac:dyDescent="0.25">
      <c r="F74" s="21"/>
      <c r="O74" s="84"/>
      <c r="P74" s="84"/>
      <c r="Q74" s="84"/>
      <c r="R74" s="84"/>
      <c r="S74" s="84"/>
    </row>
    <row r="75" spans="1:24" ht="15" x14ac:dyDescent="0.35">
      <c r="B75" s="1" t="s">
        <v>399</v>
      </c>
      <c r="F75" s="21"/>
      <c r="O75" s="84"/>
      <c r="P75" s="84"/>
      <c r="Q75" s="84"/>
      <c r="R75" s="84"/>
      <c r="S75" s="84"/>
    </row>
    <row r="76" spans="1:24" ht="15" x14ac:dyDescent="0.35">
      <c r="B76" s="1"/>
      <c r="F76" s="21"/>
      <c r="O76" s="84"/>
      <c r="P76" s="84"/>
      <c r="Q76" s="84"/>
      <c r="R76" s="84"/>
      <c r="S76" s="84"/>
    </row>
    <row r="77" spans="1:24" x14ac:dyDescent="0.25">
      <c r="D77" s="9" t="s">
        <v>149</v>
      </c>
      <c r="E77" s="9" t="s">
        <v>150</v>
      </c>
      <c r="F77" s="21" t="s">
        <v>151</v>
      </c>
      <c r="K77" s="9" t="s">
        <v>174</v>
      </c>
      <c r="L77" s="9" t="s">
        <v>175</v>
      </c>
      <c r="M77" s="9" t="s">
        <v>176</v>
      </c>
      <c r="N77" s="9" t="s">
        <v>177</v>
      </c>
      <c r="O77" s="9" t="s">
        <v>178</v>
      </c>
      <c r="P77" s="84"/>
      <c r="Q77" s="84"/>
      <c r="R77" s="84"/>
      <c r="S77" s="84"/>
    </row>
    <row r="78" spans="1:24" x14ac:dyDescent="0.25">
      <c r="D78" s="31" t="s">
        <v>204</v>
      </c>
      <c r="E78" s="31" t="s">
        <v>205</v>
      </c>
      <c r="F78" s="31" t="s">
        <v>210</v>
      </c>
      <c r="K78" s="43">
        <f t="shared" ref="K78:O80" si="7">IF(ISBLANK(INDEX(thresholdsproposed,MATCH($D78,thresholdsproposed_ID,0),MATCH(K$77,thresholdsproposed_years,0))),"",INDEX(thresholdsproposed,MATCH($D78,thresholdsproposed_ID,0),MATCH(K$77,thresholdsproposed_years,0)))</f>
        <v>128.89045270738984</v>
      </c>
      <c r="L78" s="43">
        <f t="shared" si="7"/>
        <v>125.82378604072319</v>
      </c>
      <c r="M78" s="43">
        <f t="shared" si="7"/>
        <v>122.79378604072321</v>
      </c>
      <c r="N78" s="43">
        <f t="shared" si="7"/>
        <v>120.66045270738988</v>
      </c>
      <c r="O78" s="43">
        <f t="shared" si="7"/>
        <v>118.99378604072321</v>
      </c>
      <c r="P78" s="84"/>
      <c r="Q78" s="84"/>
      <c r="R78" s="84"/>
      <c r="S78" s="84"/>
    </row>
    <row r="79" spans="1:24" x14ac:dyDescent="0.25">
      <c r="D79" s="31" t="s">
        <v>207</v>
      </c>
      <c r="E79" s="31" t="s">
        <v>169</v>
      </c>
      <c r="F79" s="31" t="s">
        <v>210</v>
      </c>
      <c r="K79" s="43" t="str">
        <f t="shared" si="7"/>
        <v/>
      </c>
      <c r="L79" s="43" t="str">
        <f t="shared" si="7"/>
        <v/>
      </c>
      <c r="M79" s="43" t="str">
        <f t="shared" si="7"/>
        <v/>
      </c>
      <c r="N79" s="43" t="str">
        <f t="shared" si="7"/>
        <v/>
      </c>
      <c r="O79" s="43" t="str">
        <f t="shared" si="7"/>
        <v/>
      </c>
      <c r="P79" s="84"/>
      <c r="Q79" s="84"/>
      <c r="R79" s="84"/>
      <c r="S79" s="84"/>
    </row>
    <row r="80" spans="1:24" x14ac:dyDescent="0.25">
      <c r="D80" s="31" t="s">
        <v>208</v>
      </c>
      <c r="E80" s="31" t="s">
        <v>171</v>
      </c>
      <c r="F80" s="31" t="s">
        <v>210</v>
      </c>
      <c r="K80" s="43">
        <f t="shared" si="7"/>
        <v>115</v>
      </c>
      <c r="L80" s="43">
        <f t="shared" si="7"/>
        <v>115</v>
      </c>
      <c r="M80" s="43">
        <f t="shared" si="7"/>
        <v>115</v>
      </c>
      <c r="N80" s="43">
        <f t="shared" si="7"/>
        <v>115</v>
      </c>
      <c r="O80" s="43">
        <f t="shared" si="7"/>
        <v>115</v>
      </c>
      <c r="P80" s="84"/>
      <c r="Q80" s="84"/>
      <c r="R80" s="84"/>
      <c r="S80" s="84"/>
    </row>
    <row r="81" spans="2:19" x14ac:dyDescent="0.25">
      <c r="F81" s="21"/>
      <c r="P81" s="84"/>
      <c r="Q81" s="84"/>
      <c r="R81" s="84"/>
      <c r="S81" s="84"/>
    </row>
    <row r="82" spans="2:19" ht="15" x14ac:dyDescent="0.35">
      <c r="B82" s="1" t="s">
        <v>400</v>
      </c>
      <c r="F82" s="21"/>
      <c r="P82" s="84"/>
      <c r="Q82" s="84"/>
      <c r="R82" s="84"/>
      <c r="S82" s="84"/>
    </row>
    <row r="83" spans="2:19" x14ac:dyDescent="0.25">
      <c r="C83" s="4" t="s">
        <v>401</v>
      </c>
      <c r="F83" s="21"/>
      <c r="P83" s="74"/>
      <c r="Q83" s="74"/>
      <c r="R83" s="74"/>
      <c r="S83" s="74"/>
    </row>
    <row r="84" spans="2:19" x14ac:dyDescent="0.25">
      <c r="C84" s="4"/>
      <c r="F84" s="21"/>
    </row>
    <row r="85" spans="2:19" x14ac:dyDescent="0.25">
      <c r="C85" s="4"/>
      <c r="D85" s="9" t="s">
        <v>149</v>
      </c>
      <c r="E85" s="9" t="s">
        <v>150</v>
      </c>
      <c r="F85" s="21" t="s">
        <v>151</v>
      </c>
      <c r="K85" s="9" t="s">
        <v>174</v>
      </c>
      <c r="L85" s="9" t="s">
        <v>175</v>
      </c>
      <c r="M85" s="9" t="s">
        <v>176</v>
      </c>
      <c r="N85" s="9" t="s">
        <v>177</v>
      </c>
      <c r="O85" s="9" t="s">
        <v>178</v>
      </c>
      <c r="P85" s="74"/>
      <c r="Q85" s="74"/>
      <c r="R85" s="74"/>
      <c r="S85" s="74"/>
    </row>
    <row r="86" spans="2:19" x14ac:dyDescent="0.25">
      <c r="C86" s="4"/>
      <c r="D86" s="31" t="s">
        <v>204</v>
      </c>
      <c r="E86" s="31" t="s">
        <v>205</v>
      </c>
      <c r="F86" s="31" t="s">
        <v>210</v>
      </c>
      <c r="K86" s="110">
        <f t="shared" ref="K86:O88" si="8">MIN(K78,K$63)</f>
        <v>127.02440603527708</v>
      </c>
      <c r="L86" s="110">
        <f t="shared" si="8"/>
        <v>125.82378604072319</v>
      </c>
      <c r="M86" s="110">
        <f t="shared" si="8"/>
        <v>122.79378604072321</v>
      </c>
      <c r="N86" s="110">
        <f t="shared" si="8"/>
        <v>120.66045270738988</v>
      </c>
      <c r="O86" s="110">
        <f t="shared" si="8"/>
        <v>118.99378604072321</v>
      </c>
      <c r="P86" s="73"/>
      <c r="Q86" s="73"/>
      <c r="R86" s="73"/>
      <c r="S86" s="74"/>
    </row>
    <row r="87" spans="2:19" x14ac:dyDescent="0.25">
      <c r="C87" s="4"/>
      <c r="D87" s="31" t="s">
        <v>207</v>
      </c>
      <c r="E87" s="31" t="s">
        <v>169</v>
      </c>
      <c r="F87" s="31" t="s">
        <v>210</v>
      </c>
      <c r="K87" s="110">
        <f t="shared" si="8"/>
        <v>127.02440603527708</v>
      </c>
      <c r="L87" s="110">
        <f t="shared" si="8"/>
        <v>126.01779033357785</v>
      </c>
      <c r="M87" s="110">
        <f t="shared" si="8"/>
        <v>124.89906340443821</v>
      </c>
      <c r="N87" s="110">
        <f t="shared" si="8"/>
        <v>123.80418992794544</v>
      </c>
      <c r="O87" s="110">
        <f t="shared" si="8"/>
        <v>122.7331699040996</v>
      </c>
      <c r="P87" s="73"/>
      <c r="Q87" s="73"/>
      <c r="R87" s="73"/>
      <c r="S87" s="74"/>
    </row>
    <row r="88" spans="2:19" x14ac:dyDescent="0.25">
      <c r="D88" s="31" t="s">
        <v>208</v>
      </c>
      <c r="E88" s="31" t="s">
        <v>171</v>
      </c>
      <c r="F88" s="31" t="s">
        <v>210</v>
      </c>
      <c r="K88" s="110">
        <f t="shared" si="8"/>
        <v>115</v>
      </c>
      <c r="L88" s="110">
        <f t="shared" si="8"/>
        <v>115</v>
      </c>
      <c r="M88" s="110">
        <f t="shared" si="8"/>
        <v>115</v>
      </c>
      <c r="N88" s="110">
        <f t="shared" si="8"/>
        <v>115</v>
      </c>
      <c r="O88" s="110">
        <f t="shared" si="8"/>
        <v>115</v>
      </c>
      <c r="P88" s="25"/>
      <c r="Q88" s="25"/>
      <c r="R88" s="25"/>
      <c r="S88" s="84"/>
    </row>
    <row r="89" spans="2:19" x14ac:dyDescent="0.25">
      <c r="F89" s="21"/>
      <c r="P89" s="84"/>
      <c r="Q89" s="84"/>
      <c r="R89" s="84"/>
      <c r="S89" s="84"/>
    </row>
    <row r="90" spans="2:19" ht="15" x14ac:dyDescent="0.35">
      <c r="B90" s="1" t="s">
        <v>402</v>
      </c>
      <c r="F90" s="21"/>
      <c r="P90" s="84"/>
      <c r="Q90" s="84"/>
      <c r="R90" s="84"/>
      <c r="S90" s="84"/>
    </row>
    <row r="91" spans="2:19" ht="15" x14ac:dyDescent="0.35">
      <c r="B91" s="1"/>
      <c r="C91" s="4" t="s">
        <v>403</v>
      </c>
      <c r="F91" s="21"/>
      <c r="P91" s="84"/>
      <c r="Q91" s="84"/>
      <c r="R91" s="84"/>
      <c r="S91" s="84"/>
    </row>
    <row r="92" spans="2:19" ht="15" x14ac:dyDescent="0.35">
      <c r="B92" s="1"/>
      <c r="C92" s="4"/>
      <c r="F92" s="21"/>
      <c r="P92" s="84"/>
      <c r="Q92" s="84"/>
      <c r="R92" s="84"/>
      <c r="S92" s="84"/>
    </row>
    <row r="93" spans="2:19" x14ac:dyDescent="0.25">
      <c r="D93" s="9" t="s">
        <v>149</v>
      </c>
      <c r="E93" s="9" t="s">
        <v>150</v>
      </c>
      <c r="F93" s="21" t="s">
        <v>151</v>
      </c>
      <c r="K93" s="9" t="s">
        <v>174</v>
      </c>
      <c r="L93" s="9" t="s">
        <v>175</v>
      </c>
      <c r="M93" s="9" t="s">
        <v>176</v>
      </c>
      <c r="N93" s="9" t="s">
        <v>177</v>
      </c>
      <c r="O93" s="9" t="s">
        <v>178</v>
      </c>
      <c r="P93" s="84"/>
      <c r="Q93" s="84"/>
      <c r="R93" s="84"/>
      <c r="S93" s="84"/>
    </row>
    <row r="94" spans="2:19" x14ac:dyDescent="0.25">
      <c r="D94" s="31" t="s">
        <v>204</v>
      </c>
      <c r="E94" s="31" t="s">
        <v>205</v>
      </c>
      <c r="F94" s="31" t="s">
        <v>210</v>
      </c>
      <c r="K94" s="105">
        <f t="shared" ref="K94:O96" si="9">K$64</f>
        <v>152.14999999999998</v>
      </c>
      <c r="L94" s="105">
        <f t="shared" si="9"/>
        <v>152.14999999999998</v>
      </c>
      <c r="M94" s="105">
        <f t="shared" si="9"/>
        <v>152.14999999999998</v>
      </c>
      <c r="N94" s="105">
        <f t="shared" si="9"/>
        <v>152.14999999999998</v>
      </c>
      <c r="O94" s="105">
        <f t="shared" si="9"/>
        <v>152.14999999999998</v>
      </c>
      <c r="S94" s="84"/>
    </row>
    <row r="95" spans="2:19" x14ac:dyDescent="0.25">
      <c r="D95" s="31" t="s">
        <v>207</v>
      </c>
      <c r="E95" s="31" t="s">
        <v>169</v>
      </c>
      <c r="F95" s="31" t="s">
        <v>210</v>
      </c>
      <c r="K95" s="105">
        <f t="shared" si="9"/>
        <v>152.14999999999998</v>
      </c>
      <c r="L95" s="105">
        <f t="shared" si="9"/>
        <v>152.14999999999998</v>
      </c>
      <c r="M95" s="105">
        <f t="shared" si="9"/>
        <v>152.14999999999998</v>
      </c>
      <c r="N95" s="105">
        <f t="shared" si="9"/>
        <v>152.14999999999998</v>
      </c>
      <c r="O95" s="105">
        <f t="shared" si="9"/>
        <v>152.14999999999998</v>
      </c>
      <c r="S95" s="84"/>
    </row>
    <row r="96" spans="2:19" x14ac:dyDescent="0.25">
      <c r="D96" s="31" t="s">
        <v>208</v>
      </c>
      <c r="E96" s="31" t="s">
        <v>171</v>
      </c>
      <c r="F96" s="31" t="s">
        <v>210</v>
      </c>
      <c r="K96" s="105">
        <f t="shared" si="9"/>
        <v>152.14999999999998</v>
      </c>
      <c r="L96" s="105">
        <f t="shared" si="9"/>
        <v>152.14999999999998</v>
      </c>
      <c r="M96" s="105">
        <f t="shared" si="9"/>
        <v>152.14999999999998</v>
      </c>
      <c r="N96" s="105">
        <f t="shared" si="9"/>
        <v>152.14999999999998</v>
      </c>
      <c r="O96" s="105">
        <f t="shared" si="9"/>
        <v>152.14999999999998</v>
      </c>
    </row>
    <row r="97" spans="1:24" x14ac:dyDescent="0.25">
      <c r="D97" s="31"/>
      <c r="E97" s="31"/>
      <c r="F97" s="21"/>
      <c r="H97" s="105"/>
      <c r="I97" s="105"/>
      <c r="J97" s="105"/>
      <c r="K97" s="105"/>
      <c r="L97" s="105"/>
    </row>
    <row r="98" spans="1:24" x14ac:dyDescent="0.25">
      <c r="D98" s="31"/>
      <c r="E98" s="31"/>
      <c r="F98" s="21"/>
      <c r="H98" s="105"/>
      <c r="I98" s="105"/>
      <c r="J98" s="105"/>
      <c r="K98" s="105"/>
      <c r="L98" s="105"/>
    </row>
    <row r="99" spans="1:24" ht="13.8" x14ac:dyDescent="0.3">
      <c r="A99" s="10" t="s">
        <v>22</v>
      </c>
      <c r="B99" s="10"/>
      <c r="C99" s="10"/>
      <c r="D99" s="10"/>
      <c r="E99" s="10"/>
      <c r="F99" s="10"/>
      <c r="G99" s="10"/>
      <c r="H99" s="109"/>
      <c r="I99" s="109"/>
      <c r="J99" s="109"/>
      <c r="K99" s="109"/>
      <c r="L99" s="109"/>
      <c r="M99" s="10"/>
      <c r="N99" s="10"/>
      <c r="O99" s="10"/>
      <c r="P99" s="10"/>
      <c r="Q99" s="10"/>
      <c r="R99" s="10"/>
      <c r="S99" s="10"/>
      <c r="T99" s="10"/>
      <c r="U99" s="10"/>
      <c r="V99" s="10"/>
      <c r="W99" s="10"/>
      <c r="X99" s="10"/>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sheetPr>
  <dimension ref="A1:X101"/>
  <sheetViews>
    <sheetView zoomScaleNormal="100" workbookViewId="0">
      <pane ySplit="1" topLeftCell="A2" activePane="bottomLeft" state="frozen"/>
      <selection pane="bottomLeft" activeCell="A2" sqref="A2"/>
    </sheetView>
  </sheetViews>
  <sheetFormatPr defaultRowHeight="13.2" x14ac:dyDescent="0.25"/>
  <cols>
    <col min="1" max="3" width="2.77734375" style="9" customWidth="1"/>
    <col min="4" max="4" width="31.21875" style="9" bestFit="1" customWidth="1"/>
    <col min="5" max="5" width="23.21875" style="9" bestFit="1" customWidth="1"/>
    <col min="6" max="6" width="27.88671875" style="9" bestFit="1" customWidth="1"/>
    <col min="7" max="7" width="2.77734375" style="9" customWidth="1"/>
    <col min="8" max="12" width="12.44140625" style="9" bestFit="1" customWidth="1"/>
    <col min="13" max="21" width="9" style="9"/>
    <col min="22" max="24" width="9" style="9" bestFit="1" customWidth="1"/>
    <col min="25" max="25" width="9.5546875" bestFit="1" customWidth="1"/>
    <col min="26" max="26" width="10" bestFit="1" customWidth="1"/>
    <col min="30" max="34" width="9.88671875" bestFit="1" customWidth="1"/>
  </cols>
  <sheetData>
    <row r="1" spans="1:24" ht="30" x14ac:dyDescent="0.5">
      <c r="A1" s="3" t="s">
        <v>211</v>
      </c>
      <c r="B1" s="3"/>
      <c r="C1" s="3"/>
      <c r="D1" s="3"/>
      <c r="E1" s="3"/>
      <c r="F1" s="3"/>
      <c r="G1" s="3"/>
      <c r="H1" s="3"/>
      <c r="I1" s="3"/>
      <c r="J1" s="3"/>
      <c r="K1" s="3"/>
      <c r="L1" s="3"/>
      <c r="M1" s="3"/>
      <c r="N1" s="3"/>
      <c r="O1" s="3"/>
      <c r="P1" s="3"/>
      <c r="Q1" s="3"/>
      <c r="R1" s="3"/>
      <c r="S1" s="3"/>
      <c r="T1" s="3"/>
      <c r="U1" s="3"/>
      <c r="V1" s="3"/>
      <c r="W1" s="3"/>
      <c r="X1" s="3"/>
    </row>
    <row r="3" spans="1:24" ht="13.8" x14ac:dyDescent="0.3">
      <c r="A3" s="8" t="s">
        <v>368</v>
      </c>
      <c r="B3" s="8"/>
      <c r="C3" s="8"/>
      <c r="D3" s="8"/>
      <c r="E3" s="8"/>
      <c r="F3" s="8"/>
      <c r="G3" s="8"/>
      <c r="H3" s="8"/>
      <c r="I3" s="8"/>
      <c r="J3" s="8"/>
      <c r="K3" s="8"/>
      <c r="L3" s="8"/>
      <c r="M3" s="8"/>
      <c r="N3" s="8"/>
      <c r="O3" s="8"/>
      <c r="P3" s="8"/>
      <c r="Q3" s="8"/>
      <c r="R3" s="8"/>
      <c r="S3" s="8"/>
      <c r="T3" s="8"/>
      <c r="U3" s="8"/>
      <c r="V3" s="8"/>
      <c r="W3" s="8"/>
      <c r="X3" s="8"/>
    </row>
    <row r="5" spans="1:24" ht="15" x14ac:dyDescent="0.35">
      <c r="A5" s="1" t="s">
        <v>369</v>
      </c>
    </row>
    <row r="6" spans="1:24" x14ac:dyDescent="0.25">
      <c r="B6" s="4" t="s">
        <v>405</v>
      </c>
    </row>
    <row r="8" spans="1:24" x14ac:dyDescent="0.25">
      <c r="D8" s="9" t="s">
        <v>371</v>
      </c>
      <c r="E8" s="106" t="str">
        <f>INDEX(Assumptions_BP,MATCH(A1,Assumptions_BP_PC,0))</f>
        <v>September 2018</v>
      </c>
    </row>
    <row r="11" spans="1:24" x14ac:dyDescent="0.25">
      <c r="H11" s="9" t="s">
        <v>372</v>
      </c>
      <c r="I11" s="9" t="s">
        <v>372</v>
      </c>
      <c r="J11" s="9" t="s">
        <v>373</v>
      </c>
      <c r="K11" s="9" t="s">
        <v>374</v>
      </c>
      <c r="L11" s="9" t="s">
        <v>374</v>
      </c>
      <c r="M11" s="9" t="s">
        <v>374</v>
      </c>
      <c r="N11" s="9" t="s">
        <v>374</v>
      </c>
      <c r="O11" s="9" t="s">
        <v>374</v>
      </c>
    </row>
    <row r="12" spans="1:24" x14ac:dyDescent="0.25">
      <c r="D12" s="9" t="s">
        <v>149</v>
      </c>
      <c r="E12" s="9" t="s">
        <v>150</v>
      </c>
      <c r="F12" s="9" t="s">
        <v>151</v>
      </c>
      <c r="H12" s="9" t="s">
        <v>375</v>
      </c>
      <c r="I12" s="9" t="s">
        <v>376</v>
      </c>
      <c r="J12" s="9" t="s">
        <v>377</v>
      </c>
      <c r="K12" s="9" t="s">
        <v>174</v>
      </c>
      <c r="L12" s="9" t="s">
        <v>175</v>
      </c>
      <c r="M12" s="9" t="s">
        <v>176</v>
      </c>
      <c r="N12" s="9" t="s">
        <v>177</v>
      </c>
      <c r="O12" s="9" t="s">
        <v>178</v>
      </c>
    </row>
    <row r="13" spans="1:24" x14ac:dyDescent="0.25">
      <c r="D13" s="31" t="s">
        <v>288</v>
      </c>
      <c r="E13" s="31" t="s">
        <v>231</v>
      </c>
      <c r="F13" s="31" t="s">
        <v>217</v>
      </c>
      <c r="H13" s="68">
        <f t="shared" ref="H13:O22" si="0">IF(H$11="Proposed",IF($E$8="September 2018",INDEX(PCLsProposed_Sept,MATCH($D13,PCLsProposed_ID,0),MATCH(H$12,PCLpropsedyears_September,0)),INDEX(PCLsProposed_April,MATCH($D13,PCLsProposed_ID,0),MATCH(H$12,PCLProposedyears_April,0))),IF(INDEX(PCLhistorical_data,MATCH($D13,PCLhistorical_ID,0),MATCH(H$12,PCLhistorical_years,0))="","",INDEX(PCLhistorical_data,MATCH($D13,PCLhistorical_ID,0),MATCH(H$12,PCLhistorical_years,0))))</f>
        <v>2.2847222222222224E-2</v>
      </c>
      <c r="I13" s="68">
        <f t="shared" si="0"/>
        <v>8.819444444444444E-3</v>
      </c>
      <c r="J13" s="68">
        <f t="shared" si="0"/>
        <v>4.1666666666666666E-3</v>
      </c>
      <c r="K13" s="68">
        <f t="shared" si="0"/>
        <v>3.472222222222222E-3</v>
      </c>
      <c r="L13" s="68">
        <f t="shared" si="0"/>
        <v>3.1249999999999997E-3</v>
      </c>
      <c r="M13" s="68">
        <f t="shared" si="0"/>
        <v>2.7777777777777779E-3</v>
      </c>
      <c r="N13" s="68">
        <f t="shared" si="0"/>
        <v>2.4305555555555556E-3</v>
      </c>
      <c r="O13" s="68">
        <f t="shared" si="0"/>
        <v>2.0833333333333333E-3</v>
      </c>
      <c r="Q13" s="63"/>
      <c r="R13" s="63"/>
      <c r="S13" s="63"/>
      <c r="T13" s="63"/>
      <c r="U13" s="63"/>
      <c r="V13" s="63"/>
      <c r="W13" s="63"/>
      <c r="X13" s="63"/>
    </row>
    <row r="14" spans="1:24" x14ac:dyDescent="0.25">
      <c r="D14" s="31" t="s">
        <v>290</v>
      </c>
      <c r="E14" s="31" t="s">
        <v>157</v>
      </c>
      <c r="F14" s="31" t="s">
        <v>217</v>
      </c>
      <c r="H14" s="68">
        <f t="shared" si="0"/>
        <v>5.138888888888889E-3</v>
      </c>
      <c r="I14" s="68">
        <f t="shared" si="0"/>
        <v>6.0648148148148145E-3</v>
      </c>
      <c r="J14" s="68">
        <f t="shared" si="0"/>
        <v>7.6388888888888886E-3</v>
      </c>
      <c r="K14" s="68">
        <f t="shared" si="0"/>
        <v>5.1736111111111115E-3</v>
      </c>
      <c r="L14" s="68">
        <f t="shared" si="0"/>
        <v>4.8032407407407407E-3</v>
      </c>
      <c r="M14" s="68">
        <f t="shared" si="0"/>
        <v>4.4675925925925933E-3</v>
      </c>
      <c r="N14" s="68">
        <f t="shared" si="0"/>
        <v>4.155092592592593E-3</v>
      </c>
      <c r="O14" s="68">
        <f t="shared" si="0"/>
        <v>3.8657407407407408E-3</v>
      </c>
      <c r="Q14" s="63"/>
      <c r="R14" s="63"/>
      <c r="S14" s="63"/>
      <c r="T14" s="63"/>
      <c r="U14" s="63"/>
      <c r="V14" s="63"/>
      <c r="W14" s="63"/>
      <c r="X14" s="63"/>
    </row>
    <row r="15" spans="1:24" x14ac:dyDescent="0.25">
      <c r="D15" s="31" t="s">
        <v>291</v>
      </c>
      <c r="E15" s="31" t="s">
        <v>235</v>
      </c>
      <c r="F15" s="31" t="s">
        <v>217</v>
      </c>
      <c r="H15" s="68">
        <f t="shared" si="0"/>
        <v>5.2766203703703697E-2</v>
      </c>
      <c r="I15" s="68">
        <f t="shared" si="0"/>
        <v>1.042824074074074E-2</v>
      </c>
      <c r="J15" s="68">
        <f t="shared" si="0"/>
        <v>8.4722222222222213E-3</v>
      </c>
      <c r="K15" s="68">
        <f t="shared" si="0"/>
        <v>2.9166666666666668E-3</v>
      </c>
      <c r="L15" s="68">
        <f t="shared" si="0"/>
        <v>2.5000000000000001E-3</v>
      </c>
      <c r="M15" s="68">
        <f t="shared" si="0"/>
        <v>2.0833333333333333E-3</v>
      </c>
      <c r="N15" s="68">
        <f t="shared" si="0"/>
        <v>1.6666666666666668E-3</v>
      </c>
      <c r="O15" s="68">
        <f t="shared" si="0"/>
        <v>1.25E-3</v>
      </c>
      <c r="Q15" s="63"/>
      <c r="R15" s="63"/>
      <c r="S15" s="63"/>
      <c r="T15" s="63"/>
      <c r="U15" s="63"/>
      <c r="V15" s="63"/>
      <c r="W15" s="63"/>
      <c r="X15" s="63"/>
    </row>
    <row r="16" spans="1:24" x14ac:dyDescent="0.25">
      <c r="D16" s="31" t="s">
        <v>292</v>
      </c>
      <c r="E16" s="31" t="s">
        <v>237</v>
      </c>
      <c r="F16" s="31" t="s">
        <v>217</v>
      </c>
      <c r="H16" s="68">
        <f t="shared" si="0"/>
        <v>5.9652777777777777E-3</v>
      </c>
      <c r="I16" s="68">
        <f t="shared" si="0"/>
        <v>2.4658449074074076E-2</v>
      </c>
      <c r="J16" s="68">
        <f t="shared" si="0"/>
        <v>8.2430555555555556E-3</v>
      </c>
      <c r="K16" s="68">
        <f t="shared" si="0"/>
        <v>6.2499999999999995E-3</v>
      </c>
      <c r="L16" s="68">
        <f t="shared" si="0"/>
        <v>5.4166666666666669E-3</v>
      </c>
      <c r="M16" s="68">
        <f t="shared" si="0"/>
        <v>5.4166666666666669E-3</v>
      </c>
      <c r="N16" s="68">
        <f t="shared" si="0"/>
        <v>5.4166666666666669E-3</v>
      </c>
      <c r="O16" s="68">
        <f t="shared" si="0"/>
        <v>5.4166666666666669E-3</v>
      </c>
      <c r="Q16" s="63"/>
      <c r="R16" s="63"/>
      <c r="S16" s="63"/>
      <c r="T16" s="63"/>
      <c r="U16" s="63"/>
      <c r="V16" s="63"/>
      <c r="W16" s="63"/>
      <c r="X16" s="63"/>
    </row>
    <row r="17" spans="1:24" x14ac:dyDescent="0.25">
      <c r="D17" s="31" t="s">
        <v>212</v>
      </c>
      <c r="E17" s="31" t="s">
        <v>186</v>
      </c>
      <c r="F17" s="31" t="s">
        <v>217</v>
      </c>
      <c r="H17" s="68">
        <f t="shared" si="0"/>
        <v>3.6921296296296298E-3</v>
      </c>
      <c r="I17" s="68">
        <f t="shared" si="0"/>
        <v>5.6481481481481478E-3</v>
      </c>
      <c r="J17" s="68">
        <f t="shared" si="0"/>
        <v>3.4722222222222199E-3</v>
      </c>
      <c r="K17" s="68">
        <f t="shared" si="0"/>
        <v>3.0092592592592601E-3</v>
      </c>
      <c r="L17" s="68">
        <f t="shared" si="0"/>
        <v>3.0092592592592601E-3</v>
      </c>
      <c r="M17" s="68">
        <f t="shared" si="0"/>
        <v>3.0092592592592601E-3</v>
      </c>
      <c r="N17" s="68">
        <f t="shared" si="0"/>
        <v>3.0092592592592601E-3</v>
      </c>
      <c r="O17" s="68">
        <f t="shared" si="0"/>
        <v>3.0092592592592601E-3</v>
      </c>
      <c r="Q17" s="63"/>
      <c r="R17" s="63"/>
      <c r="S17" s="63"/>
      <c r="T17" s="63"/>
      <c r="U17" s="63"/>
      <c r="V17" s="112"/>
      <c r="W17" s="112"/>
      <c r="X17" s="112"/>
    </row>
    <row r="18" spans="1:24" x14ac:dyDescent="0.25">
      <c r="D18" s="31" t="s">
        <v>293</v>
      </c>
      <c r="E18" s="31" t="s">
        <v>239</v>
      </c>
      <c r="F18" s="31" t="s">
        <v>217</v>
      </c>
      <c r="H18" s="68">
        <f t="shared" si="0"/>
        <v>2.9745370370370373E-3</v>
      </c>
      <c r="I18" s="68">
        <f t="shared" si="0"/>
        <v>2.7083333333333334E-3</v>
      </c>
      <c r="J18" s="68">
        <f t="shared" si="0"/>
        <v>2.7777777777777779E-3</v>
      </c>
      <c r="K18" s="68">
        <f t="shared" si="0"/>
        <v>2.0833333333333333E-3</v>
      </c>
      <c r="L18" s="68">
        <f t="shared" si="0"/>
        <v>2.0833333333333333E-3</v>
      </c>
      <c r="M18" s="68">
        <f t="shared" si="0"/>
        <v>2.0833333333333333E-3</v>
      </c>
      <c r="N18" s="68">
        <f t="shared" si="0"/>
        <v>2.0833333333333333E-3</v>
      </c>
      <c r="O18" s="68">
        <f t="shared" si="0"/>
        <v>2.0833333333333333E-3</v>
      </c>
      <c r="Q18" s="63"/>
      <c r="R18" s="63"/>
      <c r="S18" s="63"/>
      <c r="T18" s="63"/>
      <c r="U18" s="63"/>
      <c r="V18" s="112"/>
      <c r="W18" s="112"/>
      <c r="X18" s="112"/>
    </row>
    <row r="19" spans="1:24" x14ac:dyDescent="0.25">
      <c r="D19" s="31" t="s">
        <v>214</v>
      </c>
      <c r="E19" s="31" t="s">
        <v>165</v>
      </c>
      <c r="F19" s="31" t="s">
        <v>217</v>
      </c>
      <c r="H19" s="68">
        <f t="shared" si="0"/>
        <v>2.2453703703703702E-3</v>
      </c>
      <c r="I19" s="68">
        <f t="shared" si="0"/>
        <v>1.1792443283723333E-2</v>
      </c>
      <c r="J19" s="68">
        <f t="shared" si="0"/>
        <v>1.9444444444444442E-3</v>
      </c>
      <c r="K19" s="68">
        <f t="shared" si="0"/>
        <v>1.8518518518518517E-3</v>
      </c>
      <c r="L19" s="68">
        <f t="shared" si="0"/>
        <v>1.7476851851851852E-3</v>
      </c>
      <c r="M19" s="68">
        <f t="shared" si="0"/>
        <v>1.6550925925925926E-3</v>
      </c>
      <c r="N19" s="68">
        <f t="shared" si="0"/>
        <v>1.5509259259259261E-3</v>
      </c>
      <c r="O19" s="68">
        <f t="shared" si="0"/>
        <v>1.4583333333333334E-3</v>
      </c>
      <c r="Q19" s="63"/>
      <c r="R19" s="63"/>
      <c r="S19" s="63"/>
      <c r="T19" s="63"/>
      <c r="U19" s="63"/>
      <c r="V19" s="112"/>
      <c r="W19" s="112"/>
      <c r="X19" s="112"/>
    </row>
    <row r="20" spans="1:24" x14ac:dyDescent="0.25">
      <c r="D20" s="31" t="s">
        <v>294</v>
      </c>
      <c r="E20" s="31" t="s">
        <v>241</v>
      </c>
      <c r="F20" s="31" t="s">
        <v>217</v>
      </c>
      <c r="H20" s="68">
        <f t="shared" si="0"/>
        <v>3.0972222222222224E-2</v>
      </c>
      <c r="I20" s="68">
        <f t="shared" si="0"/>
        <v>9.8958333333333329E-3</v>
      </c>
      <c r="J20" s="68">
        <f t="shared" si="0"/>
        <v>6.9444444444444441E-3</v>
      </c>
      <c r="K20" s="68">
        <f t="shared" si="0"/>
        <v>4.5023148148148149E-3</v>
      </c>
      <c r="L20" s="68">
        <f t="shared" si="0"/>
        <v>3.9930555555555561E-3</v>
      </c>
      <c r="M20" s="68">
        <f t="shared" si="0"/>
        <v>3.530092592592592E-3</v>
      </c>
      <c r="N20" s="68">
        <f t="shared" si="0"/>
        <v>3.1249999999999997E-3</v>
      </c>
      <c r="O20" s="68">
        <f t="shared" si="0"/>
        <v>2.7546296296296294E-3</v>
      </c>
      <c r="Q20" s="63"/>
      <c r="R20" s="63"/>
      <c r="S20" s="63"/>
      <c r="T20" s="63"/>
      <c r="U20" s="63"/>
      <c r="V20" s="112"/>
      <c r="W20" s="112"/>
      <c r="X20" s="112"/>
    </row>
    <row r="21" spans="1:24" x14ac:dyDescent="0.25">
      <c r="D21" s="31" t="s">
        <v>295</v>
      </c>
      <c r="E21" s="31" t="s">
        <v>205</v>
      </c>
      <c r="F21" s="31" t="s">
        <v>217</v>
      </c>
      <c r="H21" s="68">
        <f t="shared" si="0"/>
        <v>1.0254629629629629E-2</v>
      </c>
      <c r="I21" s="68">
        <f t="shared" si="0"/>
        <v>1.9587134113552176E-3</v>
      </c>
      <c r="J21" s="68">
        <f t="shared" si="0"/>
        <v>4.2939814814814811E-3</v>
      </c>
      <c r="K21" s="68">
        <f t="shared" si="0"/>
        <v>4.2939814814814811E-3</v>
      </c>
      <c r="L21" s="68">
        <f t="shared" si="0"/>
        <v>4.1782407407407402E-3</v>
      </c>
      <c r="M21" s="68">
        <f t="shared" si="0"/>
        <v>4.0624999999999993E-3</v>
      </c>
      <c r="N21" s="68">
        <f t="shared" si="0"/>
        <v>3.9351851851851857E-3</v>
      </c>
      <c r="O21" s="68">
        <f t="shared" si="0"/>
        <v>3.8194444444444443E-3</v>
      </c>
      <c r="Q21" s="63"/>
      <c r="R21" s="63"/>
      <c r="S21" s="63"/>
      <c r="T21" s="63"/>
      <c r="U21" s="63"/>
      <c r="V21" s="112"/>
      <c r="W21" s="112"/>
      <c r="X21" s="112"/>
    </row>
    <row r="22" spans="1:24" x14ac:dyDescent="0.25">
      <c r="D22" s="31" t="s">
        <v>296</v>
      </c>
      <c r="E22" s="31" t="s">
        <v>297</v>
      </c>
      <c r="F22" s="31" t="s">
        <v>217</v>
      </c>
      <c r="H22" s="68">
        <f t="shared" si="0"/>
        <v>5.9259259259259256E-3</v>
      </c>
      <c r="I22" s="68">
        <f t="shared" si="0"/>
        <v>4.9652777777777777E-3</v>
      </c>
      <c r="J22" s="68">
        <f t="shared" si="0"/>
        <v>4.8611111111111112E-3</v>
      </c>
      <c r="K22" s="68">
        <f t="shared" si="0"/>
        <v>3.8194444444444443E-3</v>
      </c>
      <c r="L22" s="68">
        <f t="shared" si="0"/>
        <v>3.7037037037037034E-3</v>
      </c>
      <c r="M22" s="68">
        <f t="shared" si="0"/>
        <v>3.5879629629629629E-3</v>
      </c>
      <c r="N22" s="68">
        <f t="shared" si="0"/>
        <v>3.472222222222222E-3</v>
      </c>
      <c r="O22" s="68">
        <f t="shared" si="0"/>
        <v>3.3564814814814811E-3</v>
      </c>
      <c r="Q22" s="63"/>
      <c r="R22" s="63"/>
      <c r="S22" s="63"/>
      <c r="T22" s="63"/>
      <c r="U22" s="63"/>
      <c r="V22" s="112"/>
      <c r="W22" s="112"/>
      <c r="X22" s="112"/>
    </row>
    <row r="23" spans="1:24" x14ac:dyDescent="0.25">
      <c r="D23" s="31" t="s">
        <v>298</v>
      </c>
      <c r="E23" s="31" t="s">
        <v>198</v>
      </c>
      <c r="F23" s="31" t="s">
        <v>217</v>
      </c>
      <c r="H23" s="68">
        <f t="shared" ref="H23:O29" si="1">IF(H$11="Proposed",IF($E$8="September 2018",INDEX(PCLsProposed_Sept,MATCH($D23,PCLsProposed_ID,0),MATCH(H$12,PCLpropsedyears_September,0)),INDEX(PCLsProposed_April,MATCH($D23,PCLsProposed_ID,0),MATCH(H$12,PCLProposedyears_April,0))),IF(INDEX(PCLhistorical_data,MATCH($D23,PCLhistorical_ID,0),MATCH(H$12,PCLhistorical_years,0))="","",INDEX(PCLhistorical_data,MATCH($D23,PCLhistorical_ID,0),MATCH(H$12,PCLhistorical_years,0))))</f>
        <v>2.4884259259259259E-2</v>
      </c>
      <c r="I23" s="68">
        <f t="shared" si="1"/>
        <v>1.3751967592592592E-2</v>
      </c>
      <c r="J23" s="68">
        <f t="shared" si="1"/>
        <v>6.1342592592592594E-3</v>
      </c>
      <c r="K23" s="68">
        <f t="shared" si="1"/>
        <v>6.122685185185185E-3</v>
      </c>
      <c r="L23" s="68">
        <f t="shared" si="1"/>
        <v>6.0995370370370361E-3</v>
      </c>
      <c r="M23" s="68">
        <f t="shared" si="1"/>
        <v>6.076388888888889E-3</v>
      </c>
      <c r="N23" s="68">
        <f t="shared" si="1"/>
        <v>6.053240740740741E-3</v>
      </c>
      <c r="O23" s="68">
        <f t="shared" si="1"/>
        <v>6.030092592592593E-3</v>
      </c>
      <c r="Q23" s="63"/>
      <c r="R23" s="63"/>
      <c r="S23" s="63"/>
      <c r="T23" s="63"/>
      <c r="U23" s="63"/>
      <c r="V23" s="112"/>
      <c r="W23" s="112"/>
      <c r="X23" s="112"/>
    </row>
    <row r="24" spans="1:24" x14ac:dyDescent="0.25">
      <c r="D24" s="31" t="s">
        <v>299</v>
      </c>
      <c r="E24" s="31" t="s">
        <v>167</v>
      </c>
      <c r="F24" s="31" t="s">
        <v>217</v>
      </c>
      <c r="H24" s="68">
        <f t="shared" si="1"/>
        <v>1.2106481481481482E-2</v>
      </c>
      <c r="I24" s="68">
        <f t="shared" si="1"/>
        <v>5.1042606157747188E-3</v>
      </c>
      <c r="J24" s="68">
        <f t="shared" si="1"/>
        <v>5.3587962962962964E-3</v>
      </c>
      <c r="K24" s="68">
        <f t="shared" si="1"/>
        <v>5.0231481481481481E-3</v>
      </c>
      <c r="L24" s="68">
        <f t="shared" si="1"/>
        <v>4.340277777777778E-3</v>
      </c>
      <c r="M24" s="68">
        <f t="shared" si="1"/>
        <v>4.108796296296297E-3</v>
      </c>
      <c r="N24" s="68">
        <f t="shared" si="1"/>
        <v>3.4606481481481485E-3</v>
      </c>
      <c r="O24" s="68">
        <f t="shared" si="1"/>
        <v>3.2523148148148151E-3</v>
      </c>
      <c r="Q24" s="63"/>
      <c r="R24" s="63"/>
      <c r="S24" s="63"/>
      <c r="T24" s="63"/>
      <c r="U24" s="63"/>
      <c r="V24" s="112"/>
      <c r="W24" s="112"/>
      <c r="X24" s="112"/>
    </row>
    <row r="25" spans="1:24" x14ac:dyDescent="0.25">
      <c r="D25" s="31" t="s">
        <v>300</v>
      </c>
      <c r="E25" s="31" t="s">
        <v>249</v>
      </c>
      <c r="F25" s="31" t="s">
        <v>217</v>
      </c>
      <c r="H25" s="68">
        <f t="shared" si="1"/>
        <v>1.6932870370370369E-2</v>
      </c>
      <c r="I25" s="68">
        <f t="shared" si="1"/>
        <v>1.315972222222222E-2</v>
      </c>
      <c r="J25" s="68">
        <f t="shared" si="1"/>
        <v>7.3495370370370372E-3</v>
      </c>
      <c r="K25" s="68">
        <f t="shared" si="1"/>
        <v>7.2685185185185188E-3</v>
      </c>
      <c r="L25" s="68">
        <f t="shared" si="1"/>
        <v>7.1874999999999994E-3</v>
      </c>
      <c r="M25" s="68">
        <f t="shared" si="1"/>
        <v>7.106481481481481E-3</v>
      </c>
      <c r="N25" s="68">
        <f t="shared" si="1"/>
        <v>7.013888888888889E-3</v>
      </c>
      <c r="O25" s="68">
        <f t="shared" si="1"/>
        <v>6.9328703703703696E-3</v>
      </c>
      <c r="Q25" s="63"/>
      <c r="R25" s="63"/>
      <c r="S25" s="63"/>
      <c r="T25" s="63"/>
      <c r="U25" s="63"/>
      <c r="V25" s="112"/>
      <c r="W25" s="112"/>
      <c r="X25" s="112"/>
    </row>
    <row r="26" spans="1:24" x14ac:dyDescent="0.25">
      <c r="D26" s="31" t="s">
        <v>301</v>
      </c>
      <c r="E26" s="31" t="s">
        <v>190</v>
      </c>
      <c r="F26" s="31" t="s">
        <v>217</v>
      </c>
      <c r="H26" s="68">
        <f t="shared" si="1"/>
        <v>9.2708333333333341E-3</v>
      </c>
      <c r="I26" s="68">
        <f t="shared" si="1"/>
        <v>6.4583333333333333E-3</v>
      </c>
      <c r="J26" s="68">
        <f t="shared" si="1"/>
        <v>8.217592592592594E-3</v>
      </c>
      <c r="K26" s="68">
        <f t="shared" si="1"/>
        <v>4.1666666666666701E-3</v>
      </c>
      <c r="L26" s="68">
        <f t="shared" si="1"/>
        <v>4.1666666666666701E-3</v>
      </c>
      <c r="M26" s="68">
        <f t="shared" si="1"/>
        <v>4.1666666666666701E-3</v>
      </c>
      <c r="N26" s="68">
        <f t="shared" si="1"/>
        <v>4.1666666666666701E-3</v>
      </c>
      <c r="O26" s="68">
        <f t="shared" si="1"/>
        <v>4.1666666666666701E-3</v>
      </c>
      <c r="Q26" s="63"/>
      <c r="R26" s="63"/>
      <c r="S26" s="63"/>
      <c r="T26" s="63"/>
      <c r="U26" s="63"/>
      <c r="V26" s="112"/>
      <c r="W26" s="112"/>
      <c r="X26" s="112"/>
    </row>
    <row r="27" spans="1:24" x14ac:dyDescent="0.25">
      <c r="D27" s="31" t="s">
        <v>302</v>
      </c>
      <c r="E27" s="31" t="s">
        <v>252</v>
      </c>
      <c r="F27" s="31" t="s">
        <v>217</v>
      </c>
      <c r="H27" s="68">
        <f t="shared" si="1"/>
        <v>3.006944444444444E-2</v>
      </c>
      <c r="I27" s="68">
        <f t="shared" si="1"/>
        <v>1.2141203703703704E-2</v>
      </c>
      <c r="J27" s="68">
        <f t="shared" si="1"/>
        <v>8.3333333333333332E-3</v>
      </c>
      <c r="K27" s="68">
        <f t="shared" si="1"/>
        <v>7.7777777777777767E-3</v>
      </c>
      <c r="L27" s="68">
        <f t="shared" si="1"/>
        <v>7.2222222222222228E-3</v>
      </c>
      <c r="M27" s="68">
        <f t="shared" si="1"/>
        <v>6.6666666666666671E-3</v>
      </c>
      <c r="N27" s="68">
        <f t="shared" si="1"/>
        <v>6.1111111111111114E-3</v>
      </c>
      <c r="O27" s="68">
        <f t="shared" si="1"/>
        <v>5.5555555555555558E-3</v>
      </c>
      <c r="Q27" s="63"/>
      <c r="R27" s="63"/>
      <c r="S27" s="63"/>
      <c r="T27" s="63"/>
      <c r="U27" s="63"/>
      <c r="V27" s="112"/>
      <c r="W27" s="112"/>
      <c r="X27" s="112"/>
    </row>
    <row r="28" spans="1:24" x14ac:dyDescent="0.25">
      <c r="D28" s="31" t="s">
        <v>215</v>
      </c>
      <c r="E28" s="31" t="s">
        <v>169</v>
      </c>
      <c r="F28" s="31" t="s">
        <v>217</v>
      </c>
      <c r="H28" s="68">
        <f t="shared" si="1"/>
        <v>8.726851851851852E-3</v>
      </c>
      <c r="I28" s="68">
        <f t="shared" si="1"/>
        <v>4.2245370370370371E-3</v>
      </c>
      <c r="J28" s="68">
        <f t="shared" si="1"/>
        <v>8.564814814814815E-3</v>
      </c>
      <c r="K28" s="68">
        <f t="shared" si="1"/>
        <v>2.9745370370370373E-3</v>
      </c>
      <c r="L28" s="68">
        <f t="shared" si="1"/>
        <v>2.7546296296296294E-3</v>
      </c>
      <c r="M28" s="68">
        <f t="shared" si="1"/>
        <v>2.5462962962962961E-3</v>
      </c>
      <c r="N28" s="68">
        <f t="shared" si="1"/>
        <v>2.3379629629629631E-3</v>
      </c>
      <c r="O28" s="68">
        <f t="shared" si="1"/>
        <v>2.1643518518518518E-3</v>
      </c>
      <c r="Q28" s="63"/>
      <c r="R28" s="63"/>
      <c r="S28" s="63"/>
      <c r="T28" s="63"/>
      <c r="U28" s="63"/>
      <c r="V28" s="112"/>
      <c r="W28" s="112"/>
      <c r="X28" s="112"/>
    </row>
    <row r="29" spans="1:24" x14ac:dyDescent="0.25">
      <c r="D29" s="31" t="s">
        <v>216</v>
      </c>
      <c r="E29" s="31" t="s">
        <v>171</v>
      </c>
      <c r="F29" s="31" t="s">
        <v>217</v>
      </c>
      <c r="H29" s="68">
        <f t="shared" si="1"/>
        <v>4.3055555555555555E-3</v>
      </c>
      <c r="I29" s="68">
        <f t="shared" si="1"/>
        <v>6.4004629629629628E-3</v>
      </c>
      <c r="J29" s="68">
        <f t="shared" si="1"/>
        <v>2.7777777777777779E-3</v>
      </c>
      <c r="K29" s="68">
        <f t="shared" si="1"/>
        <v>2.5000000000000001E-3</v>
      </c>
      <c r="L29" s="68">
        <f t="shared" si="1"/>
        <v>2.2222222222222222E-3</v>
      </c>
      <c r="M29" s="68">
        <f t="shared" si="1"/>
        <v>1.9444444444444442E-3</v>
      </c>
      <c r="N29" s="68">
        <f t="shared" si="1"/>
        <v>1.6666666666666668E-3</v>
      </c>
      <c r="O29" s="68">
        <f t="shared" si="1"/>
        <v>1.3888888888888889E-3</v>
      </c>
      <c r="Q29" s="63"/>
      <c r="R29" s="63"/>
      <c r="S29" s="63"/>
      <c r="T29" s="63"/>
      <c r="U29" s="63"/>
      <c r="V29" s="112"/>
      <c r="W29" s="112"/>
      <c r="X29" s="112"/>
    </row>
    <row r="30" spans="1:24" x14ac:dyDescent="0.25">
      <c r="D30" s="31"/>
      <c r="E30" s="31"/>
      <c r="F30" s="31"/>
      <c r="H30" s="28"/>
      <c r="I30" s="28"/>
      <c r="J30" s="28"/>
      <c r="K30" s="28"/>
      <c r="L30" s="28"/>
      <c r="M30" s="28"/>
      <c r="N30" s="28"/>
      <c r="O30" s="28"/>
      <c r="X30" s="82"/>
    </row>
    <row r="31" spans="1:24" ht="15" x14ac:dyDescent="0.35">
      <c r="A31" s="1" t="s">
        <v>378</v>
      </c>
      <c r="D31" s="31"/>
      <c r="E31" s="31"/>
      <c r="F31" s="31"/>
      <c r="H31" s="28"/>
      <c r="I31" s="28"/>
      <c r="J31" s="28"/>
      <c r="K31" s="28"/>
      <c r="L31" s="28"/>
      <c r="M31" s="28"/>
      <c r="N31" s="28"/>
      <c r="O31" s="28"/>
    </row>
    <row r="32" spans="1:24" x14ac:dyDescent="0.25">
      <c r="D32" s="31"/>
      <c r="E32" s="31"/>
      <c r="F32" s="31"/>
      <c r="H32" s="28"/>
      <c r="I32" s="28"/>
      <c r="J32" s="28"/>
      <c r="K32" s="28"/>
      <c r="L32" s="28"/>
      <c r="M32" s="28"/>
      <c r="N32" s="28"/>
      <c r="O32" s="28"/>
    </row>
    <row r="33" spans="2:15" ht="13.8" x14ac:dyDescent="0.3">
      <c r="B33" s="2" t="s">
        <v>379</v>
      </c>
      <c r="C33" s="2"/>
      <c r="D33" s="31"/>
      <c r="E33" s="31"/>
      <c r="F33" s="31"/>
      <c r="H33" s="28"/>
      <c r="I33" s="28"/>
      <c r="J33" s="28"/>
      <c r="K33" s="28"/>
      <c r="L33" s="28"/>
      <c r="M33" s="28"/>
      <c r="N33" s="28"/>
      <c r="O33" s="28"/>
    </row>
    <row r="34" spans="2:15" x14ac:dyDescent="0.25">
      <c r="C34" s="4" t="s">
        <v>380</v>
      </c>
      <c r="D34" s="31"/>
      <c r="E34" s="31"/>
      <c r="F34" s="31"/>
      <c r="H34" s="28"/>
      <c r="I34" s="28"/>
      <c r="J34" s="28"/>
    </row>
    <row r="35" spans="2:15" x14ac:dyDescent="0.25">
      <c r="D35" s="31"/>
      <c r="E35" s="31"/>
      <c r="F35" s="31"/>
      <c r="H35" s="28"/>
      <c r="I35" s="28"/>
      <c r="J35" s="28"/>
    </row>
    <row r="36" spans="2:15" x14ac:dyDescent="0.25">
      <c r="D36" s="31"/>
      <c r="E36" s="31"/>
      <c r="F36" s="31"/>
      <c r="H36" s="9" t="s">
        <v>372</v>
      </c>
      <c r="I36" s="9" t="s">
        <v>372</v>
      </c>
      <c r="J36" s="9" t="s">
        <v>373</v>
      </c>
      <c r="K36" s="9" t="s">
        <v>374</v>
      </c>
      <c r="L36" s="9" t="s">
        <v>374</v>
      </c>
      <c r="M36" s="9" t="s">
        <v>374</v>
      </c>
      <c r="N36" s="9" t="s">
        <v>374</v>
      </c>
      <c r="O36" s="9" t="s">
        <v>374</v>
      </c>
    </row>
    <row r="37" spans="2:15" x14ac:dyDescent="0.25">
      <c r="F37" s="21"/>
      <c r="H37" s="9" t="s">
        <v>375</v>
      </c>
      <c r="I37" s="9" t="s">
        <v>376</v>
      </c>
      <c r="J37" s="9" t="s">
        <v>377</v>
      </c>
      <c r="K37" s="9" t="s">
        <v>174</v>
      </c>
      <c r="L37" s="9" t="s">
        <v>175</v>
      </c>
      <c r="M37" s="9" t="s">
        <v>176</v>
      </c>
      <c r="N37" s="9" t="s">
        <v>177</v>
      </c>
      <c r="O37" s="9" t="s">
        <v>178</v>
      </c>
    </row>
    <row r="38" spans="2:15" x14ac:dyDescent="0.25">
      <c r="E38" s="9" t="s">
        <v>381</v>
      </c>
      <c r="F38" s="31" t="s">
        <v>217</v>
      </c>
      <c r="H38" s="63">
        <f t="shared" ref="H38:O38" si="2">MIN(H13:H29)</f>
        <v>2.2453703703703702E-3</v>
      </c>
      <c r="I38" s="63">
        <f t="shared" si="2"/>
        <v>1.9587134113552176E-3</v>
      </c>
      <c r="J38" s="63">
        <f t="shared" si="2"/>
        <v>1.9444444444444442E-3</v>
      </c>
      <c r="K38" s="63">
        <f t="shared" si="2"/>
        <v>1.8518518518518517E-3</v>
      </c>
      <c r="L38" s="63">
        <f t="shared" si="2"/>
        <v>1.7476851851851852E-3</v>
      </c>
      <c r="M38" s="63">
        <f t="shared" si="2"/>
        <v>1.6550925925925926E-3</v>
      </c>
      <c r="N38" s="63">
        <f t="shared" si="2"/>
        <v>1.5509259259259261E-3</v>
      </c>
      <c r="O38" s="63">
        <f t="shared" si="2"/>
        <v>1.25E-3</v>
      </c>
    </row>
    <row r="39" spans="2:15" ht="13.8" thickBot="1" x14ac:dyDescent="0.3"/>
    <row r="40" spans="2:15" ht="13.8" thickBot="1" x14ac:dyDescent="0.3">
      <c r="E40" s="64" t="s">
        <v>382</v>
      </c>
      <c r="F40" s="69">
        <f>MIN(H38:I38,K38)</f>
        <v>1.8518518518518517E-3</v>
      </c>
    </row>
    <row r="42" spans="2:15" ht="13.8" x14ac:dyDescent="0.3">
      <c r="B42" s="2" t="s">
        <v>383</v>
      </c>
    </row>
    <row r="43" spans="2:15" x14ac:dyDescent="0.25">
      <c r="C43" s="4" t="s">
        <v>384</v>
      </c>
    </row>
    <row r="44" spans="2:15" x14ac:dyDescent="0.25">
      <c r="C44" s="4"/>
    </row>
    <row r="45" spans="2:15" x14ac:dyDescent="0.25">
      <c r="E45" s="18" t="s">
        <v>121</v>
      </c>
      <c r="F45" s="121">
        <f>frontiershift</f>
        <v>1.3785667427973047E-2</v>
      </c>
    </row>
    <row r="46" spans="2:15" ht="13.8" thickBot="1" x14ac:dyDescent="0.3"/>
    <row r="47" spans="2:15" ht="13.8" thickBot="1" x14ac:dyDescent="0.3">
      <c r="E47" s="64" t="s">
        <v>385</v>
      </c>
      <c r="F47" s="69">
        <f>F40*(1-F45)</f>
        <v>1.826322838096346E-3</v>
      </c>
    </row>
    <row r="49" spans="2:15" ht="13.8" x14ac:dyDescent="0.3">
      <c r="B49" s="2" t="s">
        <v>386</v>
      </c>
    </row>
    <row r="50" spans="2:15" x14ac:dyDescent="0.25">
      <c r="C50" s="4" t="s">
        <v>387</v>
      </c>
    </row>
    <row r="51" spans="2:15" x14ac:dyDescent="0.25">
      <c r="C51" s="4" t="s">
        <v>388</v>
      </c>
    </row>
    <row r="53" spans="2:15" x14ac:dyDescent="0.25">
      <c r="H53" s="9" t="s">
        <v>372</v>
      </c>
      <c r="I53" s="9" t="s">
        <v>372</v>
      </c>
      <c r="J53" s="9" t="s">
        <v>373</v>
      </c>
      <c r="K53" s="9" t="s">
        <v>374</v>
      </c>
      <c r="L53" s="9" t="s">
        <v>374</v>
      </c>
      <c r="M53" s="9" t="s">
        <v>374</v>
      </c>
      <c r="N53" s="9" t="s">
        <v>374</v>
      </c>
      <c r="O53" s="9" t="s">
        <v>374</v>
      </c>
    </row>
    <row r="54" spans="2:15" x14ac:dyDescent="0.25">
      <c r="H54" s="9" t="s">
        <v>375</v>
      </c>
      <c r="I54" s="9" t="s">
        <v>376</v>
      </c>
      <c r="J54" s="9" t="s">
        <v>377</v>
      </c>
      <c r="K54" s="9" t="s">
        <v>174</v>
      </c>
      <c r="L54" s="9" t="s">
        <v>175</v>
      </c>
      <c r="M54" s="9" t="s">
        <v>176</v>
      </c>
      <c r="N54" s="9" t="s">
        <v>177</v>
      </c>
      <c r="O54" s="9" t="s">
        <v>178</v>
      </c>
    </row>
    <row r="55" spans="2:15" x14ac:dyDescent="0.25">
      <c r="E55" s="9" t="s">
        <v>389</v>
      </c>
      <c r="F55" s="31" t="s">
        <v>217</v>
      </c>
      <c r="H55" s="63">
        <f t="shared" ref="H55:O55" si="3">_xlfn.PERCENTILE.INC(H$13:H$29,0.25)</f>
        <v>5.138888888888889E-3</v>
      </c>
      <c r="I55" s="63">
        <f t="shared" si="3"/>
        <v>5.1042606157747188E-3</v>
      </c>
      <c r="J55" s="63">
        <f t="shared" si="3"/>
        <v>4.1666666666666666E-3</v>
      </c>
      <c r="K55" s="63">
        <f t="shared" si="3"/>
        <v>2.9745370370370373E-3</v>
      </c>
      <c r="L55" s="63">
        <f t="shared" si="3"/>
        <v>2.7546296296296294E-3</v>
      </c>
      <c r="M55" s="63">
        <f t="shared" si="3"/>
        <v>2.5462962962962961E-3</v>
      </c>
      <c r="N55" s="63">
        <f t="shared" si="3"/>
        <v>2.3379629629629631E-3</v>
      </c>
      <c r="O55" s="63">
        <f t="shared" si="3"/>
        <v>2.0833333333333333E-3</v>
      </c>
    </row>
    <row r="56" spans="2:15" x14ac:dyDescent="0.25">
      <c r="E56" s="9" t="s">
        <v>390</v>
      </c>
      <c r="F56" s="31" t="s">
        <v>217</v>
      </c>
      <c r="H56" s="63">
        <f t="shared" ref="H56:O56" si="4">_xlfn.PERCENTILE.INC(H$13:H$29,0.75)</f>
        <v>2.2847222222222224E-2</v>
      </c>
      <c r="I56" s="63">
        <f t="shared" si="4"/>
        <v>1.1792443283723333E-2</v>
      </c>
      <c r="J56" s="63">
        <f t="shared" si="4"/>
        <v>8.217592592592594E-3</v>
      </c>
      <c r="K56" s="63">
        <f t="shared" si="4"/>
        <v>5.1736111111111115E-3</v>
      </c>
      <c r="L56" s="63">
        <f t="shared" si="4"/>
        <v>4.8032407407407407E-3</v>
      </c>
      <c r="M56" s="63">
        <f t="shared" si="4"/>
        <v>4.4675925925925933E-3</v>
      </c>
      <c r="N56" s="63">
        <f t="shared" si="4"/>
        <v>4.1666666666666701E-3</v>
      </c>
      <c r="O56" s="63">
        <f t="shared" si="4"/>
        <v>4.1666666666666701E-3</v>
      </c>
    </row>
    <row r="58" spans="2:15" x14ac:dyDescent="0.25">
      <c r="E58" s="9" t="s">
        <v>391</v>
      </c>
      <c r="F58" s="9" t="s">
        <v>392</v>
      </c>
      <c r="H58" s="34"/>
      <c r="I58" s="34">
        <f t="shared" ref="I58:O58" si="5">(I55/H55-1)</f>
        <v>-6.7384747681628054E-3</v>
      </c>
      <c r="J58" s="34">
        <f>(J55/I55-1)</f>
        <v>-0.18368849470781679</v>
      </c>
      <c r="K58" s="34">
        <f>(K55/J55-1)</f>
        <v>-0.28611111111111109</v>
      </c>
      <c r="L58" s="34">
        <f t="shared" si="5"/>
        <v>-7.3929961089494345E-2</v>
      </c>
      <c r="M58" s="34">
        <f t="shared" si="5"/>
        <v>-7.5630252100840401E-2</v>
      </c>
      <c r="N58" s="34">
        <f t="shared" si="5"/>
        <v>-8.1818181818181679E-2</v>
      </c>
      <c r="O58" s="34">
        <f t="shared" si="5"/>
        <v>-0.10891089108910901</v>
      </c>
    </row>
    <row r="61" spans="2:15" x14ac:dyDescent="0.25">
      <c r="K61" s="9" t="s">
        <v>174</v>
      </c>
      <c r="L61" s="9" t="s">
        <v>175</v>
      </c>
      <c r="M61" s="9" t="s">
        <v>176</v>
      </c>
      <c r="N61" s="9" t="s">
        <v>177</v>
      </c>
      <c r="O61" s="9" t="s">
        <v>178</v>
      </c>
    </row>
    <row r="62" spans="2:15" x14ac:dyDescent="0.25">
      <c r="E62" s="9" t="s">
        <v>393</v>
      </c>
      <c r="F62" s="31" t="s">
        <v>217</v>
      </c>
      <c r="K62" s="63">
        <f>F47</f>
        <v>1.826322838096346E-3</v>
      </c>
      <c r="L62" s="63">
        <f>K62*(1-ABS(L58))</f>
        <v>1.6913028617390282E-3</v>
      </c>
      <c r="M62" s="63">
        <f>L62*(1-ABS(M58))</f>
        <v>1.5633891999268328E-3</v>
      </c>
      <c r="N62" s="63">
        <f>M62*(1-ABS(N58))</f>
        <v>1.4354755381146376E-3</v>
      </c>
      <c r="O62" s="63">
        <f>N62*(1-ABS(O58))</f>
        <v>1.2791366181219542E-3</v>
      </c>
    </row>
    <row r="63" spans="2:15" x14ac:dyDescent="0.25">
      <c r="E63" s="9" t="s">
        <v>394</v>
      </c>
      <c r="F63" s="31" t="s">
        <v>217</v>
      </c>
      <c r="I63" s="24"/>
      <c r="K63" s="113">
        <f>$I$56</f>
        <v>1.1792443283723333E-2</v>
      </c>
      <c r="L63" s="113">
        <f>$I$56</f>
        <v>1.1792443283723333E-2</v>
      </c>
      <c r="M63" s="113">
        <f>$I$56</f>
        <v>1.1792443283723333E-2</v>
      </c>
      <c r="N63" s="113">
        <f>$I$56</f>
        <v>1.1792443283723333E-2</v>
      </c>
      <c r="O63" s="113">
        <f>$I$56</f>
        <v>1.1792443283723333E-2</v>
      </c>
    </row>
    <row r="64" spans="2:15" x14ac:dyDescent="0.25">
      <c r="F64" s="21"/>
      <c r="I64" s="24"/>
      <c r="K64" s="74"/>
      <c r="L64" s="74"/>
      <c r="M64" s="74"/>
      <c r="N64" s="74"/>
      <c r="O64" s="74"/>
    </row>
    <row r="66" spans="1:24" ht="13.8" x14ac:dyDescent="0.3">
      <c r="B66" s="2" t="s">
        <v>395</v>
      </c>
      <c r="K66" s="24"/>
      <c r="L66" s="24"/>
      <c r="M66" s="24"/>
      <c r="N66" s="24"/>
      <c r="O66" s="24"/>
    </row>
    <row r="67" spans="1:24" x14ac:dyDescent="0.25">
      <c r="C67" s="4" t="s">
        <v>396</v>
      </c>
    </row>
    <row r="68" spans="1:24" x14ac:dyDescent="0.25">
      <c r="K68" s="9" t="s">
        <v>174</v>
      </c>
      <c r="L68" s="9" t="s">
        <v>175</v>
      </c>
      <c r="M68" s="9" t="s">
        <v>176</v>
      </c>
      <c r="N68" s="9" t="s">
        <v>177</v>
      </c>
      <c r="O68" s="9" t="s">
        <v>178</v>
      </c>
    </row>
    <row r="69" spans="1:24" x14ac:dyDescent="0.25">
      <c r="E69" s="9" t="s">
        <v>397</v>
      </c>
      <c r="F69" s="31" t="s">
        <v>217</v>
      </c>
      <c r="K69" s="114">
        <f>_xlfn.PERCENTILE.INC($I$13:$I$29,0.9)</f>
        <v>1.3396620370370369E-2</v>
      </c>
      <c r="L69" s="114">
        <f t="shared" ref="L69:O69" si="6">_xlfn.PERCENTILE.INC($I$13:$I$29,0.9)</f>
        <v>1.3396620370370369E-2</v>
      </c>
      <c r="M69" s="114">
        <f t="shared" si="6"/>
        <v>1.3396620370370369E-2</v>
      </c>
      <c r="N69" s="114">
        <f t="shared" si="6"/>
        <v>1.3396620370370369E-2</v>
      </c>
      <c r="O69" s="114">
        <f t="shared" si="6"/>
        <v>1.3396620370370369E-2</v>
      </c>
    </row>
    <row r="70" spans="1:24" x14ac:dyDescent="0.25">
      <c r="F70" s="21"/>
      <c r="O70" s="84"/>
      <c r="P70" s="84"/>
      <c r="Q70" s="84"/>
      <c r="R70" s="84"/>
      <c r="S70" s="84"/>
    </row>
    <row r="71" spans="1:24" x14ac:dyDescent="0.25">
      <c r="F71" s="21"/>
      <c r="O71" s="84"/>
      <c r="P71" s="84"/>
      <c r="Q71" s="84"/>
      <c r="R71" s="84"/>
      <c r="S71" s="84"/>
    </row>
    <row r="72" spans="1:24" ht="13.8" x14ac:dyDescent="0.3">
      <c r="A72" s="8" t="s">
        <v>398</v>
      </c>
      <c r="B72" s="8"/>
      <c r="C72" s="8"/>
      <c r="D72" s="8"/>
      <c r="E72" s="8"/>
      <c r="F72" s="8"/>
      <c r="G72" s="8"/>
      <c r="H72" s="8"/>
      <c r="I72" s="8"/>
      <c r="J72" s="8"/>
      <c r="K72" s="8"/>
      <c r="L72" s="8"/>
      <c r="M72" s="8"/>
      <c r="N72" s="8"/>
      <c r="O72" s="8"/>
      <c r="P72" s="8"/>
      <c r="Q72" s="8"/>
      <c r="R72" s="8"/>
      <c r="S72" s="8"/>
      <c r="T72" s="8"/>
      <c r="U72" s="8"/>
      <c r="V72" s="8"/>
      <c r="W72" s="8"/>
      <c r="X72" s="8"/>
    </row>
    <row r="73" spans="1:24" x14ac:dyDescent="0.25">
      <c r="F73" s="21"/>
      <c r="O73" s="84"/>
      <c r="P73" s="84"/>
      <c r="Q73" s="84"/>
      <c r="R73" s="84"/>
      <c r="S73" s="84"/>
    </row>
    <row r="74" spans="1:24" ht="15" x14ac:dyDescent="0.35">
      <c r="B74" s="1" t="s">
        <v>399</v>
      </c>
      <c r="F74" s="21"/>
      <c r="O74" s="84"/>
      <c r="P74" s="84"/>
      <c r="Q74" s="84"/>
      <c r="R74" s="84"/>
      <c r="S74" s="84"/>
    </row>
    <row r="75" spans="1:24" ht="15" x14ac:dyDescent="0.35">
      <c r="B75" s="1"/>
      <c r="F75" s="21"/>
      <c r="O75" s="84"/>
      <c r="P75" s="84"/>
      <c r="Q75" s="84"/>
      <c r="R75" s="84"/>
      <c r="S75" s="84"/>
    </row>
    <row r="76" spans="1:24" x14ac:dyDescent="0.25">
      <c r="D76" s="9" t="s">
        <v>149</v>
      </c>
      <c r="E76" s="9" t="s">
        <v>150</v>
      </c>
      <c r="F76" s="21" t="s">
        <v>151</v>
      </c>
      <c r="K76" s="9" t="s">
        <v>174</v>
      </c>
      <c r="L76" s="9" t="s">
        <v>175</v>
      </c>
      <c r="M76" s="9" t="s">
        <v>176</v>
      </c>
      <c r="N76" s="9" t="s">
        <v>177</v>
      </c>
      <c r="O76" s="9" t="s">
        <v>178</v>
      </c>
      <c r="P76" s="84"/>
      <c r="Q76" s="84"/>
      <c r="R76" s="84"/>
      <c r="S76" s="84"/>
    </row>
    <row r="77" spans="1:24" x14ac:dyDescent="0.25">
      <c r="D77" s="31" t="s">
        <v>212</v>
      </c>
      <c r="E77" s="31" t="s">
        <v>186</v>
      </c>
      <c r="F77" s="31" t="s">
        <v>217</v>
      </c>
      <c r="K77" s="63">
        <f t="shared" ref="K77:O80" si="7">IF(ISBLANK(INDEX(thresholdsproposed,MATCH($D77,thresholdsproposed_ID,0),MATCH(K$76,thresholdsproposed_years,0))),"",INDEX(thresholdsproposed,MATCH($D77,thresholdsproposed_ID,0),MATCH(K$76,thresholdsproposed_years,0)))</f>
        <v>1.8518518518518517E-3</v>
      </c>
      <c r="L77" s="63">
        <f t="shared" si="7"/>
        <v>1.7476851851851852E-3</v>
      </c>
      <c r="M77" s="63">
        <f t="shared" si="7"/>
        <v>1.6550925925925926E-3</v>
      </c>
      <c r="N77" s="63">
        <f t="shared" si="7"/>
        <v>1.5509259259259261E-3</v>
      </c>
      <c r="O77" s="63">
        <f t="shared" si="7"/>
        <v>1.25E-3</v>
      </c>
      <c r="P77" s="84"/>
      <c r="Q77" s="84"/>
      <c r="R77" s="84"/>
      <c r="S77" s="84"/>
    </row>
    <row r="78" spans="1:24" x14ac:dyDescent="0.25">
      <c r="D78" s="31" t="s">
        <v>214</v>
      </c>
      <c r="E78" s="31" t="s">
        <v>165</v>
      </c>
      <c r="F78" s="31" t="s">
        <v>217</v>
      </c>
      <c r="K78" s="63">
        <f t="shared" si="7"/>
        <v>9.2361111111111116E-4</v>
      </c>
      <c r="L78" s="63">
        <f t="shared" si="7"/>
        <v>8.7500000000000002E-4</v>
      </c>
      <c r="M78" s="63">
        <f t="shared" si="7"/>
        <v>8.2638888888888877E-4</v>
      </c>
      <c r="N78" s="63">
        <f t="shared" si="7"/>
        <v>7.7777777777777784E-4</v>
      </c>
      <c r="O78" s="63">
        <f t="shared" si="7"/>
        <v>7.291666666666667E-4</v>
      </c>
      <c r="P78" s="84"/>
      <c r="Q78" s="84"/>
      <c r="R78" s="84"/>
      <c r="S78" s="84"/>
    </row>
    <row r="79" spans="1:24" x14ac:dyDescent="0.25">
      <c r="D79" s="31" t="s">
        <v>215</v>
      </c>
      <c r="E79" s="31" t="s">
        <v>169</v>
      </c>
      <c r="F79" s="31" t="s">
        <v>217</v>
      </c>
      <c r="K79" s="63">
        <f t="shared" si="7"/>
        <v>9.0277777777777784E-4</v>
      </c>
      <c r="L79" s="63">
        <f t="shared" si="7"/>
        <v>9.0277777777777784E-4</v>
      </c>
      <c r="M79" s="63">
        <f t="shared" si="7"/>
        <v>9.0277777777777784E-4</v>
      </c>
      <c r="N79" s="63">
        <f t="shared" si="7"/>
        <v>9.0277777777777784E-4</v>
      </c>
      <c r="O79" s="63">
        <f t="shared" si="7"/>
        <v>9.0277777777777784E-4</v>
      </c>
      <c r="P79" s="84"/>
      <c r="Q79" s="84"/>
      <c r="R79" s="84"/>
      <c r="S79" s="84"/>
    </row>
    <row r="80" spans="1:24" x14ac:dyDescent="0.25">
      <c r="D80" s="31" t="s">
        <v>216</v>
      </c>
      <c r="E80" s="31" t="s">
        <v>171</v>
      </c>
      <c r="F80" s="31" t="s">
        <v>217</v>
      </c>
      <c r="K80" s="63">
        <f t="shared" si="7"/>
        <v>6.9444444444444447E-4</v>
      </c>
      <c r="L80" s="63">
        <f t="shared" si="7"/>
        <v>6.9444444444444447E-4</v>
      </c>
      <c r="M80" s="63">
        <f t="shared" si="7"/>
        <v>6.9444444444444447E-4</v>
      </c>
      <c r="N80" s="63">
        <f t="shared" si="7"/>
        <v>6.9444444444444447E-4</v>
      </c>
      <c r="O80" s="63">
        <f t="shared" si="7"/>
        <v>6.9444444444444447E-4</v>
      </c>
      <c r="P80" s="84"/>
      <c r="Q80" s="84"/>
      <c r="R80" s="84"/>
      <c r="S80" s="84"/>
    </row>
    <row r="81" spans="2:19" x14ac:dyDescent="0.25">
      <c r="D81" s="31"/>
      <c r="E81" s="31"/>
      <c r="F81" s="21"/>
      <c r="P81" s="84"/>
      <c r="Q81" s="84"/>
      <c r="R81" s="84"/>
      <c r="S81" s="84"/>
    </row>
    <row r="82" spans="2:19" ht="15" x14ac:dyDescent="0.35">
      <c r="B82" s="1" t="s">
        <v>400</v>
      </c>
      <c r="F82" s="21"/>
      <c r="P82" s="84"/>
      <c r="Q82" s="84"/>
      <c r="R82" s="84"/>
      <c r="S82" s="84"/>
    </row>
    <row r="83" spans="2:19" x14ac:dyDescent="0.25">
      <c r="C83" s="4" t="s">
        <v>401</v>
      </c>
      <c r="F83" s="21"/>
      <c r="P83" s="74"/>
      <c r="Q83" s="74"/>
      <c r="R83" s="74"/>
      <c r="S83" s="74"/>
    </row>
    <row r="84" spans="2:19" x14ac:dyDescent="0.25">
      <c r="C84" s="4"/>
      <c r="F84" s="21"/>
    </row>
    <row r="85" spans="2:19" x14ac:dyDescent="0.25">
      <c r="C85" s="4"/>
      <c r="D85" s="9" t="s">
        <v>149</v>
      </c>
      <c r="E85" s="9" t="s">
        <v>150</v>
      </c>
      <c r="F85" s="21" t="s">
        <v>151</v>
      </c>
      <c r="K85" s="9" t="s">
        <v>174</v>
      </c>
      <c r="L85" s="9" t="s">
        <v>175</v>
      </c>
      <c r="M85" s="9" t="s">
        <v>176</v>
      </c>
      <c r="N85" s="9" t="s">
        <v>177</v>
      </c>
      <c r="O85" s="9" t="s">
        <v>178</v>
      </c>
      <c r="P85" s="74"/>
      <c r="Q85" s="74"/>
      <c r="R85" s="74"/>
      <c r="S85" s="74"/>
    </row>
    <row r="86" spans="2:19" x14ac:dyDescent="0.25">
      <c r="C86" s="4"/>
      <c r="D86" s="31" t="s">
        <v>212</v>
      </c>
      <c r="E86" s="31" t="s">
        <v>186</v>
      </c>
      <c r="F86" s="31" t="s">
        <v>217</v>
      </c>
      <c r="K86" s="114">
        <f t="shared" ref="K86:O89" si="8">MIN(K77,K$62)</f>
        <v>1.826322838096346E-3</v>
      </c>
      <c r="L86" s="114">
        <f t="shared" si="8"/>
        <v>1.6913028617390282E-3</v>
      </c>
      <c r="M86" s="114">
        <f t="shared" si="8"/>
        <v>1.5633891999268328E-3</v>
      </c>
      <c r="N86" s="114">
        <f t="shared" si="8"/>
        <v>1.4354755381146376E-3</v>
      </c>
      <c r="O86" s="114">
        <f t="shared" si="8"/>
        <v>1.25E-3</v>
      </c>
      <c r="P86" s="73"/>
      <c r="Q86" s="73"/>
      <c r="R86" s="73"/>
      <c r="S86" s="74"/>
    </row>
    <row r="87" spans="2:19" x14ac:dyDescent="0.25">
      <c r="C87" s="4"/>
      <c r="D87" s="31" t="s">
        <v>214</v>
      </c>
      <c r="E87" s="31" t="s">
        <v>165</v>
      </c>
      <c r="F87" s="31" t="s">
        <v>217</v>
      </c>
      <c r="K87" s="114">
        <f t="shared" si="8"/>
        <v>9.2361111111111116E-4</v>
      </c>
      <c r="L87" s="114">
        <f t="shared" si="8"/>
        <v>8.7500000000000002E-4</v>
      </c>
      <c r="M87" s="114">
        <f t="shared" si="8"/>
        <v>8.2638888888888877E-4</v>
      </c>
      <c r="N87" s="114">
        <f t="shared" si="8"/>
        <v>7.7777777777777784E-4</v>
      </c>
      <c r="O87" s="114">
        <f t="shared" si="8"/>
        <v>7.291666666666667E-4</v>
      </c>
      <c r="P87" s="73"/>
      <c r="Q87" s="73"/>
      <c r="R87" s="73"/>
      <c r="S87" s="74"/>
    </row>
    <row r="88" spans="2:19" x14ac:dyDescent="0.25">
      <c r="D88" s="31" t="s">
        <v>215</v>
      </c>
      <c r="E88" s="31" t="s">
        <v>169</v>
      </c>
      <c r="F88" s="31" t="s">
        <v>217</v>
      </c>
      <c r="K88" s="114">
        <f t="shared" si="8"/>
        <v>9.0277777777777784E-4</v>
      </c>
      <c r="L88" s="114">
        <f t="shared" si="8"/>
        <v>9.0277777777777784E-4</v>
      </c>
      <c r="M88" s="114">
        <f t="shared" si="8"/>
        <v>9.0277777777777784E-4</v>
      </c>
      <c r="N88" s="114">
        <f t="shared" si="8"/>
        <v>9.0277777777777784E-4</v>
      </c>
      <c r="O88" s="114">
        <f t="shared" si="8"/>
        <v>9.0277777777777784E-4</v>
      </c>
      <c r="P88" s="25"/>
      <c r="Q88" s="25"/>
      <c r="R88" s="25"/>
      <c r="S88" s="84"/>
    </row>
    <row r="89" spans="2:19" x14ac:dyDescent="0.25">
      <c r="D89" s="31" t="s">
        <v>216</v>
      </c>
      <c r="E89" s="31" t="s">
        <v>171</v>
      </c>
      <c r="F89" s="31" t="s">
        <v>217</v>
      </c>
      <c r="K89" s="114">
        <f t="shared" si="8"/>
        <v>6.9444444444444447E-4</v>
      </c>
      <c r="L89" s="114">
        <f t="shared" si="8"/>
        <v>6.9444444444444447E-4</v>
      </c>
      <c r="M89" s="114">
        <f t="shared" si="8"/>
        <v>6.9444444444444447E-4</v>
      </c>
      <c r="N89" s="114">
        <f t="shared" si="8"/>
        <v>6.9444444444444447E-4</v>
      </c>
      <c r="O89" s="114">
        <f t="shared" si="8"/>
        <v>6.9444444444444447E-4</v>
      </c>
      <c r="P89" s="25"/>
      <c r="Q89" s="25"/>
      <c r="R89" s="25"/>
      <c r="S89" s="84"/>
    </row>
    <row r="90" spans="2:19" x14ac:dyDescent="0.25">
      <c r="F90" s="21"/>
      <c r="P90" s="84"/>
      <c r="Q90" s="84"/>
      <c r="R90" s="84"/>
      <c r="S90" s="84"/>
    </row>
    <row r="91" spans="2:19" ht="15" x14ac:dyDescent="0.35">
      <c r="B91" s="1" t="s">
        <v>402</v>
      </c>
      <c r="F91" s="21"/>
      <c r="S91" s="84"/>
    </row>
    <row r="92" spans="2:19" ht="15" x14ac:dyDescent="0.35">
      <c r="B92" s="1"/>
      <c r="C92" s="4" t="s">
        <v>403</v>
      </c>
      <c r="F92" s="21"/>
      <c r="S92" s="84"/>
    </row>
    <row r="93" spans="2:19" x14ac:dyDescent="0.25">
      <c r="D93" s="9" t="s">
        <v>149</v>
      </c>
      <c r="E93" s="9" t="s">
        <v>150</v>
      </c>
      <c r="F93" s="21" t="s">
        <v>151</v>
      </c>
      <c r="K93" s="9" t="s">
        <v>174</v>
      </c>
      <c r="L93" s="9" t="s">
        <v>175</v>
      </c>
      <c r="M93" s="9" t="s">
        <v>176</v>
      </c>
      <c r="N93" s="9" t="s">
        <v>177</v>
      </c>
      <c r="O93" s="9" t="s">
        <v>178</v>
      </c>
      <c r="S93" s="84"/>
    </row>
    <row r="94" spans="2:19" x14ac:dyDescent="0.25">
      <c r="D94" s="31" t="s">
        <v>212</v>
      </c>
      <c r="E94" s="31" t="s">
        <v>186</v>
      </c>
      <c r="F94" s="31" t="s">
        <v>217</v>
      </c>
      <c r="K94" s="114">
        <f t="shared" ref="K94:O97" si="9">K$63</f>
        <v>1.1792443283723333E-2</v>
      </c>
      <c r="L94" s="114">
        <f t="shared" si="9"/>
        <v>1.1792443283723333E-2</v>
      </c>
      <c r="M94" s="114">
        <f t="shared" si="9"/>
        <v>1.1792443283723333E-2</v>
      </c>
      <c r="N94" s="114">
        <f t="shared" si="9"/>
        <v>1.1792443283723333E-2</v>
      </c>
      <c r="O94" s="114">
        <f t="shared" si="9"/>
        <v>1.1792443283723333E-2</v>
      </c>
      <c r="S94" s="84"/>
    </row>
    <row r="95" spans="2:19" x14ac:dyDescent="0.25">
      <c r="D95" s="31" t="s">
        <v>214</v>
      </c>
      <c r="E95" s="31" t="s">
        <v>165</v>
      </c>
      <c r="F95" s="31" t="s">
        <v>217</v>
      </c>
      <c r="K95" s="114">
        <f t="shared" si="9"/>
        <v>1.1792443283723333E-2</v>
      </c>
      <c r="L95" s="114">
        <f t="shared" si="9"/>
        <v>1.1792443283723333E-2</v>
      </c>
      <c r="M95" s="114">
        <f t="shared" si="9"/>
        <v>1.1792443283723333E-2</v>
      </c>
      <c r="N95" s="114">
        <f t="shared" si="9"/>
        <v>1.1792443283723333E-2</v>
      </c>
      <c r="O95" s="114">
        <f t="shared" si="9"/>
        <v>1.1792443283723333E-2</v>
      </c>
      <c r="S95" s="84"/>
    </row>
    <row r="96" spans="2:19" x14ac:dyDescent="0.25">
      <c r="D96" s="31" t="s">
        <v>215</v>
      </c>
      <c r="E96" s="31" t="s">
        <v>169</v>
      </c>
      <c r="F96" s="31" t="s">
        <v>217</v>
      </c>
      <c r="K96" s="114">
        <f t="shared" si="9"/>
        <v>1.1792443283723333E-2</v>
      </c>
      <c r="L96" s="114">
        <f t="shared" si="9"/>
        <v>1.1792443283723333E-2</v>
      </c>
      <c r="M96" s="114">
        <f t="shared" si="9"/>
        <v>1.1792443283723333E-2</v>
      </c>
      <c r="N96" s="114">
        <f t="shared" si="9"/>
        <v>1.1792443283723333E-2</v>
      </c>
      <c r="O96" s="114">
        <f t="shared" si="9"/>
        <v>1.1792443283723333E-2</v>
      </c>
    </row>
    <row r="97" spans="1:24" x14ac:dyDescent="0.25">
      <c r="D97" s="31" t="s">
        <v>216</v>
      </c>
      <c r="E97" s="31" t="s">
        <v>171</v>
      </c>
      <c r="F97" s="31" t="s">
        <v>217</v>
      </c>
      <c r="K97" s="114">
        <f t="shared" si="9"/>
        <v>1.1792443283723333E-2</v>
      </c>
      <c r="L97" s="114">
        <f t="shared" si="9"/>
        <v>1.1792443283723333E-2</v>
      </c>
      <c r="M97" s="114">
        <f t="shared" si="9"/>
        <v>1.1792443283723333E-2</v>
      </c>
      <c r="N97" s="114">
        <f t="shared" si="9"/>
        <v>1.1792443283723333E-2</v>
      </c>
      <c r="O97" s="114">
        <f t="shared" si="9"/>
        <v>1.1792443283723333E-2</v>
      </c>
    </row>
    <row r="98" spans="1:24" x14ac:dyDescent="0.25">
      <c r="D98" s="31"/>
      <c r="E98" s="31"/>
      <c r="F98" s="21"/>
      <c r="H98" s="105"/>
      <c r="I98" s="105"/>
      <c r="J98" s="105"/>
      <c r="K98" s="105"/>
      <c r="L98" s="105"/>
    </row>
    <row r="99" spans="1:24" x14ac:dyDescent="0.25">
      <c r="D99" s="31"/>
      <c r="E99" s="31"/>
      <c r="F99" s="21"/>
      <c r="H99" s="105"/>
      <c r="I99" s="105"/>
      <c r="J99" s="105"/>
      <c r="K99" s="105"/>
      <c r="L99" s="105"/>
    </row>
    <row r="100" spans="1:24" ht="13.8" x14ac:dyDescent="0.3">
      <c r="A100" s="10" t="s">
        <v>22</v>
      </c>
      <c r="B100" s="10"/>
      <c r="C100" s="10"/>
      <c r="D100" s="10"/>
      <c r="E100" s="10"/>
      <c r="F100" s="10"/>
      <c r="G100" s="10"/>
      <c r="H100" s="109"/>
      <c r="I100" s="109"/>
      <c r="J100" s="109"/>
      <c r="K100" s="109"/>
      <c r="L100" s="109"/>
      <c r="M100" s="10"/>
      <c r="N100" s="10"/>
      <c r="O100" s="10"/>
      <c r="P100" s="10"/>
      <c r="Q100" s="10"/>
      <c r="R100" s="10"/>
      <c r="S100" s="10"/>
      <c r="T100" s="10"/>
      <c r="U100" s="10"/>
      <c r="V100" s="10"/>
      <c r="W100" s="10"/>
      <c r="X100" s="10"/>
    </row>
    <row r="101" spans="1:24" x14ac:dyDescent="0.25">
      <c r="D101" s="31"/>
      <c r="E101" s="31"/>
      <c r="F101" s="21"/>
      <c r="H101" s="43"/>
      <c r="I101" s="43"/>
      <c r="J101" s="43"/>
      <c r="K101" s="43"/>
      <c r="L101" s="43"/>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sheetPr>
  <dimension ref="A1:W366"/>
  <sheetViews>
    <sheetView zoomScaleNormal="100" workbookViewId="0">
      <pane ySplit="1" topLeftCell="A2" activePane="bottomLeft" state="frozen"/>
      <selection pane="bottomLeft" activeCell="A2" sqref="A2"/>
    </sheetView>
  </sheetViews>
  <sheetFormatPr defaultRowHeight="13.2" x14ac:dyDescent="0.25"/>
  <cols>
    <col min="1" max="3" width="2.77734375" style="9" customWidth="1"/>
    <col min="4" max="4" width="31.21875" style="9" bestFit="1" customWidth="1"/>
    <col min="5" max="5" width="23.21875" style="9" bestFit="1" customWidth="1"/>
    <col min="6" max="6" width="27.88671875" style="9" bestFit="1" customWidth="1"/>
    <col min="7" max="7" width="2.77734375" style="9" customWidth="1"/>
    <col min="8" max="15" width="12" style="9" customWidth="1"/>
    <col min="16" max="21" width="9" style="9"/>
    <col min="22" max="23" width="9" style="9" bestFit="1" customWidth="1"/>
    <col min="24" max="24" width="9" bestFit="1" customWidth="1"/>
    <col min="25" max="25" width="9.5546875" bestFit="1" customWidth="1"/>
    <col min="26" max="26" width="10" bestFit="1" customWidth="1"/>
    <col min="30" max="34" width="9.88671875" bestFit="1" customWidth="1"/>
  </cols>
  <sheetData>
    <row r="1" spans="1:23" ht="30" x14ac:dyDescent="0.5">
      <c r="A1" s="3" t="s">
        <v>147</v>
      </c>
      <c r="B1" s="3"/>
      <c r="C1" s="3"/>
      <c r="D1" s="3"/>
      <c r="E1" s="3"/>
      <c r="F1" s="3"/>
      <c r="G1" s="3"/>
      <c r="H1" s="3"/>
      <c r="I1" s="3"/>
      <c r="J1" s="3"/>
      <c r="K1" s="3"/>
      <c r="L1" s="3"/>
      <c r="M1" s="3"/>
      <c r="N1" s="3"/>
      <c r="O1" s="3"/>
      <c r="P1" s="3"/>
      <c r="Q1" s="3"/>
      <c r="R1" s="3"/>
      <c r="S1" s="3"/>
      <c r="T1" s="3"/>
      <c r="U1" s="3"/>
      <c r="V1" s="3"/>
      <c r="W1" s="3"/>
    </row>
    <row r="3" spans="1:23" x14ac:dyDescent="0.25">
      <c r="B3" s="4" t="s">
        <v>407</v>
      </c>
    </row>
    <row r="4" spans="1:23" s="9" customFormat="1" x14ac:dyDescent="0.25">
      <c r="A4" s="4"/>
      <c r="B4" s="4" t="s">
        <v>404</v>
      </c>
    </row>
    <row r="6" spans="1:23" ht="13.8" x14ac:dyDescent="0.3">
      <c r="A6" s="8" t="s">
        <v>408</v>
      </c>
      <c r="B6" s="8"/>
      <c r="C6" s="8"/>
      <c r="D6" s="8"/>
      <c r="E6" s="8"/>
      <c r="F6" s="8"/>
      <c r="G6" s="8"/>
      <c r="H6" s="8"/>
      <c r="I6" s="8"/>
      <c r="J6" s="8"/>
      <c r="K6" s="8"/>
      <c r="L6" s="8"/>
      <c r="M6" s="8"/>
      <c r="N6" s="8"/>
      <c r="O6" s="8"/>
      <c r="P6" s="8"/>
      <c r="Q6" s="8"/>
      <c r="R6" s="8"/>
      <c r="S6" s="8"/>
      <c r="T6" s="8"/>
      <c r="U6" s="8"/>
      <c r="V6" s="8"/>
      <c r="W6" s="8"/>
    </row>
    <row r="8" spans="1:23" ht="15" x14ac:dyDescent="0.35">
      <c r="A8" s="1" t="s">
        <v>369</v>
      </c>
    </row>
    <row r="9" spans="1:23" x14ac:dyDescent="0.25">
      <c r="B9" s="4" t="s">
        <v>405</v>
      </c>
    </row>
    <row r="10" spans="1:23" x14ac:dyDescent="0.25">
      <c r="B10" s="4"/>
    </row>
    <row r="11" spans="1:23" x14ac:dyDescent="0.25">
      <c r="D11" s="9" t="s">
        <v>371</v>
      </c>
      <c r="E11" s="106" t="str">
        <f>INDEX(Assumptions_BP,MATCH(A1,Assumptions_BP_PC,0))</f>
        <v>April 2019</v>
      </c>
    </row>
    <row r="13" spans="1:23" x14ac:dyDescent="0.25">
      <c r="H13" s="9" t="s">
        <v>372</v>
      </c>
      <c r="I13" s="9" t="s">
        <v>372</v>
      </c>
      <c r="J13" s="9" t="s">
        <v>373</v>
      </c>
      <c r="K13" s="9" t="s">
        <v>374</v>
      </c>
      <c r="L13" s="9" t="s">
        <v>374</v>
      </c>
      <c r="M13" s="9" t="s">
        <v>374</v>
      </c>
      <c r="N13" s="9" t="s">
        <v>374</v>
      </c>
      <c r="O13" s="9" t="s">
        <v>374</v>
      </c>
    </row>
    <row r="14" spans="1:23" x14ac:dyDescent="0.25">
      <c r="D14" s="9" t="s">
        <v>149</v>
      </c>
      <c r="E14" s="9" t="s">
        <v>150</v>
      </c>
      <c r="F14" s="9" t="s">
        <v>151</v>
      </c>
      <c r="H14" s="9" t="s">
        <v>375</v>
      </c>
      <c r="I14" s="9" t="s">
        <v>376</v>
      </c>
      <c r="J14" s="9" t="s">
        <v>377</v>
      </c>
      <c r="K14" s="9" t="s">
        <v>174</v>
      </c>
      <c r="L14" s="9" t="s">
        <v>175</v>
      </c>
      <c r="M14" s="9" t="s">
        <v>176</v>
      </c>
      <c r="N14" s="9" t="s">
        <v>177</v>
      </c>
      <c r="O14" s="9" t="s">
        <v>178</v>
      </c>
    </row>
    <row r="15" spans="1:23" x14ac:dyDescent="0.25">
      <c r="D15" s="31" t="s">
        <v>230</v>
      </c>
      <c r="E15" s="31" t="s">
        <v>231</v>
      </c>
      <c r="F15" s="31" t="s">
        <v>179</v>
      </c>
      <c r="H15" s="46" t="str">
        <f>IF(H$13="Proposed",IF($E$11="September 2018",INDEX(PCLsProposed_Sept,MATCH($D15,PCLsProposed_ID,0),MATCH(H$14,PCLpropsedyears_September,0)),INDEX(PCLsProposed_April,MATCH($D15,PCLsProposed_ID,0),MATCH(H$14,PCLProposedyears_April,0))),IF(INDEX(PCLhistorical_data,MATCH($D15,PCLhistorical_ID,0),MATCH(H$14,PCLhistorical_years,0))="","",INDEX(PCLhistorical_data,MATCH($D15,PCLhistorical_ID,0),MATCH(H$14,PCLhistorical_years,0))))</f>
        <v/>
      </c>
      <c r="I15" s="46">
        <f t="shared" ref="H15:O24" si="0">IF(I$13="Proposed",IF($E$11="September 2018",INDEX(PCLsProposed_Sept,MATCH($D15,PCLsProposed_ID,0),MATCH(I$14,PCLpropsedyears_September,0)),INDEX(PCLsProposed_April,MATCH($D15,PCLsProposed_ID,0),MATCH(I$14,PCLProposedyears_April,0))),IF(INDEX(PCLhistorical_data,MATCH($D15,PCLhistorical_ID,0),MATCH(I$14,PCLhistorical_years,0))="","",INDEX(PCLhistorical_data,MATCH($D15,PCLhistorical_ID,0),MATCH(I$14,PCLhistorical_years,0))))</f>
        <v>201.2</v>
      </c>
      <c r="J15" s="46">
        <f t="shared" si="0"/>
        <v>162.21000000000004</v>
      </c>
      <c r="K15" s="46">
        <f t="shared" si="0"/>
        <v>173.00299999999999</v>
      </c>
      <c r="L15" s="46">
        <f t="shared" si="0"/>
        <v>156.19999999999999</v>
      </c>
      <c r="M15" s="46">
        <f t="shared" si="0"/>
        <v>150.19999999999999</v>
      </c>
      <c r="N15" s="46">
        <f t="shared" si="0"/>
        <v>144.19999999999999</v>
      </c>
      <c r="O15" s="46">
        <f t="shared" si="0"/>
        <v>138.19999999999999</v>
      </c>
      <c r="Q15" s="63"/>
      <c r="R15" s="63"/>
      <c r="S15" s="63"/>
      <c r="T15" s="63"/>
      <c r="U15" s="63"/>
      <c r="V15" s="63"/>
      <c r="W15" s="63"/>
    </row>
    <row r="16" spans="1:23" x14ac:dyDescent="0.25">
      <c r="D16" s="31" t="s">
        <v>156</v>
      </c>
      <c r="E16" s="31" t="s">
        <v>157</v>
      </c>
      <c r="F16" s="31" t="s">
        <v>179</v>
      </c>
      <c r="H16" s="46">
        <f t="shared" si="0"/>
        <v>183.3</v>
      </c>
      <c r="I16" s="46">
        <f t="shared" si="0"/>
        <v>191.6</v>
      </c>
      <c r="J16" s="46">
        <f t="shared" si="0"/>
        <v>177</v>
      </c>
      <c r="K16" s="46">
        <f t="shared" si="0"/>
        <v>181.8</v>
      </c>
      <c r="L16" s="46">
        <f t="shared" si="0"/>
        <v>178.8</v>
      </c>
      <c r="M16" s="46">
        <f t="shared" si="0"/>
        <v>175.7</v>
      </c>
      <c r="N16" s="46">
        <f t="shared" si="0"/>
        <v>172.6</v>
      </c>
      <c r="O16" s="46">
        <f t="shared" si="0"/>
        <v>169.6</v>
      </c>
      <c r="Q16" s="63"/>
      <c r="R16" s="63"/>
      <c r="S16" s="63"/>
      <c r="T16" s="63"/>
      <c r="U16" s="63"/>
      <c r="V16" s="63"/>
      <c r="W16" s="63"/>
    </row>
    <row r="17" spans="4:23" x14ac:dyDescent="0.25">
      <c r="D17" s="31" t="s">
        <v>234</v>
      </c>
      <c r="E17" s="31" t="s">
        <v>235</v>
      </c>
      <c r="F17" s="31" t="s">
        <v>179</v>
      </c>
      <c r="H17" s="46" t="str">
        <f t="shared" si="0"/>
        <v/>
      </c>
      <c r="I17" s="46">
        <f t="shared" si="0"/>
        <v>45.25</v>
      </c>
      <c r="J17" s="46">
        <f t="shared" si="0"/>
        <v>38.340000000000003</v>
      </c>
      <c r="K17" s="46">
        <f t="shared" si="0"/>
        <v>42</v>
      </c>
      <c r="L17" s="46">
        <f t="shared" si="0"/>
        <v>41</v>
      </c>
      <c r="M17" s="46">
        <f t="shared" si="0"/>
        <v>39.5</v>
      </c>
      <c r="N17" s="46">
        <f t="shared" si="0"/>
        <v>38</v>
      </c>
      <c r="O17" s="46">
        <f t="shared" si="0"/>
        <v>36.5</v>
      </c>
      <c r="Q17" s="63"/>
      <c r="R17" s="63"/>
      <c r="S17" s="63"/>
      <c r="T17" s="63"/>
      <c r="U17" s="63"/>
      <c r="V17" s="63"/>
      <c r="W17" s="63"/>
    </row>
    <row r="18" spans="4:23" x14ac:dyDescent="0.25">
      <c r="D18" s="31" t="s">
        <v>236</v>
      </c>
      <c r="E18" s="31" t="s">
        <v>237</v>
      </c>
      <c r="F18" s="31" t="s">
        <v>179</v>
      </c>
      <c r="H18" s="46" t="str">
        <f t="shared" si="0"/>
        <v/>
      </c>
      <c r="I18" s="46">
        <f t="shared" si="0"/>
        <v>15.762859473218432</v>
      </c>
      <c r="J18" s="46">
        <f t="shared" si="0"/>
        <v>14.67</v>
      </c>
      <c r="K18" s="46">
        <f t="shared" si="0"/>
        <v>14.55</v>
      </c>
      <c r="L18" s="46">
        <f t="shared" si="0"/>
        <v>14.23</v>
      </c>
      <c r="M18" s="46">
        <f t="shared" si="0"/>
        <v>13.79</v>
      </c>
      <c r="N18" s="46">
        <f t="shared" si="0"/>
        <v>13.35</v>
      </c>
      <c r="O18" s="46">
        <f t="shared" si="0"/>
        <v>12.91</v>
      </c>
      <c r="Q18" s="63"/>
      <c r="R18" s="63"/>
      <c r="S18" s="63"/>
      <c r="T18" s="63"/>
      <c r="U18" s="63"/>
      <c r="V18" s="63"/>
      <c r="W18" s="63"/>
    </row>
    <row r="19" spans="4:23" x14ac:dyDescent="0.25">
      <c r="D19" s="31" t="s">
        <v>160</v>
      </c>
      <c r="E19" s="31" t="s">
        <v>161</v>
      </c>
      <c r="F19" s="31" t="s">
        <v>179</v>
      </c>
      <c r="H19" s="46">
        <f t="shared" si="0"/>
        <v>138.6</v>
      </c>
      <c r="I19" s="46">
        <f t="shared" si="0"/>
        <v>131</v>
      </c>
      <c r="J19" s="46">
        <f t="shared" si="0"/>
        <v>135.41999999999999</v>
      </c>
      <c r="K19" s="46">
        <f t="shared" si="0"/>
        <v>137.1</v>
      </c>
      <c r="L19" s="46">
        <f t="shared" si="0"/>
        <v>134.4</v>
      </c>
      <c r="M19" s="46">
        <f t="shared" si="0"/>
        <v>130.19999999999999</v>
      </c>
      <c r="N19" s="46">
        <f t="shared" si="0"/>
        <v>126.1</v>
      </c>
      <c r="O19" s="46">
        <f t="shared" si="0"/>
        <v>121.9</v>
      </c>
      <c r="Q19" s="63"/>
      <c r="R19" s="63"/>
      <c r="S19" s="63"/>
      <c r="T19" s="63"/>
      <c r="U19" s="63"/>
      <c r="V19" s="112"/>
      <c r="W19" s="112"/>
    </row>
    <row r="20" spans="4:23" x14ac:dyDescent="0.25">
      <c r="D20" s="31" t="s">
        <v>162</v>
      </c>
      <c r="E20" s="31" t="s">
        <v>163</v>
      </c>
      <c r="F20" s="31" t="s">
        <v>179</v>
      </c>
      <c r="H20" s="46">
        <f t="shared" si="0"/>
        <v>66.2</v>
      </c>
      <c r="I20" s="46">
        <f t="shared" si="0"/>
        <v>63.1</v>
      </c>
      <c r="J20" s="46">
        <f t="shared" si="0"/>
        <v>62.59</v>
      </c>
      <c r="K20" s="46">
        <f t="shared" si="0"/>
        <v>61.9</v>
      </c>
      <c r="L20" s="46">
        <f t="shared" si="0"/>
        <v>60.4</v>
      </c>
      <c r="M20" s="46">
        <f t="shared" si="0"/>
        <v>58.2</v>
      </c>
      <c r="N20" s="46">
        <f t="shared" si="0"/>
        <v>56</v>
      </c>
      <c r="O20" s="46">
        <f t="shared" si="0"/>
        <v>53.8</v>
      </c>
      <c r="Q20" s="63"/>
      <c r="R20" s="63"/>
      <c r="S20" s="63"/>
      <c r="T20" s="63"/>
      <c r="U20" s="63"/>
      <c r="V20" s="112"/>
      <c r="W20" s="112"/>
    </row>
    <row r="21" spans="4:23" x14ac:dyDescent="0.25">
      <c r="D21" s="31" t="s">
        <v>238</v>
      </c>
      <c r="E21" s="31" t="s">
        <v>239</v>
      </c>
      <c r="F21" s="31" t="s">
        <v>179</v>
      </c>
      <c r="H21" s="46">
        <f t="shared" si="0"/>
        <v>35.270000000000003</v>
      </c>
      <c r="I21" s="46">
        <f t="shared" si="0"/>
        <v>28.48</v>
      </c>
      <c r="J21" s="46">
        <f t="shared" si="0"/>
        <v>31.6</v>
      </c>
      <c r="K21" s="46">
        <f t="shared" si="0"/>
        <v>33.5</v>
      </c>
      <c r="L21" s="46">
        <f t="shared" si="0"/>
        <v>32.1</v>
      </c>
      <c r="M21" s="46">
        <f t="shared" si="0"/>
        <v>30.7</v>
      </c>
      <c r="N21" s="46">
        <f t="shared" si="0"/>
        <v>29.3</v>
      </c>
      <c r="O21" s="46">
        <f t="shared" si="0"/>
        <v>27.9</v>
      </c>
      <c r="Q21" s="63"/>
      <c r="R21" s="63"/>
      <c r="S21" s="63"/>
      <c r="T21" s="63"/>
      <c r="U21" s="63"/>
      <c r="V21" s="112"/>
      <c r="W21" s="112"/>
    </row>
    <row r="22" spans="4:23" x14ac:dyDescent="0.25">
      <c r="D22" s="31" t="s">
        <v>164</v>
      </c>
      <c r="E22" s="31" t="s">
        <v>165</v>
      </c>
      <c r="F22" s="31" t="s">
        <v>179</v>
      </c>
      <c r="H22" s="46">
        <f t="shared" si="0"/>
        <v>24.2</v>
      </c>
      <c r="I22" s="46">
        <f t="shared" si="0"/>
        <v>27.5</v>
      </c>
      <c r="J22" s="46">
        <f t="shared" si="0"/>
        <v>24</v>
      </c>
      <c r="K22" s="46">
        <f t="shared" si="0"/>
        <v>23.8</v>
      </c>
      <c r="L22" s="46">
        <f t="shared" si="0"/>
        <v>23.3</v>
      </c>
      <c r="M22" s="46">
        <f t="shared" si="0"/>
        <v>22.6</v>
      </c>
      <c r="N22" s="46">
        <f t="shared" si="0"/>
        <v>21.8</v>
      </c>
      <c r="O22" s="46">
        <f t="shared" si="0"/>
        <v>21.1</v>
      </c>
      <c r="Q22" s="63"/>
      <c r="R22" s="63"/>
      <c r="S22" s="63"/>
      <c r="T22" s="63"/>
      <c r="U22" s="63"/>
      <c r="V22" s="112"/>
      <c r="W22" s="112"/>
    </row>
    <row r="23" spans="4:23" x14ac:dyDescent="0.25">
      <c r="D23" s="31" t="s">
        <v>240</v>
      </c>
      <c r="E23" s="31" t="s">
        <v>241</v>
      </c>
      <c r="F23" s="31" t="s">
        <v>179</v>
      </c>
      <c r="H23" s="46">
        <f t="shared" si="0"/>
        <v>88.1</v>
      </c>
      <c r="I23" s="46">
        <f t="shared" si="0"/>
        <v>86.9</v>
      </c>
      <c r="J23" s="46">
        <f t="shared" si="0"/>
        <v>86.6</v>
      </c>
      <c r="K23" s="46">
        <f t="shared" si="0"/>
        <v>87.3</v>
      </c>
      <c r="L23" s="46">
        <f t="shared" si="0"/>
        <v>87.1</v>
      </c>
      <c r="M23" s="46">
        <f t="shared" si="0"/>
        <v>85.8</v>
      </c>
      <c r="N23" s="46">
        <f t="shared" si="0"/>
        <v>83.1</v>
      </c>
      <c r="O23" s="46">
        <f t="shared" si="0"/>
        <v>79.099999999999994</v>
      </c>
      <c r="Q23" s="63"/>
      <c r="R23" s="63"/>
      <c r="S23" s="63"/>
      <c r="T23" s="63"/>
      <c r="U23" s="63"/>
      <c r="V23" s="112"/>
      <c r="W23" s="112"/>
    </row>
    <row r="24" spans="4:23" x14ac:dyDescent="0.25">
      <c r="D24" s="31" t="s">
        <v>242</v>
      </c>
      <c r="E24" s="31" t="s">
        <v>205</v>
      </c>
      <c r="F24" s="31" t="s">
        <v>179</v>
      </c>
      <c r="H24" s="46">
        <f t="shared" si="0"/>
        <v>102.6</v>
      </c>
      <c r="I24" s="46">
        <f t="shared" si="0"/>
        <v>102.9</v>
      </c>
      <c r="J24" s="46">
        <f t="shared" si="0"/>
        <v>102</v>
      </c>
      <c r="K24" s="46">
        <f t="shared" si="0"/>
        <v>102.3</v>
      </c>
      <c r="L24" s="46">
        <f t="shared" si="0"/>
        <v>99.1</v>
      </c>
      <c r="M24" s="46">
        <f t="shared" si="0"/>
        <v>95.9</v>
      </c>
      <c r="N24" s="46">
        <f t="shared" si="0"/>
        <v>92.7</v>
      </c>
      <c r="O24" s="46">
        <f t="shared" si="0"/>
        <v>89.6</v>
      </c>
      <c r="Q24" s="63"/>
      <c r="R24" s="63"/>
      <c r="S24" s="63"/>
      <c r="T24" s="63"/>
      <c r="U24" s="63"/>
      <c r="V24" s="112"/>
      <c r="W24" s="112"/>
    </row>
    <row r="25" spans="4:23" x14ac:dyDescent="0.25">
      <c r="D25" s="31" t="s">
        <v>243</v>
      </c>
      <c r="E25" s="31" t="s">
        <v>244</v>
      </c>
      <c r="F25" s="31" t="s">
        <v>179</v>
      </c>
      <c r="H25" s="46">
        <f t="shared" ref="H25:O33" si="1">IF(H$13="Proposed",IF($E$11="September 2018",INDEX(PCLsProposed_Sept,MATCH($D25,PCLsProposed_ID,0),MATCH(H$14,PCLpropsedyears_September,0)),INDEX(PCLsProposed_April,MATCH($D25,PCLsProposed_ID,0),MATCH(H$14,PCLProposedyears_April,0))),IF(INDEX(PCLhistorical_data,MATCH($D25,PCLhistorical_ID,0),MATCH(H$14,PCLhistorical_years,0))="","",INDEX(PCLhistorical_data,MATCH($D25,PCLhistorical_ID,0),MATCH(H$14,PCLhistorical_years,0))))</f>
        <v>70.7</v>
      </c>
      <c r="I25" s="46">
        <f t="shared" si="1"/>
        <v>70.959999999999994</v>
      </c>
      <c r="J25" s="46">
        <f t="shared" si="1"/>
        <v>71</v>
      </c>
      <c r="K25" s="46">
        <f t="shared" si="1"/>
        <v>69.3</v>
      </c>
      <c r="L25" s="46">
        <f t="shared" si="1"/>
        <v>67</v>
      </c>
      <c r="M25" s="46">
        <f t="shared" si="1"/>
        <v>63.5</v>
      </c>
      <c r="N25" s="46">
        <f t="shared" si="1"/>
        <v>60</v>
      </c>
      <c r="O25" s="46">
        <f t="shared" si="1"/>
        <v>56.5</v>
      </c>
      <c r="Q25" s="63"/>
      <c r="R25" s="63"/>
      <c r="S25" s="63"/>
      <c r="T25" s="63"/>
      <c r="U25" s="63"/>
      <c r="V25" s="112"/>
      <c r="W25" s="112"/>
    </row>
    <row r="26" spans="4:23" x14ac:dyDescent="0.25">
      <c r="D26" s="9" t="s">
        <v>245</v>
      </c>
      <c r="E26" s="31" t="s">
        <v>246</v>
      </c>
      <c r="F26" s="31" t="s">
        <v>179</v>
      </c>
      <c r="H26" s="46">
        <f t="shared" si="1"/>
        <v>14</v>
      </c>
      <c r="I26" s="46">
        <f t="shared" si="1"/>
        <v>15.02</v>
      </c>
      <c r="J26" s="46">
        <f t="shared" si="1"/>
        <v>15.340909090909093</v>
      </c>
      <c r="K26" s="46">
        <f t="shared" si="1"/>
        <v>13.4</v>
      </c>
      <c r="L26" s="46">
        <f t="shared" si="1"/>
        <v>13.1</v>
      </c>
      <c r="M26" s="46">
        <f t="shared" si="1"/>
        <v>12.7</v>
      </c>
      <c r="N26" s="46">
        <f t="shared" si="1"/>
        <v>12.3</v>
      </c>
      <c r="O26" s="46">
        <f t="shared" si="1"/>
        <v>11.9</v>
      </c>
      <c r="Q26" s="63"/>
      <c r="R26" s="63"/>
      <c r="S26" s="63"/>
      <c r="T26" s="63"/>
      <c r="U26" s="63"/>
      <c r="V26" s="112"/>
      <c r="W26" s="112"/>
    </row>
    <row r="27" spans="4:23" x14ac:dyDescent="0.25">
      <c r="D27" s="31" t="s">
        <v>247</v>
      </c>
      <c r="E27" s="31" t="s">
        <v>198</v>
      </c>
      <c r="F27" s="31" t="s">
        <v>179</v>
      </c>
      <c r="H27" s="46">
        <f t="shared" si="1"/>
        <v>401.14</v>
      </c>
      <c r="I27" s="46">
        <f t="shared" si="1"/>
        <v>416.63747469497969</v>
      </c>
      <c r="J27" s="46">
        <f t="shared" si="1"/>
        <v>410.80000000000007</v>
      </c>
      <c r="K27" s="46">
        <f t="shared" si="1"/>
        <v>382.2</v>
      </c>
      <c r="L27" s="46">
        <f t="shared" si="1"/>
        <v>376.5</v>
      </c>
      <c r="M27" s="46">
        <f t="shared" si="1"/>
        <v>365.5</v>
      </c>
      <c r="N27" s="46">
        <f t="shared" si="1"/>
        <v>346.9</v>
      </c>
      <c r="O27" s="46">
        <f t="shared" si="1"/>
        <v>332.1</v>
      </c>
      <c r="Q27" s="63"/>
      <c r="R27" s="63"/>
      <c r="S27" s="63"/>
      <c r="T27" s="63"/>
      <c r="U27" s="63"/>
      <c r="V27" s="112"/>
      <c r="W27" s="112"/>
    </row>
    <row r="28" spans="4:23" x14ac:dyDescent="0.25">
      <c r="D28" s="31" t="s">
        <v>166</v>
      </c>
      <c r="E28" s="31" t="s">
        <v>167</v>
      </c>
      <c r="F28" s="31" t="s">
        <v>179</v>
      </c>
      <c r="H28" s="46" t="str">
        <f t="shared" si="1"/>
        <v/>
      </c>
      <c r="I28" s="46">
        <f t="shared" si="1"/>
        <v>118.80924747859402</v>
      </c>
      <c r="J28" s="46">
        <f t="shared" si="1"/>
        <v>116.2</v>
      </c>
      <c r="K28" s="46">
        <f t="shared" si="1"/>
        <v>114.3</v>
      </c>
      <c r="L28" s="46">
        <f t="shared" si="1"/>
        <v>110.76960000000001</v>
      </c>
      <c r="M28" s="46">
        <f t="shared" si="1"/>
        <v>107.23440000000001</v>
      </c>
      <c r="N28" s="46">
        <f t="shared" si="1"/>
        <v>103.6992</v>
      </c>
      <c r="O28" s="46">
        <f t="shared" si="1"/>
        <v>100.164</v>
      </c>
      <c r="Q28" s="63"/>
      <c r="R28" s="63"/>
      <c r="S28" s="63"/>
      <c r="T28" s="63"/>
      <c r="U28" s="63"/>
      <c r="V28" s="112"/>
      <c r="W28" s="112"/>
    </row>
    <row r="29" spans="4:23" x14ac:dyDescent="0.25">
      <c r="D29" s="31" t="s">
        <v>248</v>
      </c>
      <c r="E29" s="31" t="s">
        <v>249</v>
      </c>
      <c r="F29" s="31" t="s">
        <v>179</v>
      </c>
      <c r="H29" s="46" t="str">
        <f t="shared" si="1"/>
        <v/>
      </c>
      <c r="I29" s="46">
        <f t="shared" si="1"/>
        <v>718.8</v>
      </c>
      <c r="J29" s="46">
        <f t="shared" si="1"/>
        <v>674.6</v>
      </c>
      <c r="K29" s="46">
        <f t="shared" si="1"/>
        <v>685</v>
      </c>
      <c r="L29" s="46">
        <f t="shared" si="1"/>
        <v>641</v>
      </c>
      <c r="M29" s="46">
        <f t="shared" si="1"/>
        <v>613</v>
      </c>
      <c r="N29" s="46">
        <f t="shared" si="1"/>
        <v>590</v>
      </c>
      <c r="O29" s="46">
        <f t="shared" si="1"/>
        <v>568</v>
      </c>
      <c r="Q29" s="63"/>
      <c r="R29" s="63"/>
      <c r="S29" s="63"/>
      <c r="T29" s="63"/>
      <c r="U29" s="63"/>
      <c r="V29" s="112"/>
      <c r="W29" s="112"/>
    </row>
    <row r="30" spans="4:23" x14ac:dyDescent="0.25">
      <c r="D30" s="31" t="s">
        <v>250</v>
      </c>
      <c r="E30" s="31" t="s">
        <v>190</v>
      </c>
      <c r="F30" s="31" t="s">
        <v>179</v>
      </c>
      <c r="H30" s="46">
        <f t="shared" si="1"/>
        <v>448.2</v>
      </c>
      <c r="I30" s="46">
        <f t="shared" si="1"/>
        <v>452</v>
      </c>
      <c r="J30" s="46">
        <f t="shared" si="1"/>
        <v>448.2</v>
      </c>
      <c r="K30" s="46">
        <f t="shared" si="1"/>
        <v>445.2</v>
      </c>
      <c r="L30" s="46">
        <f t="shared" si="1"/>
        <v>439.3</v>
      </c>
      <c r="M30" s="46">
        <f t="shared" si="1"/>
        <v>428.8</v>
      </c>
      <c r="N30" s="46">
        <f t="shared" si="1"/>
        <v>411.4</v>
      </c>
      <c r="O30" s="46">
        <f t="shared" si="1"/>
        <v>386.9</v>
      </c>
      <c r="Q30" s="63"/>
      <c r="R30" s="63"/>
      <c r="S30" s="63"/>
      <c r="T30" s="63"/>
      <c r="U30" s="63"/>
      <c r="V30" s="112"/>
      <c r="W30" s="112"/>
    </row>
    <row r="31" spans="4:23" x14ac:dyDescent="0.25">
      <c r="D31" s="31" t="s">
        <v>251</v>
      </c>
      <c r="E31" s="31" t="s">
        <v>252</v>
      </c>
      <c r="F31" s="31" t="s">
        <v>179</v>
      </c>
      <c r="H31" s="46">
        <f t="shared" si="1"/>
        <v>176.1</v>
      </c>
      <c r="I31" s="46">
        <f t="shared" si="1"/>
        <v>191.9</v>
      </c>
      <c r="J31" s="46">
        <f t="shared" si="1"/>
        <v>169</v>
      </c>
      <c r="K31" s="46">
        <f t="shared" si="1"/>
        <v>167.9</v>
      </c>
      <c r="L31" s="46">
        <f t="shared" si="1"/>
        <v>163.80000000000001</v>
      </c>
      <c r="M31" s="46">
        <f t="shared" si="1"/>
        <v>158.6</v>
      </c>
      <c r="N31" s="46">
        <f t="shared" si="1"/>
        <v>153.4</v>
      </c>
      <c r="O31" s="46">
        <f t="shared" si="1"/>
        <v>148.19999999999999</v>
      </c>
      <c r="Q31" s="63"/>
      <c r="R31" s="63"/>
      <c r="S31" s="63"/>
      <c r="T31" s="63"/>
      <c r="U31" s="63"/>
      <c r="V31" s="112"/>
      <c r="W31" s="112"/>
    </row>
    <row r="32" spans="4:23" x14ac:dyDescent="0.25">
      <c r="D32" s="31" t="s">
        <v>168</v>
      </c>
      <c r="E32" s="31" t="s">
        <v>169</v>
      </c>
      <c r="F32" s="31" t="s">
        <v>179</v>
      </c>
      <c r="H32" s="46">
        <f t="shared" si="1"/>
        <v>80.150000000000006</v>
      </c>
      <c r="I32" s="46">
        <f t="shared" si="1"/>
        <v>79.680000000000007</v>
      </c>
      <c r="J32" s="46">
        <f t="shared" si="1"/>
        <v>78.98</v>
      </c>
      <c r="K32" s="46">
        <f t="shared" si="1"/>
        <v>77.599999999999994</v>
      </c>
      <c r="L32" s="46">
        <f t="shared" si="1"/>
        <v>75.8</v>
      </c>
      <c r="M32" s="46">
        <f t="shared" si="1"/>
        <v>73.5</v>
      </c>
      <c r="N32" s="46">
        <f t="shared" si="1"/>
        <v>71.099999999999994</v>
      </c>
      <c r="O32" s="46">
        <f t="shared" si="1"/>
        <v>68.8</v>
      </c>
    </row>
    <row r="33" spans="1:23" x14ac:dyDescent="0.25">
      <c r="D33" s="31" t="s">
        <v>170</v>
      </c>
      <c r="E33" s="31" t="s">
        <v>171</v>
      </c>
      <c r="F33" s="31" t="s">
        <v>179</v>
      </c>
      <c r="H33" s="46">
        <f t="shared" si="1"/>
        <v>295.60000000000002</v>
      </c>
      <c r="I33" s="46">
        <f t="shared" si="1"/>
        <v>306.7</v>
      </c>
      <c r="J33" s="46">
        <f t="shared" si="1"/>
        <v>269</v>
      </c>
      <c r="K33" s="46">
        <f t="shared" si="1"/>
        <v>273.89999999999998</v>
      </c>
      <c r="L33" s="46">
        <f t="shared" si="1"/>
        <v>255.6</v>
      </c>
      <c r="M33" s="46">
        <f t="shared" si="1"/>
        <v>242.1</v>
      </c>
      <c r="N33" s="46">
        <f t="shared" si="1"/>
        <v>228.7</v>
      </c>
      <c r="O33" s="46">
        <f t="shared" si="1"/>
        <v>215.2</v>
      </c>
    </row>
    <row r="34" spans="1:23" x14ac:dyDescent="0.25">
      <c r="D34" s="31"/>
      <c r="E34" s="31"/>
      <c r="F34" s="31"/>
      <c r="H34" s="46"/>
      <c r="I34" s="46"/>
      <c r="J34" s="46"/>
      <c r="K34" s="46"/>
      <c r="L34" s="46"/>
      <c r="M34" s="46"/>
      <c r="N34" s="46"/>
      <c r="O34" s="46"/>
    </row>
    <row r="35" spans="1:23" ht="15" x14ac:dyDescent="0.35">
      <c r="A35" s="1" t="s">
        <v>409</v>
      </c>
    </row>
    <row r="37" spans="1:23" x14ac:dyDescent="0.25">
      <c r="H37" s="9" t="s">
        <v>372</v>
      </c>
      <c r="I37" s="9" t="s">
        <v>372</v>
      </c>
      <c r="J37" s="9" t="s">
        <v>373</v>
      </c>
      <c r="K37" s="9" t="s">
        <v>373</v>
      </c>
      <c r="L37" s="9" t="s">
        <v>373</v>
      </c>
      <c r="M37" s="9" t="s">
        <v>373</v>
      </c>
      <c r="N37" s="9" t="s">
        <v>373</v>
      </c>
      <c r="O37" s="9" t="s">
        <v>373</v>
      </c>
    </row>
    <row r="38" spans="1:23" x14ac:dyDescent="0.25">
      <c r="D38" s="9" t="s">
        <v>149</v>
      </c>
      <c r="E38" s="9" t="s">
        <v>150</v>
      </c>
      <c r="F38" s="9" t="s">
        <v>151</v>
      </c>
      <c r="H38" s="9" t="s">
        <v>375</v>
      </c>
      <c r="I38" s="9" t="s">
        <v>376</v>
      </c>
      <c r="J38" s="9" t="s">
        <v>377</v>
      </c>
      <c r="K38" s="9" t="s">
        <v>174</v>
      </c>
      <c r="L38" s="9" t="s">
        <v>175</v>
      </c>
      <c r="M38" s="9" t="s">
        <v>176</v>
      </c>
      <c r="N38" s="9" t="s">
        <v>177</v>
      </c>
      <c r="O38" s="9" t="s">
        <v>178</v>
      </c>
    </row>
    <row r="39" spans="1:23" x14ac:dyDescent="0.25">
      <c r="D39" s="31" t="s">
        <v>230</v>
      </c>
      <c r="E39" s="31" t="s">
        <v>231</v>
      </c>
      <c r="F39" s="31" t="s">
        <v>410</v>
      </c>
      <c r="H39" s="48">
        <f t="shared" ref="H39:O48" si="2">INDEX(Leakage_properties,MATCH($E39,Leakage_properties_companies,0),MATCH(H$38,Companydata_years,0))</f>
        <v>1500196</v>
      </c>
      <c r="I39" s="48">
        <f t="shared" si="2"/>
        <v>1517019</v>
      </c>
      <c r="J39" s="48">
        <f t="shared" si="2"/>
        <v>1526126</v>
      </c>
      <c r="K39" s="48">
        <f t="shared" si="2"/>
        <v>1546736</v>
      </c>
      <c r="L39" s="48">
        <f t="shared" si="2"/>
        <v>1563168</v>
      </c>
      <c r="M39" s="48">
        <f t="shared" si="2"/>
        <v>1579609</v>
      </c>
      <c r="N39" s="48">
        <f t="shared" si="2"/>
        <v>1596059</v>
      </c>
      <c r="O39" s="48">
        <f t="shared" si="2"/>
        <v>1612517</v>
      </c>
      <c r="Q39" s="63"/>
      <c r="R39" s="63"/>
      <c r="S39" s="63"/>
      <c r="T39" s="63"/>
      <c r="U39" s="63"/>
      <c r="V39" s="63"/>
      <c r="W39" s="63"/>
    </row>
    <row r="40" spans="1:23" x14ac:dyDescent="0.25">
      <c r="D40" s="31" t="s">
        <v>156</v>
      </c>
      <c r="E40" s="31" t="s">
        <v>157</v>
      </c>
      <c r="F40" s="31" t="s">
        <v>410</v>
      </c>
      <c r="H40" s="48">
        <f t="shared" si="2"/>
        <v>2195719</v>
      </c>
      <c r="I40" s="48">
        <f t="shared" si="2"/>
        <v>2215017</v>
      </c>
      <c r="J40" s="48">
        <f t="shared" si="2"/>
        <v>2238029</v>
      </c>
      <c r="K40" s="48">
        <f t="shared" si="2"/>
        <v>2270271</v>
      </c>
      <c r="L40" s="48">
        <f t="shared" si="2"/>
        <v>2306347</v>
      </c>
      <c r="M40" s="48">
        <f t="shared" si="2"/>
        <v>2344165</v>
      </c>
      <c r="N40" s="48">
        <f t="shared" si="2"/>
        <v>2381817</v>
      </c>
      <c r="O40" s="48">
        <f t="shared" si="2"/>
        <v>2416460</v>
      </c>
      <c r="Q40" s="63"/>
      <c r="R40" s="63"/>
      <c r="S40" s="63"/>
      <c r="T40" s="63"/>
      <c r="U40" s="63"/>
      <c r="V40" s="63"/>
      <c r="W40" s="63"/>
    </row>
    <row r="41" spans="1:23" x14ac:dyDescent="0.25">
      <c r="D41" s="31" t="s">
        <v>234</v>
      </c>
      <c r="E41" s="31" t="s">
        <v>235</v>
      </c>
      <c r="F41" s="31" t="s">
        <v>410</v>
      </c>
      <c r="H41" s="48">
        <f t="shared" si="2"/>
        <v>536138</v>
      </c>
      <c r="I41" s="48">
        <f t="shared" si="2"/>
        <v>542029</v>
      </c>
      <c r="J41" s="48">
        <f t="shared" si="2"/>
        <v>548095</v>
      </c>
      <c r="K41" s="48">
        <f t="shared" si="2"/>
        <v>554744</v>
      </c>
      <c r="L41" s="48">
        <f t="shared" si="2"/>
        <v>560504</v>
      </c>
      <c r="M41" s="48">
        <f t="shared" si="2"/>
        <v>566196</v>
      </c>
      <c r="N41" s="48">
        <f t="shared" si="2"/>
        <v>571773</v>
      </c>
      <c r="O41" s="48">
        <f t="shared" si="2"/>
        <v>577233</v>
      </c>
      <c r="Q41" s="63"/>
      <c r="R41" s="63"/>
      <c r="S41" s="63"/>
      <c r="T41" s="63"/>
      <c r="U41" s="63"/>
      <c r="V41" s="63"/>
      <c r="W41" s="63"/>
    </row>
    <row r="42" spans="1:23" x14ac:dyDescent="0.25">
      <c r="D42" s="31" t="s">
        <v>236</v>
      </c>
      <c r="E42" s="31" t="s">
        <v>237</v>
      </c>
      <c r="F42" s="31" t="s">
        <v>410</v>
      </c>
      <c r="H42" s="48">
        <f t="shared" si="2"/>
        <v>104868</v>
      </c>
      <c r="I42" s="48">
        <f t="shared" si="2"/>
        <v>105503</v>
      </c>
      <c r="J42" s="48">
        <f t="shared" si="2"/>
        <v>106200</v>
      </c>
      <c r="K42" s="48">
        <f t="shared" si="2"/>
        <v>106909</v>
      </c>
      <c r="L42" s="48">
        <f t="shared" si="2"/>
        <v>107673</v>
      </c>
      <c r="M42" s="48">
        <f t="shared" si="2"/>
        <v>108485</v>
      </c>
      <c r="N42" s="48">
        <f t="shared" si="2"/>
        <v>109311</v>
      </c>
      <c r="O42" s="48">
        <f t="shared" si="2"/>
        <v>110153</v>
      </c>
      <c r="Q42" s="63"/>
      <c r="R42" s="63"/>
      <c r="S42" s="63"/>
      <c r="T42" s="63"/>
      <c r="U42" s="63"/>
      <c r="V42" s="63"/>
      <c r="W42" s="63"/>
    </row>
    <row r="43" spans="1:23" x14ac:dyDescent="0.25">
      <c r="D43" s="31" t="s">
        <v>160</v>
      </c>
      <c r="E43" s="31" t="s">
        <v>161</v>
      </c>
      <c r="F43" s="31" t="s">
        <v>410</v>
      </c>
      <c r="H43" s="48">
        <f t="shared" si="2"/>
        <v>1211259</v>
      </c>
      <c r="I43" s="48">
        <f t="shared" si="2"/>
        <v>1214724.6882873101</v>
      </c>
      <c r="J43" s="48">
        <f t="shared" si="2"/>
        <v>1222491.8911627999</v>
      </c>
      <c r="K43" s="48">
        <f t="shared" si="2"/>
        <v>1231008.75781866</v>
      </c>
      <c r="L43" s="48">
        <f t="shared" si="2"/>
        <v>1239898.0796308499</v>
      </c>
      <c r="M43" s="48">
        <f>INDEX(Leakage_properties,MATCH($E43,Leakage_properties_companies,0),MATCH(M$38,Companydata_years,0))</f>
        <v>1248322.10929712</v>
      </c>
      <c r="N43" s="48">
        <f t="shared" si="2"/>
        <v>1256547.7477721099</v>
      </c>
      <c r="O43" s="48">
        <f t="shared" si="2"/>
        <v>1264677.7233966</v>
      </c>
      <c r="Q43" s="63"/>
      <c r="R43" s="63"/>
      <c r="S43" s="63"/>
      <c r="T43" s="63"/>
      <c r="U43" s="63"/>
      <c r="V43" s="112"/>
      <c r="W43" s="112"/>
    </row>
    <row r="44" spans="1:23" x14ac:dyDescent="0.25">
      <c r="D44" s="31" t="s">
        <v>162</v>
      </c>
      <c r="E44" s="31" t="s">
        <v>163</v>
      </c>
      <c r="F44" s="31" t="s">
        <v>410</v>
      </c>
      <c r="H44" s="48">
        <f t="shared" si="2"/>
        <v>807414</v>
      </c>
      <c r="I44" s="48">
        <f t="shared" si="2"/>
        <v>829311.31171268993</v>
      </c>
      <c r="J44" s="48">
        <f t="shared" si="2"/>
        <v>838575.10883719707</v>
      </c>
      <c r="K44" s="48">
        <f t="shared" si="2"/>
        <v>847638.24218133593</v>
      </c>
      <c r="L44" s="48">
        <f t="shared" si="2"/>
        <v>856116.92036915093</v>
      </c>
      <c r="M44" s="48">
        <f t="shared" si="2"/>
        <v>864516.89070287708</v>
      </c>
      <c r="N44" s="48">
        <f t="shared" si="2"/>
        <v>872477.25222788902</v>
      </c>
      <c r="O44" s="48">
        <f t="shared" si="2"/>
        <v>880701.27660340408</v>
      </c>
      <c r="Q44" s="63"/>
      <c r="R44" s="63"/>
      <c r="S44" s="63"/>
      <c r="T44" s="63"/>
      <c r="U44" s="63"/>
      <c r="V44" s="112"/>
      <c r="W44" s="112"/>
    </row>
    <row r="45" spans="1:23" x14ac:dyDescent="0.25">
      <c r="D45" s="31" t="s">
        <v>238</v>
      </c>
      <c r="E45" s="31" t="s">
        <v>239</v>
      </c>
      <c r="F45" s="31" t="s">
        <v>410</v>
      </c>
      <c r="H45" s="48">
        <f t="shared" si="2"/>
        <v>319806</v>
      </c>
      <c r="I45" s="48">
        <f t="shared" si="2"/>
        <v>322371</v>
      </c>
      <c r="J45" s="48">
        <f t="shared" si="2"/>
        <v>324871</v>
      </c>
      <c r="K45" s="48">
        <f t="shared" si="2"/>
        <v>326787</v>
      </c>
      <c r="L45" s="48">
        <f t="shared" si="2"/>
        <v>328671</v>
      </c>
      <c r="M45" s="48">
        <f t="shared" si="2"/>
        <v>303568</v>
      </c>
      <c r="N45" s="48">
        <f t="shared" si="2"/>
        <v>332502</v>
      </c>
      <c r="O45" s="48">
        <f t="shared" si="2"/>
        <v>334500</v>
      </c>
      <c r="Q45" s="63"/>
      <c r="R45" s="63"/>
      <c r="S45" s="63"/>
      <c r="T45" s="63"/>
      <c r="U45" s="63"/>
      <c r="V45" s="112"/>
      <c r="W45" s="112"/>
    </row>
    <row r="46" spans="1:23" x14ac:dyDescent="0.25">
      <c r="D46" s="31" t="s">
        <v>164</v>
      </c>
      <c r="E46" s="31" t="s">
        <v>165</v>
      </c>
      <c r="F46" s="31" t="s">
        <v>410</v>
      </c>
      <c r="H46" s="48">
        <f t="shared" si="2"/>
        <v>291352</v>
      </c>
      <c r="I46" s="48">
        <f t="shared" si="2"/>
        <v>295036</v>
      </c>
      <c r="J46" s="48">
        <f t="shared" si="2"/>
        <v>297091.5</v>
      </c>
      <c r="K46" s="48">
        <f t="shared" si="2"/>
        <v>299074</v>
      </c>
      <c r="L46" s="48">
        <f t="shared" si="2"/>
        <v>301150.5</v>
      </c>
      <c r="M46" s="48">
        <f t="shared" si="2"/>
        <v>303337.5</v>
      </c>
      <c r="N46" s="48">
        <f t="shared" si="2"/>
        <v>305583.5</v>
      </c>
      <c r="O46" s="48">
        <f t="shared" si="2"/>
        <v>308044.5</v>
      </c>
      <c r="Q46" s="63"/>
      <c r="R46" s="63"/>
      <c r="S46" s="63"/>
      <c r="T46" s="63"/>
      <c r="U46" s="63"/>
      <c r="V46" s="112"/>
      <c r="W46" s="112"/>
    </row>
    <row r="47" spans="1:23" x14ac:dyDescent="0.25">
      <c r="D47" s="31" t="s">
        <v>240</v>
      </c>
      <c r="E47" s="31" t="s">
        <v>241</v>
      </c>
      <c r="F47" s="31" t="s">
        <v>410</v>
      </c>
      <c r="H47" s="48">
        <f t="shared" si="2"/>
        <v>1013178</v>
      </c>
      <c r="I47" s="48">
        <f t="shared" si="2"/>
        <v>1017451.0776439101</v>
      </c>
      <c r="J47" s="48">
        <f t="shared" si="2"/>
        <v>1027222.4966532799</v>
      </c>
      <c r="K47" s="48">
        <f t="shared" si="2"/>
        <v>1037273.09906292</v>
      </c>
      <c r="L47" s="48">
        <f t="shared" si="2"/>
        <v>1047474.4511378799</v>
      </c>
      <c r="M47" s="48">
        <f t="shared" si="2"/>
        <v>1057828.7751004</v>
      </c>
      <c r="N47" s="48">
        <f t="shared" si="2"/>
        <v>1068338.38688086</v>
      </c>
      <c r="O47" s="48">
        <f t="shared" si="2"/>
        <v>1079005.4149933101</v>
      </c>
      <c r="Q47" s="63"/>
      <c r="R47" s="63"/>
      <c r="S47" s="63"/>
      <c r="T47" s="63"/>
      <c r="U47" s="63"/>
      <c r="V47" s="112"/>
      <c r="W47" s="112"/>
    </row>
    <row r="48" spans="1:23" x14ac:dyDescent="0.25">
      <c r="D48" s="31" t="s">
        <v>242</v>
      </c>
      <c r="E48" s="31" t="s">
        <v>205</v>
      </c>
      <c r="F48" s="31" t="s">
        <v>410</v>
      </c>
      <c r="H48" s="48">
        <f t="shared" si="2"/>
        <v>1114160</v>
      </c>
      <c r="I48" s="48">
        <f t="shared" si="2"/>
        <v>1121889</v>
      </c>
      <c r="J48" s="48">
        <f t="shared" si="2"/>
        <v>1129319</v>
      </c>
      <c r="K48" s="48">
        <f t="shared" si="2"/>
        <v>1143215</v>
      </c>
      <c r="L48" s="48">
        <f t="shared" si="2"/>
        <v>1156473</v>
      </c>
      <c r="M48" s="48">
        <f t="shared" si="2"/>
        <v>1169369</v>
      </c>
      <c r="N48" s="48">
        <f t="shared" si="2"/>
        <v>1182151</v>
      </c>
      <c r="O48" s="48">
        <f t="shared" si="2"/>
        <v>1194283</v>
      </c>
      <c r="Q48" s="63"/>
      <c r="R48" s="63"/>
      <c r="S48" s="63"/>
      <c r="T48" s="63"/>
      <c r="U48" s="63"/>
      <c r="V48" s="112"/>
      <c r="W48" s="112"/>
    </row>
    <row r="49" spans="1:23" x14ac:dyDescent="0.25">
      <c r="D49" s="31" t="s">
        <v>243</v>
      </c>
      <c r="E49" s="31" t="s">
        <v>244</v>
      </c>
      <c r="F49" s="31" t="s">
        <v>410</v>
      </c>
      <c r="H49" s="48">
        <f t="shared" ref="H49:O57" si="3">INDEX(Leakage_properties,MATCH($E49,Leakage_properties_companies,0),MATCH(H$38,Companydata_years,0))</f>
        <v>591235</v>
      </c>
      <c r="I49" s="48">
        <f t="shared" si="3"/>
        <v>597540</v>
      </c>
      <c r="J49" s="48">
        <f t="shared" si="3"/>
        <v>603973</v>
      </c>
      <c r="K49" s="48">
        <f>INDEX(Leakage_properties,MATCH($E49,Leakage_properties_companies,0),MATCH(K$38,Companydata_years,0))</f>
        <v>610210</v>
      </c>
      <c r="L49" s="48">
        <f t="shared" si="3"/>
        <v>616098</v>
      </c>
      <c r="M49" s="48">
        <f t="shared" si="3"/>
        <v>621983</v>
      </c>
      <c r="N49" s="48">
        <f t="shared" si="3"/>
        <v>627644</v>
      </c>
      <c r="O49" s="48">
        <f t="shared" si="3"/>
        <v>633097</v>
      </c>
      <c r="Q49" s="63"/>
      <c r="R49" s="63"/>
      <c r="S49" s="63"/>
      <c r="T49" s="63"/>
      <c r="U49" s="63"/>
      <c r="V49" s="112"/>
      <c r="W49" s="112"/>
    </row>
    <row r="50" spans="1:23" x14ac:dyDescent="0.25">
      <c r="D50" s="9" t="s">
        <v>245</v>
      </c>
      <c r="E50" s="31" t="s">
        <v>246</v>
      </c>
      <c r="F50" s="31" t="s">
        <v>410</v>
      </c>
      <c r="H50" s="48">
        <f t="shared" si="3"/>
        <v>144623</v>
      </c>
      <c r="I50" s="48">
        <f t="shared" si="3"/>
        <v>147304</v>
      </c>
      <c r="J50" s="48">
        <f t="shared" si="3"/>
        <v>149975</v>
      </c>
      <c r="K50" s="48">
        <f t="shared" si="3"/>
        <v>152647</v>
      </c>
      <c r="L50" s="48">
        <f t="shared" si="3"/>
        <v>155198</v>
      </c>
      <c r="M50" s="48">
        <f t="shared" si="3"/>
        <v>157367</v>
      </c>
      <c r="N50" s="48">
        <f t="shared" si="3"/>
        <v>159526</v>
      </c>
      <c r="O50" s="48">
        <f t="shared" si="3"/>
        <v>161695</v>
      </c>
      <c r="Q50" s="63"/>
      <c r="R50" s="63"/>
      <c r="S50" s="63"/>
      <c r="T50" s="63"/>
      <c r="U50" s="63"/>
      <c r="V50" s="112"/>
      <c r="W50" s="112"/>
    </row>
    <row r="51" spans="1:23" x14ac:dyDescent="0.25">
      <c r="D51" s="31" t="s">
        <v>247</v>
      </c>
      <c r="E51" s="31" t="s">
        <v>198</v>
      </c>
      <c r="F51" s="31" t="s">
        <v>410</v>
      </c>
      <c r="H51" s="48">
        <f t="shared" si="3"/>
        <v>3612193</v>
      </c>
      <c r="I51" s="48">
        <f t="shared" si="3"/>
        <v>3635718</v>
      </c>
      <c r="J51" s="48">
        <f t="shared" si="3"/>
        <v>3655568</v>
      </c>
      <c r="K51" s="48">
        <f t="shared" si="3"/>
        <v>3675808</v>
      </c>
      <c r="L51" s="48">
        <f t="shared" si="3"/>
        <v>3697557</v>
      </c>
      <c r="M51" s="48">
        <f t="shared" si="3"/>
        <v>3720721</v>
      </c>
      <c r="N51" s="48">
        <f t="shared" si="3"/>
        <v>3744301</v>
      </c>
      <c r="O51" s="48">
        <f t="shared" si="3"/>
        <v>3768295</v>
      </c>
      <c r="Q51" s="63"/>
      <c r="R51" s="63"/>
      <c r="S51" s="63"/>
      <c r="T51" s="63"/>
      <c r="U51" s="63"/>
      <c r="V51" s="112"/>
      <c r="W51" s="112"/>
    </row>
    <row r="52" spans="1:23" x14ac:dyDescent="0.25">
      <c r="D52" s="31" t="s">
        <v>166</v>
      </c>
      <c r="E52" s="31" t="s">
        <v>167</v>
      </c>
      <c r="F52" s="31" t="s">
        <v>410</v>
      </c>
      <c r="H52" s="48">
        <f t="shared" si="3"/>
        <v>1044365</v>
      </c>
      <c r="I52" s="48">
        <f t="shared" si="3"/>
        <v>1054403.1361593599</v>
      </c>
      <c r="J52" s="48">
        <f t="shared" si="3"/>
        <v>1063810.81262999</v>
      </c>
      <c r="K52" s="48">
        <f t="shared" si="3"/>
        <v>1073170.55233572</v>
      </c>
      <c r="L52" s="48">
        <f t="shared" si="3"/>
        <v>1082443.0438330502</v>
      </c>
      <c r="M52" s="48">
        <f t="shared" si="3"/>
        <v>1091662.1181744998</v>
      </c>
      <c r="N52" s="48">
        <f t="shared" si="3"/>
        <v>1100864.00360347</v>
      </c>
      <c r="O52" s="48">
        <f t="shared" si="3"/>
        <v>1109942.7233026898</v>
      </c>
      <c r="Q52" s="63"/>
      <c r="R52" s="63"/>
      <c r="S52" s="63"/>
      <c r="T52" s="63"/>
      <c r="U52" s="63"/>
      <c r="V52" s="112"/>
      <c r="W52" s="112"/>
    </row>
    <row r="53" spans="1:23" x14ac:dyDescent="0.25">
      <c r="D53" s="31" t="s">
        <v>248</v>
      </c>
      <c r="E53" s="31" t="s">
        <v>249</v>
      </c>
      <c r="F53" s="31" t="s">
        <v>410</v>
      </c>
      <c r="H53" s="48">
        <f t="shared" si="3"/>
        <v>3826422</v>
      </c>
      <c r="I53" s="48">
        <f t="shared" si="3"/>
        <v>3998468.5708761397</v>
      </c>
      <c r="J53" s="48">
        <f t="shared" si="3"/>
        <v>4047030.9935697201</v>
      </c>
      <c r="K53" s="48">
        <f t="shared" si="3"/>
        <v>4094735.0357331201</v>
      </c>
      <c r="L53" s="48">
        <f t="shared" si="3"/>
        <v>4139874.2539067599</v>
      </c>
      <c r="M53" s="48">
        <f t="shared" si="3"/>
        <v>4181830.5665547694</v>
      </c>
      <c r="N53" s="48">
        <f t="shared" si="3"/>
        <v>4222598.8756330395</v>
      </c>
      <c r="O53" s="48">
        <f t="shared" si="3"/>
        <v>4262568.2979499493</v>
      </c>
      <c r="Q53" s="63"/>
      <c r="R53" s="63"/>
      <c r="S53" s="63"/>
      <c r="T53" s="63"/>
      <c r="U53" s="63"/>
      <c r="V53" s="112"/>
      <c r="W53" s="112"/>
    </row>
    <row r="54" spans="1:23" x14ac:dyDescent="0.25">
      <c r="D54" s="31" t="s">
        <v>250</v>
      </c>
      <c r="E54" s="31" t="s">
        <v>190</v>
      </c>
      <c r="F54" s="31" t="s">
        <v>410</v>
      </c>
      <c r="H54" s="48">
        <f t="shared" si="3"/>
        <v>3313187</v>
      </c>
      <c r="I54" s="48">
        <f t="shared" si="3"/>
        <v>3333582.9862270597</v>
      </c>
      <c r="J54" s="48">
        <f t="shared" si="3"/>
        <v>3353758.9060355397</v>
      </c>
      <c r="K54" s="48">
        <f t="shared" si="3"/>
        <v>3375882.7119435598</v>
      </c>
      <c r="L54" s="48">
        <f t="shared" si="3"/>
        <v>3399566.0846273801</v>
      </c>
      <c r="M54" s="48">
        <f t="shared" si="3"/>
        <v>3423795.0089276503</v>
      </c>
      <c r="N54" s="48">
        <f t="shared" si="3"/>
        <v>3449110.4073376101</v>
      </c>
      <c r="O54" s="48">
        <f t="shared" si="3"/>
        <v>3475502.3599735498</v>
      </c>
      <c r="Q54" s="63"/>
      <c r="R54" s="63"/>
      <c r="S54" s="63"/>
      <c r="T54" s="63"/>
      <c r="U54" s="63"/>
      <c r="V54" s="112"/>
      <c r="W54" s="112"/>
    </row>
    <row r="55" spans="1:23" x14ac:dyDescent="0.25">
      <c r="D55" s="31" t="s">
        <v>251</v>
      </c>
      <c r="E55" s="31" t="s">
        <v>252</v>
      </c>
      <c r="F55" s="31" t="s">
        <v>410</v>
      </c>
      <c r="H55" s="48">
        <f t="shared" si="3"/>
        <v>1433501</v>
      </c>
      <c r="I55" s="48">
        <f t="shared" si="3"/>
        <v>1438892</v>
      </c>
      <c r="J55" s="48">
        <f t="shared" si="3"/>
        <v>1447454</v>
      </c>
      <c r="K55" s="48">
        <f t="shared" si="3"/>
        <v>1456235</v>
      </c>
      <c r="L55" s="48">
        <f t="shared" si="3"/>
        <v>1465168</v>
      </c>
      <c r="M55" s="48">
        <f t="shared" si="3"/>
        <v>1474250</v>
      </c>
      <c r="N55" s="48">
        <f t="shared" si="3"/>
        <v>1483370</v>
      </c>
      <c r="O55" s="48">
        <f t="shared" si="3"/>
        <v>1492524</v>
      </c>
      <c r="Q55" s="63"/>
      <c r="R55" s="63"/>
      <c r="S55" s="63"/>
      <c r="T55" s="63"/>
      <c r="U55" s="63"/>
      <c r="V55" s="112"/>
      <c r="W55" s="112"/>
    </row>
    <row r="56" spans="1:23" x14ac:dyDescent="0.25">
      <c r="D56" s="31" t="s">
        <v>168</v>
      </c>
      <c r="E56" s="31" t="s">
        <v>169</v>
      </c>
      <c r="F56" s="31" t="s">
        <v>410</v>
      </c>
      <c r="H56" s="48">
        <f t="shared" si="3"/>
        <v>615408</v>
      </c>
      <c r="I56" s="48">
        <f t="shared" si="3"/>
        <v>623314</v>
      </c>
      <c r="J56" s="48">
        <f t="shared" si="3"/>
        <v>629671</v>
      </c>
      <c r="K56" s="48">
        <f t="shared" si="3"/>
        <v>636075</v>
      </c>
      <c r="L56" s="48">
        <f t="shared" si="3"/>
        <v>642428</v>
      </c>
      <c r="M56" s="48">
        <f t="shared" si="3"/>
        <v>648560</v>
      </c>
      <c r="N56" s="48">
        <f t="shared" si="3"/>
        <v>654467</v>
      </c>
      <c r="O56" s="48">
        <f t="shared" si="3"/>
        <v>660203</v>
      </c>
    </row>
    <row r="57" spans="1:23" x14ac:dyDescent="0.25">
      <c r="D57" s="31" t="s">
        <v>170</v>
      </c>
      <c r="E57" s="31" t="s">
        <v>171</v>
      </c>
      <c r="F57" s="31" t="s">
        <v>410</v>
      </c>
      <c r="H57" s="48">
        <f t="shared" si="3"/>
        <v>2305318</v>
      </c>
      <c r="I57" s="48">
        <f t="shared" si="3"/>
        <v>2311352.28615813</v>
      </c>
      <c r="J57" s="48">
        <f t="shared" si="3"/>
        <v>2325421.35409036</v>
      </c>
      <c r="K57" s="48">
        <f t="shared" si="3"/>
        <v>2347407.7730576801</v>
      </c>
      <c r="L57" s="48">
        <f t="shared" si="3"/>
        <v>2367792.5834623501</v>
      </c>
      <c r="M57" s="48">
        <f t="shared" si="3"/>
        <v>2388277.9908109</v>
      </c>
      <c r="N57" s="48">
        <f t="shared" si="3"/>
        <v>2408727.37654704</v>
      </c>
      <c r="O57" s="48">
        <f t="shared" si="3"/>
        <v>2429219.4492581002</v>
      </c>
    </row>
    <row r="58" spans="1:23" x14ac:dyDescent="0.25">
      <c r="D58" s="31"/>
      <c r="E58" s="31"/>
      <c r="F58" s="31"/>
      <c r="H58" s="46"/>
      <c r="I58" s="46"/>
      <c r="J58" s="46"/>
      <c r="K58" s="46"/>
      <c r="L58" s="46"/>
      <c r="M58" s="46"/>
      <c r="N58" s="46"/>
      <c r="O58" s="46"/>
    </row>
    <row r="59" spans="1:23" ht="15" x14ac:dyDescent="0.35">
      <c r="A59" s="1" t="s">
        <v>411</v>
      </c>
    </row>
    <row r="61" spans="1:23" x14ac:dyDescent="0.25">
      <c r="H61" s="9" t="s">
        <v>372</v>
      </c>
      <c r="I61" s="9" t="s">
        <v>372</v>
      </c>
      <c r="J61" s="9" t="s">
        <v>373</v>
      </c>
      <c r="K61" s="9" t="s">
        <v>373</v>
      </c>
      <c r="L61" s="9" t="s">
        <v>373</v>
      </c>
      <c r="M61" s="9" t="s">
        <v>373</v>
      </c>
      <c r="N61" s="9" t="s">
        <v>373</v>
      </c>
      <c r="O61" s="9" t="s">
        <v>373</v>
      </c>
    </row>
    <row r="62" spans="1:23" x14ac:dyDescent="0.25">
      <c r="D62" s="9" t="s">
        <v>149</v>
      </c>
      <c r="E62" s="9" t="s">
        <v>150</v>
      </c>
      <c r="F62" s="9" t="s">
        <v>151</v>
      </c>
      <c r="H62" s="9" t="s">
        <v>375</v>
      </c>
      <c r="I62" s="9" t="s">
        <v>376</v>
      </c>
      <c r="J62" s="9" t="s">
        <v>377</v>
      </c>
      <c r="K62" s="9" t="s">
        <v>174</v>
      </c>
      <c r="L62" s="9" t="s">
        <v>175</v>
      </c>
      <c r="M62" s="9" t="s">
        <v>176</v>
      </c>
      <c r="N62" s="9" t="s">
        <v>177</v>
      </c>
      <c r="O62" s="9" t="s">
        <v>178</v>
      </c>
    </row>
    <row r="63" spans="1:23" x14ac:dyDescent="0.25">
      <c r="D63" s="31" t="s">
        <v>230</v>
      </c>
      <c r="E63" s="31" t="s">
        <v>231</v>
      </c>
      <c r="F63" s="31" t="s">
        <v>412</v>
      </c>
      <c r="H63" s="72" t="str">
        <f>IF(H15="","",(H15/H39)*million)</f>
        <v/>
      </c>
      <c r="I63" s="72">
        <f t="shared" ref="H63:O72" si="4">IF(I15="","",(I15/I39)*million)</f>
        <v>132.62853003159483</v>
      </c>
      <c r="J63" s="72">
        <f t="shared" si="4"/>
        <v>106.28873369564508</v>
      </c>
      <c r="K63" s="72">
        <f t="shared" si="4"/>
        <v>111.85037394875401</v>
      </c>
      <c r="L63" s="72">
        <f t="shared" si="4"/>
        <v>99.925279944318206</v>
      </c>
      <c r="M63" s="72">
        <f t="shared" si="4"/>
        <v>95.08682211863821</v>
      </c>
      <c r="N63" s="72">
        <f t="shared" si="4"/>
        <v>90.347537277757269</v>
      </c>
      <c r="O63" s="72">
        <f t="shared" si="4"/>
        <v>85.704522805030876</v>
      </c>
      <c r="Q63" s="25"/>
      <c r="R63" s="25"/>
      <c r="S63" s="25"/>
      <c r="T63" s="25"/>
      <c r="U63" s="25"/>
      <c r="V63" s="25"/>
      <c r="W63" s="25"/>
    </row>
    <row r="64" spans="1:23" x14ac:dyDescent="0.25">
      <c r="D64" s="31" t="s">
        <v>156</v>
      </c>
      <c r="E64" s="31" t="s">
        <v>157</v>
      </c>
      <c r="F64" s="31" t="s">
        <v>412</v>
      </c>
      <c r="H64" s="72">
        <f t="shared" si="4"/>
        <v>83.480627530207656</v>
      </c>
      <c r="I64" s="72">
        <f t="shared" si="4"/>
        <v>86.500464781985869</v>
      </c>
      <c r="J64" s="72">
        <f t="shared" si="4"/>
        <v>79.087447034868632</v>
      </c>
      <c r="K64" s="72">
        <f t="shared" si="4"/>
        <v>80.07854568903889</v>
      </c>
      <c r="L64" s="72">
        <f t="shared" si="4"/>
        <v>77.525194604281154</v>
      </c>
      <c r="M64" s="72">
        <f t="shared" si="4"/>
        <v>74.952061821586781</v>
      </c>
      <c r="N64" s="72">
        <f t="shared" si="4"/>
        <v>72.465684811217656</v>
      </c>
      <c r="O64" s="72">
        <f t="shared" si="4"/>
        <v>70.185312399129302</v>
      </c>
      <c r="Q64" s="25"/>
      <c r="R64" s="25"/>
      <c r="S64" s="25"/>
      <c r="T64" s="25"/>
      <c r="U64" s="25"/>
      <c r="V64" s="25"/>
      <c r="W64" s="25"/>
    </row>
    <row r="65" spans="4:23" x14ac:dyDescent="0.25">
      <c r="D65" s="31" t="s">
        <v>234</v>
      </c>
      <c r="E65" s="31" t="s">
        <v>235</v>
      </c>
      <c r="F65" s="31" t="s">
        <v>412</v>
      </c>
      <c r="H65" s="72" t="str">
        <f t="shared" si="4"/>
        <v/>
      </c>
      <c r="I65" s="72">
        <f t="shared" si="4"/>
        <v>83.48261808870005</v>
      </c>
      <c r="J65" s="72">
        <f t="shared" si="4"/>
        <v>69.951377042301061</v>
      </c>
      <c r="K65" s="72">
        <f t="shared" si="4"/>
        <v>75.710598041619207</v>
      </c>
      <c r="L65" s="72">
        <f t="shared" si="4"/>
        <v>73.148452107389062</v>
      </c>
      <c r="M65" s="72">
        <f t="shared" si="4"/>
        <v>69.763827367201458</v>
      </c>
      <c r="N65" s="72">
        <f t="shared" si="4"/>
        <v>66.45994127039927</v>
      </c>
      <c r="O65" s="72">
        <f t="shared" si="4"/>
        <v>63.232698061268152</v>
      </c>
      <c r="Q65" s="25"/>
      <c r="R65" s="25"/>
      <c r="S65" s="25"/>
      <c r="T65" s="25"/>
      <c r="U65" s="25"/>
      <c r="V65" s="25"/>
      <c r="W65" s="25"/>
    </row>
    <row r="66" spans="4:23" x14ac:dyDescent="0.25">
      <c r="D66" s="31" t="s">
        <v>236</v>
      </c>
      <c r="E66" s="31" t="s">
        <v>237</v>
      </c>
      <c r="F66" s="31" t="s">
        <v>412</v>
      </c>
      <c r="H66" s="72" t="str">
        <f t="shared" si="4"/>
        <v/>
      </c>
      <c r="I66" s="72">
        <f t="shared" si="4"/>
        <v>149.40674173453297</v>
      </c>
      <c r="J66" s="72">
        <f t="shared" si="4"/>
        <v>138.13559322033899</v>
      </c>
      <c r="K66" s="72">
        <f t="shared" si="4"/>
        <v>136.09705450429806</v>
      </c>
      <c r="L66" s="72">
        <f t="shared" si="4"/>
        <v>132.15940857968107</v>
      </c>
      <c r="M66" s="72">
        <f t="shared" si="4"/>
        <v>127.11434760565976</v>
      </c>
      <c r="N66" s="72">
        <f t="shared" si="4"/>
        <v>122.12860553832643</v>
      </c>
      <c r="O66" s="72">
        <f t="shared" si="4"/>
        <v>117.20062095449057</v>
      </c>
      <c r="Q66" s="25"/>
      <c r="R66" s="25"/>
      <c r="S66" s="25"/>
      <c r="T66" s="25"/>
      <c r="U66" s="25"/>
      <c r="V66" s="25"/>
      <c r="W66" s="25"/>
    </row>
    <row r="67" spans="4:23" x14ac:dyDescent="0.25">
      <c r="D67" s="31" t="s">
        <v>160</v>
      </c>
      <c r="E67" s="31" t="s">
        <v>161</v>
      </c>
      <c r="F67" s="31" t="s">
        <v>412</v>
      </c>
      <c r="H67" s="72">
        <f t="shared" si="4"/>
        <v>114.42639435496454</v>
      </c>
      <c r="I67" s="72">
        <f t="shared" si="4"/>
        <v>107.84336670122532</v>
      </c>
      <c r="J67" s="72">
        <f t="shared" si="4"/>
        <v>110.77374089671245</v>
      </c>
      <c r="K67" s="72">
        <f t="shared" si="4"/>
        <v>111.37207524253553</v>
      </c>
      <c r="L67" s="72">
        <f t="shared" si="4"/>
        <v>108.39600625884863</v>
      </c>
      <c r="M67" s="72">
        <f t="shared" si="4"/>
        <v>104.3000032045498</v>
      </c>
      <c r="N67" s="72">
        <f t="shared" si="4"/>
        <v>100.35432415805798</v>
      </c>
      <c r="O67" s="72">
        <f t="shared" si="4"/>
        <v>96.388192616066547</v>
      </c>
      <c r="Q67" s="25"/>
      <c r="R67" s="25"/>
      <c r="S67" s="25"/>
      <c r="T67" s="25"/>
      <c r="U67" s="25"/>
      <c r="V67" s="81"/>
      <c r="W67" s="81"/>
    </row>
    <row r="68" spans="4:23" x14ac:dyDescent="0.25">
      <c r="D68" s="31" t="s">
        <v>162</v>
      </c>
      <c r="E68" s="31" t="s">
        <v>163</v>
      </c>
      <c r="F68" s="31" t="s">
        <v>412</v>
      </c>
      <c r="H68" s="72">
        <f t="shared" si="4"/>
        <v>81.990156227164761</v>
      </c>
      <c r="I68" s="72">
        <f t="shared" si="4"/>
        <v>76.087229377935486</v>
      </c>
      <c r="J68" s="72">
        <f t="shared" si="4"/>
        <v>74.63851399881149</v>
      </c>
      <c r="K68" s="72">
        <f t="shared" si="4"/>
        <v>73.026436184267482</v>
      </c>
      <c r="L68" s="72">
        <f t="shared" si="4"/>
        <v>70.5511111425715</v>
      </c>
      <c r="M68" s="72">
        <f t="shared" si="4"/>
        <v>67.32083621024654</v>
      </c>
      <c r="N68" s="72">
        <f t="shared" si="4"/>
        <v>64.185054518043685</v>
      </c>
      <c r="O68" s="72">
        <f t="shared" si="4"/>
        <v>61.087682542587167</v>
      </c>
      <c r="Q68" s="25"/>
      <c r="R68" s="25"/>
      <c r="S68" s="25"/>
      <c r="T68" s="25"/>
      <c r="U68" s="25"/>
      <c r="V68" s="81"/>
      <c r="W68" s="81"/>
    </row>
    <row r="69" spans="4:23" x14ac:dyDescent="0.25">
      <c r="D69" s="31" t="s">
        <v>238</v>
      </c>
      <c r="E69" s="31" t="s">
        <v>239</v>
      </c>
      <c r="F69" s="31" t="s">
        <v>412</v>
      </c>
      <c r="H69" s="72">
        <f t="shared" si="4"/>
        <v>110.28561065145745</v>
      </c>
      <c r="I69" s="72">
        <f t="shared" si="4"/>
        <v>88.345415685654103</v>
      </c>
      <c r="J69" s="72">
        <f t="shared" si="4"/>
        <v>97.269377691452917</v>
      </c>
      <c r="K69" s="72">
        <f t="shared" si="4"/>
        <v>102.51325787133516</v>
      </c>
      <c r="L69" s="72">
        <f t="shared" si="4"/>
        <v>97.666055112863617</v>
      </c>
      <c r="M69" s="72">
        <f t="shared" si="4"/>
        <v>101.13055394507984</v>
      </c>
      <c r="N69" s="72">
        <f t="shared" si="4"/>
        <v>88.11977070814612</v>
      </c>
      <c r="O69" s="72">
        <f t="shared" si="4"/>
        <v>83.408071748878911</v>
      </c>
      <c r="Q69" s="25"/>
      <c r="R69" s="25"/>
      <c r="S69" s="25"/>
      <c r="T69" s="25"/>
      <c r="U69" s="25"/>
      <c r="V69" s="81"/>
      <c r="W69" s="81"/>
    </row>
    <row r="70" spans="4:23" x14ac:dyDescent="0.25">
      <c r="D70" s="31" t="s">
        <v>164</v>
      </c>
      <c r="E70" s="31" t="s">
        <v>165</v>
      </c>
      <c r="F70" s="31" t="s">
        <v>412</v>
      </c>
      <c r="H70" s="72">
        <f t="shared" si="4"/>
        <v>83.061039567258845</v>
      </c>
      <c r="I70" s="72">
        <f t="shared" si="4"/>
        <v>93.208964329776705</v>
      </c>
      <c r="J70" s="72">
        <f t="shared" si="4"/>
        <v>80.783193056684553</v>
      </c>
      <c r="K70" s="72">
        <f t="shared" si="4"/>
        <v>79.578967078381936</v>
      </c>
      <c r="L70" s="72">
        <f t="shared" si="4"/>
        <v>77.36995289730551</v>
      </c>
      <c r="M70" s="72">
        <f t="shared" si="4"/>
        <v>74.504471092430052</v>
      </c>
      <c r="N70" s="72">
        <f t="shared" si="4"/>
        <v>71.338930276012945</v>
      </c>
      <c r="O70" s="72">
        <f t="shared" si="4"/>
        <v>68.496597082564364</v>
      </c>
      <c r="Q70" s="25"/>
      <c r="R70" s="25"/>
      <c r="S70" s="25"/>
      <c r="T70" s="25"/>
      <c r="U70" s="25"/>
      <c r="V70" s="81"/>
      <c r="W70" s="81"/>
    </row>
    <row r="71" spans="4:23" x14ac:dyDescent="0.25">
      <c r="D71" s="31" t="s">
        <v>240</v>
      </c>
      <c r="E71" s="31" t="s">
        <v>241</v>
      </c>
      <c r="F71" s="31" t="s">
        <v>412</v>
      </c>
      <c r="H71" s="72">
        <f t="shared" si="4"/>
        <v>86.95411862476287</v>
      </c>
      <c r="I71" s="72">
        <f t="shared" si="4"/>
        <v>85.40951197499588</v>
      </c>
      <c r="J71" s="72">
        <f t="shared" si="4"/>
        <v>84.305007223016688</v>
      </c>
      <c r="K71" s="72">
        <f t="shared" si="4"/>
        <v>84.162984732629667</v>
      </c>
      <c r="L71" s="72">
        <f t="shared" si="4"/>
        <v>83.152386108685093</v>
      </c>
      <c r="M71" s="72">
        <f t="shared" si="4"/>
        <v>81.109534945158401</v>
      </c>
      <c r="N71" s="72">
        <f t="shared" si="4"/>
        <v>77.784343444421438</v>
      </c>
      <c r="O71" s="72">
        <f t="shared" si="4"/>
        <v>73.308251192131806</v>
      </c>
      <c r="Q71" s="25"/>
      <c r="R71" s="25"/>
      <c r="S71" s="25"/>
      <c r="T71" s="25"/>
      <c r="U71" s="25"/>
      <c r="V71" s="81"/>
      <c r="W71" s="81"/>
    </row>
    <row r="72" spans="4:23" x14ac:dyDescent="0.25">
      <c r="D72" s="31" t="s">
        <v>242</v>
      </c>
      <c r="E72" s="31" t="s">
        <v>205</v>
      </c>
      <c r="F72" s="31" t="s">
        <v>412</v>
      </c>
      <c r="H72" s="72">
        <f t="shared" si="4"/>
        <v>92.087312414733958</v>
      </c>
      <c r="I72" s="72">
        <f t="shared" si="4"/>
        <v>91.72030388033042</v>
      </c>
      <c r="J72" s="72">
        <f t="shared" si="4"/>
        <v>90.31991846413635</v>
      </c>
      <c r="K72" s="72">
        <f t="shared" si="4"/>
        <v>89.484480172146093</v>
      </c>
      <c r="L72" s="72">
        <f t="shared" si="4"/>
        <v>85.691581212877438</v>
      </c>
      <c r="M72" s="72">
        <f t="shared" si="4"/>
        <v>82.010041312878997</v>
      </c>
      <c r="N72" s="72">
        <f t="shared" si="4"/>
        <v>78.41637827993209</v>
      </c>
      <c r="O72" s="72">
        <f t="shared" si="4"/>
        <v>75.024093954280517</v>
      </c>
      <c r="Q72" s="25"/>
      <c r="R72" s="25"/>
      <c r="S72" s="25"/>
      <c r="T72" s="25"/>
      <c r="U72" s="25"/>
      <c r="V72" s="81"/>
      <c r="W72" s="81"/>
    </row>
    <row r="73" spans="4:23" x14ac:dyDescent="0.25">
      <c r="D73" s="31" t="s">
        <v>243</v>
      </c>
      <c r="E73" s="31" t="s">
        <v>244</v>
      </c>
      <c r="F73" s="31" t="s">
        <v>412</v>
      </c>
      <c r="H73" s="72">
        <f t="shared" ref="H73:O81" si="5">IF(H25="","",(H25/H49)*million)</f>
        <v>119.5802007661928</v>
      </c>
      <c r="I73" s="72">
        <f t="shared" si="5"/>
        <v>118.7535562472805</v>
      </c>
      <c r="J73" s="72">
        <f t="shared" si="5"/>
        <v>117.55492381281945</v>
      </c>
      <c r="K73" s="72">
        <f t="shared" si="5"/>
        <v>113.56746038249126</v>
      </c>
      <c r="L73" s="72">
        <f t="shared" si="5"/>
        <v>108.748932799652</v>
      </c>
      <c r="M73" s="72">
        <f t="shared" si="5"/>
        <v>102.09282247263994</v>
      </c>
      <c r="N73" s="72">
        <f t="shared" si="5"/>
        <v>95.595592405886137</v>
      </c>
      <c r="O73" s="72">
        <f t="shared" si="5"/>
        <v>89.243828354896635</v>
      </c>
      <c r="Q73" s="25"/>
      <c r="R73" s="25"/>
      <c r="S73" s="25"/>
      <c r="T73" s="25"/>
      <c r="U73" s="25"/>
      <c r="V73" s="81"/>
      <c r="W73" s="81"/>
    </row>
    <row r="74" spans="4:23" x14ac:dyDescent="0.25">
      <c r="D74" s="9" t="s">
        <v>245</v>
      </c>
      <c r="E74" s="31" t="s">
        <v>246</v>
      </c>
      <c r="F74" s="31" t="s">
        <v>412</v>
      </c>
      <c r="H74" s="72">
        <f t="shared" si="5"/>
        <v>96.80341301176162</v>
      </c>
      <c r="I74" s="72">
        <f t="shared" si="5"/>
        <v>101.96600228099712</v>
      </c>
      <c r="J74" s="72">
        <f t="shared" si="5"/>
        <v>102.2897755686554</v>
      </c>
      <c r="K74" s="72">
        <f t="shared" si="5"/>
        <v>87.784234213577733</v>
      </c>
      <c r="L74" s="72">
        <f t="shared" si="5"/>
        <v>84.408304230724625</v>
      </c>
      <c r="M74" s="72">
        <f t="shared" si="5"/>
        <v>80.703069893942185</v>
      </c>
      <c r="N74" s="72">
        <f t="shared" si="5"/>
        <v>77.103418878427348</v>
      </c>
      <c r="O74" s="72">
        <f t="shared" si="5"/>
        <v>73.59534926868487</v>
      </c>
      <c r="Q74" s="25"/>
      <c r="R74" s="25"/>
      <c r="S74" s="25"/>
      <c r="T74" s="25"/>
      <c r="U74" s="25"/>
      <c r="V74" s="81"/>
      <c r="W74" s="81"/>
    </row>
    <row r="75" spans="4:23" x14ac:dyDescent="0.25">
      <c r="D75" s="31" t="s">
        <v>247</v>
      </c>
      <c r="E75" s="31" t="s">
        <v>198</v>
      </c>
      <c r="F75" s="31" t="s">
        <v>412</v>
      </c>
      <c r="H75" s="72">
        <f t="shared" si="5"/>
        <v>111.05165200198327</v>
      </c>
      <c r="I75" s="72">
        <f t="shared" si="5"/>
        <v>114.59565199913186</v>
      </c>
      <c r="J75" s="72">
        <f t="shared" si="5"/>
        <v>112.37651713769243</v>
      </c>
      <c r="K75" s="72">
        <f t="shared" si="5"/>
        <v>103.97713917593084</v>
      </c>
      <c r="L75" s="72">
        <f t="shared" si="5"/>
        <v>101.82398810890543</v>
      </c>
      <c r="M75" s="72">
        <f t="shared" si="5"/>
        <v>98.233648800864131</v>
      </c>
      <c r="N75" s="72">
        <f t="shared" si="5"/>
        <v>92.647466109161627</v>
      </c>
      <c r="O75" s="72">
        <f t="shared" si="5"/>
        <v>88.130042897384627</v>
      </c>
      <c r="Q75" s="25"/>
      <c r="R75" s="25"/>
      <c r="S75" s="25"/>
      <c r="T75" s="25"/>
      <c r="U75" s="25"/>
      <c r="V75" s="81"/>
      <c r="W75" s="81"/>
    </row>
    <row r="76" spans="4:23" x14ac:dyDescent="0.25">
      <c r="D76" s="31" t="s">
        <v>166</v>
      </c>
      <c r="E76" s="31" t="s">
        <v>167</v>
      </c>
      <c r="F76" s="31" t="s">
        <v>412</v>
      </c>
      <c r="H76" s="72" t="str">
        <f t="shared" si="5"/>
        <v/>
      </c>
      <c r="I76" s="72">
        <f t="shared" si="5"/>
        <v>112.67914842453341</v>
      </c>
      <c r="J76" s="72">
        <f t="shared" si="5"/>
        <v>109.22994823931741</v>
      </c>
      <c r="K76" s="72">
        <f t="shared" si="5"/>
        <v>106.50683598355344</v>
      </c>
      <c r="L76" s="72">
        <f t="shared" si="5"/>
        <v>102.33295934699034</v>
      </c>
      <c r="M76" s="72">
        <f t="shared" si="5"/>
        <v>98.23039401542998</v>
      </c>
      <c r="N76" s="72">
        <f t="shared" si="5"/>
        <v>94.19801143516392</v>
      </c>
      <c r="O76" s="72">
        <f t="shared" si="5"/>
        <v>90.242494407240258</v>
      </c>
      <c r="Q76" s="25"/>
      <c r="R76" s="25"/>
      <c r="S76" s="25"/>
      <c r="T76" s="25"/>
      <c r="U76" s="25"/>
      <c r="V76" s="81"/>
      <c r="W76" s="81"/>
    </row>
    <row r="77" spans="4:23" x14ac:dyDescent="0.25">
      <c r="D77" s="31" t="s">
        <v>248</v>
      </c>
      <c r="E77" s="31" t="s">
        <v>249</v>
      </c>
      <c r="F77" s="31" t="s">
        <v>412</v>
      </c>
      <c r="H77" s="72" t="str">
        <f t="shared" si="5"/>
        <v/>
      </c>
      <c r="I77" s="72">
        <f t="shared" si="5"/>
        <v>179.76882580384952</v>
      </c>
      <c r="J77" s="72">
        <f t="shared" si="5"/>
        <v>166.690099747658</v>
      </c>
      <c r="K77" s="72">
        <f t="shared" si="5"/>
        <v>167.28799153602813</v>
      </c>
      <c r="L77" s="72">
        <f t="shared" si="5"/>
        <v>154.83562076676469</v>
      </c>
      <c r="M77" s="72">
        <f t="shared" si="5"/>
        <v>146.58652239586652</v>
      </c>
      <c r="N77" s="72">
        <f t="shared" si="5"/>
        <v>139.72437765866383</v>
      </c>
      <c r="O77" s="72">
        <f t="shared" si="5"/>
        <v>133.25299685477776</v>
      </c>
      <c r="Q77" s="25"/>
      <c r="R77" s="25"/>
      <c r="S77" s="25"/>
      <c r="T77" s="25"/>
      <c r="U77" s="25"/>
      <c r="V77" s="81"/>
      <c r="W77" s="81"/>
    </row>
    <row r="78" spans="4:23" x14ac:dyDescent="0.25">
      <c r="D78" s="31" t="s">
        <v>250</v>
      </c>
      <c r="E78" s="31" t="s">
        <v>190</v>
      </c>
      <c r="F78" s="31" t="s">
        <v>412</v>
      </c>
      <c r="H78" s="72">
        <f t="shared" si="5"/>
        <v>135.27760431270556</v>
      </c>
      <c r="I78" s="72">
        <f t="shared" si="5"/>
        <v>135.58984488085966</v>
      </c>
      <c r="J78" s="72">
        <f t="shared" si="5"/>
        <v>133.64109125238667</v>
      </c>
      <c r="K78" s="72">
        <f t="shared" si="5"/>
        <v>131.87661953566209</v>
      </c>
      <c r="L78" s="72">
        <f t="shared" si="5"/>
        <v>129.22237399251819</v>
      </c>
      <c r="M78" s="72">
        <f t="shared" si="5"/>
        <v>125.24114290776488</v>
      </c>
      <c r="N78" s="72">
        <f t="shared" si="5"/>
        <v>119.27713277162449</v>
      </c>
      <c r="O78" s="72">
        <f t="shared" si="5"/>
        <v>111.32203633518593</v>
      </c>
      <c r="Q78" s="25"/>
      <c r="R78" s="25"/>
      <c r="S78" s="25"/>
      <c r="T78" s="25"/>
      <c r="U78" s="25"/>
      <c r="V78" s="81"/>
      <c r="W78" s="81"/>
    </row>
    <row r="79" spans="4:23" x14ac:dyDescent="0.25">
      <c r="D79" s="31" t="s">
        <v>251</v>
      </c>
      <c r="E79" s="31" t="s">
        <v>252</v>
      </c>
      <c r="F79" s="31" t="s">
        <v>412</v>
      </c>
      <c r="H79" s="72">
        <f t="shared" si="5"/>
        <v>122.84609498005233</v>
      </c>
      <c r="I79" s="72">
        <f t="shared" si="5"/>
        <v>133.36650700678021</v>
      </c>
      <c r="J79" s="72">
        <f t="shared" si="5"/>
        <v>116.75673285645001</v>
      </c>
      <c r="K79" s="72">
        <f t="shared" si="5"/>
        <v>115.29732495098663</v>
      </c>
      <c r="L79" s="72">
        <f t="shared" si="5"/>
        <v>111.79605342186017</v>
      </c>
      <c r="M79" s="72">
        <f t="shared" si="5"/>
        <v>107.58012548753604</v>
      </c>
      <c r="N79" s="72">
        <f t="shared" si="5"/>
        <v>103.41317405637164</v>
      </c>
      <c r="O79" s="72">
        <f t="shared" si="5"/>
        <v>99.294885710380527</v>
      </c>
      <c r="Q79" s="25"/>
      <c r="R79" s="25"/>
      <c r="S79" s="25"/>
      <c r="T79" s="25"/>
      <c r="U79" s="25"/>
      <c r="V79" s="81"/>
      <c r="W79" s="81"/>
    </row>
    <row r="80" spans="4:23" x14ac:dyDescent="0.25">
      <c r="D80" s="31" t="s">
        <v>168</v>
      </c>
      <c r="E80" s="31" t="s">
        <v>169</v>
      </c>
      <c r="F80" s="31" t="s">
        <v>412</v>
      </c>
      <c r="H80" s="72">
        <f t="shared" si="5"/>
        <v>130.23880092556482</v>
      </c>
      <c r="I80" s="72">
        <f t="shared" si="5"/>
        <v>127.83284187423995</v>
      </c>
      <c r="J80" s="72">
        <f t="shared" si="5"/>
        <v>125.43058200234728</v>
      </c>
      <c r="K80" s="72">
        <f t="shared" si="5"/>
        <v>121.99819203710254</v>
      </c>
      <c r="L80" s="72">
        <f t="shared" si="5"/>
        <v>117.98987590827298</v>
      </c>
      <c r="M80" s="72">
        <f t="shared" si="5"/>
        <v>113.32798815838164</v>
      </c>
      <c r="N80" s="72">
        <f t="shared" si="5"/>
        <v>108.63802147396277</v>
      </c>
      <c r="O80" s="72">
        <f t="shared" si="5"/>
        <v>104.21037165841415</v>
      </c>
      <c r="Q80" s="25"/>
      <c r="R80" s="25"/>
      <c r="S80" s="25"/>
      <c r="T80" s="25"/>
      <c r="U80" s="25"/>
      <c r="V80" s="25"/>
      <c r="W80" s="25"/>
    </row>
    <row r="81" spans="1:23" x14ac:dyDescent="0.25">
      <c r="D81" s="31" t="s">
        <v>170</v>
      </c>
      <c r="E81" s="31" t="s">
        <v>171</v>
      </c>
      <c r="F81" s="31" t="s">
        <v>412</v>
      </c>
      <c r="H81" s="72">
        <f t="shared" si="5"/>
        <v>128.22526002920208</v>
      </c>
      <c r="I81" s="72">
        <f t="shared" si="5"/>
        <v>132.69288365807222</v>
      </c>
      <c r="J81" s="72">
        <f t="shared" si="5"/>
        <v>115.67796069595538</v>
      </c>
      <c r="K81" s="72">
        <f t="shared" si="5"/>
        <v>116.68190041103257</v>
      </c>
      <c r="L81" s="72">
        <f t="shared" si="5"/>
        <v>107.94864456676521</v>
      </c>
      <c r="M81" s="72">
        <f t="shared" si="5"/>
        <v>101.37010889498629</v>
      </c>
      <c r="N81" s="72">
        <f t="shared" si="5"/>
        <v>94.946402912498186</v>
      </c>
      <c r="O81" s="72">
        <f t="shared" si="5"/>
        <v>88.58812655469373</v>
      </c>
      <c r="Q81" s="25"/>
      <c r="R81" s="25"/>
      <c r="S81" s="25"/>
      <c r="T81" s="25"/>
      <c r="U81" s="25"/>
      <c r="V81" s="25"/>
      <c r="W81" s="25"/>
    </row>
    <row r="82" spans="1:23" x14ac:dyDescent="0.25">
      <c r="D82" s="31"/>
      <c r="E82" s="31"/>
      <c r="F82" s="31"/>
      <c r="H82" s="46"/>
      <c r="I82" s="46"/>
      <c r="J82" s="46"/>
      <c r="K82" s="46"/>
      <c r="L82" s="46"/>
      <c r="M82" s="46"/>
      <c r="N82" s="46"/>
      <c r="O82" s="46"/>
    </row>
    <row r="83" spans="1:23" ht="15" x14ac:dyDescent="0.35">
      <c r="A83" s="1" t="s">
        <v>378</v>
      </c>
      <c r="D83" s="31"/>
      <c r="E83" s="31"/>
      <c r="F83" s="31"/>
      <c r="H83" s="28"/>
      <c r="I83" s="28"/>
      <c r="J83" s="28"/>
      <c r="K83" s="28"/>
      <c r="L83" s="28"/>
      <c r="M83" s="28"/>
      <c r="N83" s="28"/>
      <c r="O83" s="28"/>
    </row>
    <row r="84" spans="1:23" ht="13.8" x14ac:dyDescent="0.3">
      <c r="B84" s="2" t="s">
        <v>379</v>
      </c>
      <c r="C84" s="2"/>
      <c r="D84" s="31"/>
      <c r="E84" s="31"/>
      <c r="F84" s="31"/>
      <c r="H84" s="28"/>
      <c r="I84" s="28"/>
      <c r="J84" s="28"/>
      <c r="K84" s="28"/>
      <c r="L84" s="28"/>
      <c r="M84" s="28"/>
      <c r="N84" s="28"/>
      <c r="O84" s="28"/>
    </row>
    <row r="85" spans="1:23" x14ac:dyDescent="0.25">
      <c r="C85" s="4" t="s">
        <v>380</v>
      </c>
      <c r="D85" s="31"/>
      <c r="E85" s="31"/>
      <c r="F85" s="31"/>
      <c r="H85" s="28"/>
      <c r="I85" s="28"/>
      <c r="J85" s="28"/>
    </row>
    <row r="86" spans="1:23" x14ac:dyDescent="0.25">
      <c r="D86" s="31"/>
      <c r="E86" s="31"/>
      <c r="F86" s="31"/>
      <c r="H86" s="28"/>
      <c r="I86" s="28"/>
      <c r="J86" s="28"/>
    </row>
    <row r="87" spans="1:23" x14ac:dyDescent="0.25">
      <c r="D87" s="31"/>
      <c r="E87" s="31"/>
      <c r="F87" s="31"/>
      <c r="H87" s="9" t="s">
        <v>372</v>
      </c>
      <c r="I87" s="9" t="s">
        <v>372</v>
      </c>
      <c r="J87" s="9" t="s">
        <v>373</v>
      </c>
      <c r="K87" s="9" t="s">
        <v>374</v>
      </c>
      <c r="L87" s="9" t="s">
        <v>374</v>
      </c>
      <c r="M87" s="9" t="s">
        <v>374</v>
      </c>
      <c r="N87" s="9" t="s">
        <v>374</v>
      </c>
      <c r="O87" s="9" t="s">
        <v>374</v>
      </c>
    </row>
    <row r="88" spans="1:23" x14ac:dyDescent="0.25">
      <c r="F88" s="21" t="s">
        <v>151</v>
      </c>
      <c r="H88" s="9" t="s">
        <v>375</v>
      </c>
      <c r="I88" s="9" t="s">
        <v>376</v>
      </c>
      <c r="J88" s="9" t="s">
        <v>377</v>
      </c>
      <c r="K88" s="9" t="s">
        <v>174</v>
      </c>
      <c r="L88" s="9" t="s">
        <v>175</v>
      </c>
      <c r="M88" s="9" t="s">
        <v>176</v>
      </c>
      <c r="N88" s="9" t="s">
        <v>177</v>
      </c>
      <c r="O88" s="9" t="s">
        <v>178</v>
      </c>
    </row>
    <row r="89" spans="1:23" x14ac:dyDescent="0.25">
      <c r="E89" s="9" t="s">
        <v>381</v>
      </c>
      <c r="F89" s="31" t="s">
        <v>412</v>
      </c>
      <c r="H89" s="25">
        <f>MIN(H63:H81)</f>
        <v>81.990156227164761</v>
      </c>
      <c r="I89" s="25">
        <f t="shared" ref="I89:O89" si="6">MIN(I63:I81)</f>
        <v>76.087229377935486</v>
      </c>
      <c r="J89" s="25">
        <f t="shared" si="6"/>
        <v>69.951377042301061</v>
      </c>
      <c r="K89" s="25">
        <f t="shared" si="6"/>
        <v>73.026436184267482</v>
      </c>
      <c r="L89" s="25">
        <f t="shared" si="6"/>
        <v>70.5511111425715</v>
      </c>
      <c r="M89" s="25">
        <f t="shared" si="6"/>
        <v>67.32083621024654</v>
      </c>
      <c r="N89" s="25">
        <f t="shared" si="6"/>
        <v>64.185054518043685</v>
      </c>
      <c r="O89" s="25">
        <f t="shared" si="6"/>
        <v>61.087682542587167</v>
      </c>
    </row>
    <row r="90" spans="1:23" ht="13.8" thickBot="1" x14ac:dyDescent="0.3"/>
    <row r="91" spans="1:23" ht="13.8" thickBot="1" x14ac:dyDescent="0.3">
      <c r="E91" s="64" t="s">
        <v>382</v>
      </c>
      <c r="F91" s="67">
        <f>MIN(H89:I89, K89)</f>
        <v>73.026436184267482</v>
      </c>
    </row>
    <row r="93" spans="1:23" ht="13.8" x14ac:dyDescent="0.3">
      <c r="B93" s="2" t="s">
        <v>383</v>
      </c>
    </row>
    <row r="94" spans="1:23" x14ac:dyDescent="0.25">
      <c r="C94" s="4" t="s">
        <v>384</v>
      </c>
    </row>
    <row r="95" spans="1:23" x14ac:dyDescent="0.25">
      <c r="C95" s="4"/>
    </row>
    <row r="96" spans="1:23" x14ac:dyDescent="0.25">
      <c r="E96" s="18" t="s">
        <v>121</v>
      </c>
      <c r="F96" s="121">
        <f>frontiershift</f>
        <v>1.3785667427973047E-2</v>
      </c>
    </row>
    <row r="97" spans="2:15" ht="13.8" thickBot="1" x14ac:dyDescent="0.3"/>
    <row r="98" spans="2:15" ht="13.8" thickBot="1" x14ac:dyDescent="0.3">
      <c r="E98" s="64" t="s">
        <v>385</v>
      </c>
      <c r="F98" s="67">
        <f>F91*(1-F96)</f>
        <v>72.01971802158107</v>
      </c>
    </row>
    <row r="100" spans="2:15" ht="13.8" x14ac:dyDescent="0.3">
      <c r="B100" s="2" t="s">
        <v>386</v>
      </c>
    </row>
    <row r="101" spans="2:15" x14ac:dyDescent="0.25">
      <c r="C101" s="4" t="s">
        <v>387</v>
      </c>
    </row>
    <row r="102" spans="2:15" x14ac:dyDescent="0.25">
      <c r="C102" s="4" t="s">
        <v>388</v>
      </c>
    </row>
    <row r="104" spans="2:15" x14ac:dyDescent="0.25">
      <c r="H104" s="9" t="s">
        <v>372</v>
      </c>
      <c r="I104" s="9" t="s">
        <v>372</v>
      </c>
      <c r="J104" s="9" t="s">
        <v>373</v>
      </c>
      <c r="K104" s="9" t="s">
        <v>374</v>
      </c>
      <c r="L104" s="9" t="s">
        <v>374</v>
      </c>
      <c r="M104" s="9" t="s">
        <v>374</v>
      </c>
      <c r="N104" s="9" t="s">
        <v>374</v>
      </c>
      <c r="O104" s="9" t="s">
        <v>374</v>
      </c>
    </row>
    <row r="105" spans="2:15" x14ac:dyDescent="0.25">
      <c r="F105" s="9" t="s">
        <v>151</v>
      </c>
      <c r="H105" s="9" t="s">
        <v>375</v>
      </c>
      <c r="I105" s="9" t="s">
        <v>376</v>
      </c>
      <c r="J105" s="9" t="s">
        <v>377</v>
      </c>
      <c r="K105" s="9" t="s">
        <v>174</v>
      </c>
      <c r="L105" s="9" t="s">
        <v>175</v>
      </c>
      <c r="M105" s="9" t="s">
        <v>176</v>
      </c>
      <c r="N105" s="9" t="s">
        <v>177</v>
      </c>
      <c r="O105" s="9" t="s">
        <v>178</v>
      </c>
    </row>
    <row r="106" spans="2:15" x14ac:dyDescent="0.25">
      <c r="E106" s="9" t="s">
        <v>389</v>
      </c>
      <c r="F106" s="31" t="s">
        <v>412</v>
      </c>
      <c r="H106" s="25">
        <f>_xlfn.PERCENTILE.INC(H$63:H$81,0.25)</f>
        <v>88.237417072255639</v>
      </c>
      <c r="I106" s="25">
        <f t="shared" ref="I106:O106" si="7">_xlfn.PERCENTILE.INC(I$63:I$81,0.25)</f>
        <v>90.032859782992261</v>
      </c>
      <c r="J106" s="25">
        <f t="shared" si="7"/>
        <v>87.312462843576526</v>
      </c>
      <c r="K106" s="25">
        <f t="shared" si="7"/>
        <v>85.973609473103693</v>
      </c>
      <c r="L106" s="25">
        <f t="shared" si="7"/>
        <v>83.780345169704859</v>
      </c>
      <c r="M106" s="25">
        <f t="shared" si="7"/>
        <v>80.906302419550286</v>
      </c>
      <c r="N106" s="25">
        <f t="shared" si="7"/>
        <v>77.4438811614244</v>
      </c>
      <c r="O106" s="25">
        <f t="shared" si="7"/>
        <v>73.451800230408338</v>
      </c>
    </row>
    <row r="107" spans="2:15" x14ac:dyDescent="0.25">
      <c r="E107" s="9" t="s">
        <v>390</v>
      </c>
      <c r="F107" s="31" t="s">
        <v>412</v>
      </c>
      <c r="H107" s="25">
        <f>_xlfn.PERCENTILE.INC(H$63:H$81,0.75)</f>
        <v>122.02962142658745</v>
      </c>
      <c r="I107" s="25">
        <f t="shared" ref="I107:O107" si="8">_xlfn.PERCENTILE.INC(I$63:I$81,0.75)</f>
        <v>132.66070684483353</v>
      </c>
      <c r="J107" s="25">
        <f t="shared" si="8"/>
        <v>117.15582833463473</v>
      </c>
      <c r="K107" s="25">
        <f t="shared" si="8"/>
        <v>115.9896126810096</v>
      </c>
      <c r="L107" s="25">
        <f t="shared" si="8"/>
        <v>110.27249311075607</v>
      </c>
      <c r="M107" s="25">
        <f t="shared" si="8"/>
        <v>105.94006434604292</v>
      </c>
      <c r="N107" s="25">
        <f t="shared" si="8"/>
        <v>101.88374910721481</v>
      </c>
      <c r="O107" s="25">
        <f t="shared" si="8"/>
        <v>97.84153916322353</v>
      </c>
    </row>
    <row r="109" spans="2:15" x14ac:dyDescent="0.25">
      <c r="E109" s="9" t="s">
        <v>391</v>
      </c>
      <c r="F109" s="9" t="s">
        <v>392</v>
      </c>
      <c r="H109" s="34"/>
      <c r="I109" s="34">
        <f>(I106/H106-1)</f>
        <v>2.0347861149044855E-2</v>
      </c>
      <c r="J109" s="34">
        <f>(J106/I106-1)</f>
        <v>-3.0215600681492871E-2</v>
      </c>
      <c r="K109" s="34">
        <f>(K106/J106-1)</f>
        <v>-1.533404655955517E-2</v>
      </c>
      <c r="L109" s="34">
        <f t="shared" ref="L109:O109" si="9">(L106/K106-1)</f>
        <v>-2.5510901738806102E-2</v>
      </c>
      <c r="M109" s="34">
        <f t="shared" si="9"/>
        <v>-3.4304498797813832E-2</v>
      </c>
      <c r="N109" s="34">
        <f t="shared" si="9"/>
        <v>-4.2795445528718501E-2</v>
      </c>
      <c r="O109" s="34">
        <f t="shared" si="9"/>
        <v>-5.1548048356395593E-2</v>
      </c>
    </row>
    <row r="112" spans="2:15" ht="13.8" x14ac:dyDescent="0.3">
      <c r="C112" s="107" t="s">
        <v>413</v>
      </c>
    </row>
    <row r="113" spans="3:21" x14ac:dyDescent="0.25">
      <c r="C113" s="4"/>
      <c r="D113" s="4" t="s">
        <v>414</v>
      </c>
    </row>
    <row r="114" spans="3:21" ht="13.8" x14ac:dyDescent="0.3">
      <c r="C114" s="107"/>
    </row>
    <row r="115" spans="3:21" ht="13.8" x14ac:dyDescent="0.3">
      <c r="C115" s="107"/>
      <c r="D115" s="9" t="s">
        <v>149</v>
      </c>
      <c r="E115" s="9" t="s">
        <v>415</v>
      </c>
      <c r="F115" s="9" t="s">
        <v>151</v>
      </c>
      <c r="K115" s="9" t="s">
        <v>174</v>
      </c>
      <c r="L115" s="9" t="s">
        <v>175</v>
      </c>
      <c r="M115" s="9" t="s">
        <v>176</v>
      </c>
      <c r="N115" s="9" t="s">
        <v>177</v>
      </c>
      <c r="O115" s="9" t="s">
        <v>178</v>
      </c>
    </row>
    <row r="116" spans="3:21" x14ac:dyDescent="0.25">
      <c r="D116" s="31" t="s">
        <v>156</v>
      </c>
      <c r="E116" s="31" t="s">
        <v>157</v>
      </c>
      <c r="F116" s="31" t="s">
        <v>179</v>
      </c>
      <c r="J116" s="53"/>
      <c r="K116" s="25">
        <f t="shared" ref="K116:K122" si="10">($F$98*INDEX(Leakage_properties,MATCH($E116,Leakage_properties_companies,0),MATCH(K$115,Companydata_years,0)))/million</f>
        <v>163.50427725257288</v>
      </c>
      <c r="L116" s="25">
        <f>K116*(1-ABS(L$109))</f>
        <v>159.33313570170799</v>
      </c>
      <c r="M116" s="25">
        <f t="shared" ref="M116:O116" si="11">L116*(1-ABS(M$109))</f>
        <v>153.86729233957684</v>
      </c>
      <c r="N116" s="25">
        <f t="shared" si="11"/>
        <v>147.28247301160707</v>
      </c>
      <c r="O116" s="25">
        <f t="shared" si="11"/>
        <v>139.69034897075522</v>
      </c>
    </row>
    <row r="117" spans="3:21" x14ac:dyDescent="0.25">
      <c r="D117" s="31" t="s">
        <v>160</v>
      </c>
      <c r="E117" s="31" t="s">
        <v>161</v>
      </c>
      <c r="F117" s="31" t="s">
        <v>179</v>
      </c>
      <c r="K117" s="25">
        <f t="shared" si="10"/>
        <v>88.656903620196672</v>
      </c>
      <c r="L117" s="25">
        <f t="shared" ref="L117:O117" si="12">K117*(1-ABS(L$109))</f>
        <v>86.395186063475037</v>
      </c>
      <c r="M117" s="25">
        <f t="shared" si="12"/>
        <v>83.431442507023661</v>
      </c>
      <c r="N117" s="25">
        <f t="shared" si="12"/>
        <v>79.860956753831914</v>
      </c>
      <c r="O117" s="25">
        <f t="shared" si="12"/>
        <v>75.744280293297365</v>
      </c>
      <c r="Q117" s="25"/>
      <c r="R117" s="25"/>
      <c r="S117" s="25"/>
      <c r="T117" s="25"/>
      <c r="U117" s="25"/>
    </row>
    <row r="118" spans="3:21" x14ac:dyDescent="0.25">
      <c r="D118" s="31" t="s">
        <v>162</v>
      </c>
      <c r="E118" s="31" t="s">
        <v>163</v>
      </c>
      <c r="F118" s="31" t="s">
        <v>179</v>
      </c>
      <c r="K118" s="25">
        <f t="shared" si="10"/>
        <v>61.04666718620846</v>
      </c>
      <c r="L118" s="25">
        <f>K118*(1-ABS(L$109))</f>
        <v>59.489311658139499</v>
      </c>
      <c r="M118" s="25">
        <f t="shared" ref="M118:O118" si="13">L118*(1-ABS(M$109))</f>
        <v>57.448560637880078</v>
      </c>
      <c r="N118" s="25">
        <f t="shared" si="13"/>
        <v>54.990023890398398</v>
      </c>
      <c r="O118" s="25">
        <f t="shared" si="13"/>
        <v>52.155395479776793</v>
      </c>
    </row>
    <row r="119" spans="3:21" x14ac:dyDescent="0.25">
      <c r="D119" s="31" t="s">
        <v>164</v>
      </c>
      <c r="E119" s="31" t="s">
        <v>165</v>
      </c>
      <c r="F119" s="31" t="s">
        <v>179</v>
      </c>
      <c r="K119" s="25">
        <f t="shared" si="10"/>
        <v>21.53922514758634</v>
      </c>
      <c r="L119" s="25">
        <f t="shared" ref="L119:O119" si="14">K119*(1-ABS(L$109))</f>
        <v>20.989740091316243</v>
      </c>
      <c r="M119" s="25">
        <f t="shared" si="14"/>
        <v>20.269697577587259</v>
      </c>
      <c r="N119" s="25">
        <f t="shared" si="14"/>
        <v>19.402246839022027</v>
      </c>
      <c r="O119" s="25">
        <f t="shared" si="14"/>
        <v>18.402098880741395</v>
      </c>
    </row>
    <row r="120" spans="3:21" x14ac:dyDescent="0.25">
      <c r="D120" s="31" t="s">
        <v>166</v>
      </c>
      <c r="E120" s="31" t="s">
        <v>167</v>
      </c>
      <c r="F120" s="31" t="s">
        <v>179</v>
      </c>
      <c r="K120" s="25">
        <f t="shared" si="10"/>
        <v>77.289440568282956</v>
      </c>
      <c r="L120" s="25">
        <f t="shared" ref="L120:O120" si="15">K120*(1-ABS(L$109))</f>
        <v>75.317717244498198</v>
      </c>
      <c r="M120" s="25">
        <f t="shared" si="15"/>
        <v>72.733980703830227</v>
      </c>
      <c r="N120" s="25">
        <f t="shared" si="15"/>
        <v>69.621297594532592</v>
      </c>
      <c r="O120" s="25">
        <f t="shared" si="15"/>
        <v>66.032455579494624</v>
      </c>
    </row>
    <row r="121" spans="3:21" x14ac:dyDescent="0.25">
      <c r="D121" s="31" t="s">
        <v>168</v>
      </c>
      <c r="E121" s="31" t="s">
        <v>169</v>
      </c>
      <c r="F121" s="31" t="s">
        <v>179</v>
      </c>
      <c r="K121" s="25">
        <f t="shared" si="10"/>
        <v>45.809942140577185</v>
      </c>
      <c r="L121" s="25">
        <f t="shared" ref="L121:O121" si="16">K121*(1-ABS(L$109))</f>
        <v>44.641289207968526</v>
      </c>
      <c r="M121" s="25">
        <f t="shared" si="16"/>
        <v>43.10989215600091</v>
      </c>
      <c r="N121" s="25">
        <f t="shared" si="16"/>
        <v>41.264985114489846</v>
      </c>
      <c r="O121" s="25">
        <f t="shared" si="16"/>
        <v>39.13785566638218</v>
      </c>
    </row>
    <row r="122" spans="3:21" x14ac:dyDescent="0.25">
      <c r="D122" s="31" t="s">
        <v>170</v>
      </c>
      <c r="E122" s="31" t="s">
        <v>171</v>
      </c>
      <c r="F122" s="31" t="s">
        <v>179</v>
      </c>
      <c r="K122" s="25">
        <f t="shared" si="10"/>
        <v>169.05964589728171</v>
      </c>
      <c r="L122" s="25">
        <f t="shared" ref="L122:O122" si="17">K122*(1-ABS(L$109))</f>
        <v>164.74678188279881</v>
      </c>
      <c r="M122" s="25">
        <f t="shared" si="17"/>
        <v>159.09522610175665</v>
      </c>
      <c r="N122" s="25">
        <f t="shared" si="17"/>
        <v>152.28667501923977</v>
      </c>
      <c r="O122" s="25">
        <f t="shared" si="17"/>
        <v>144.43659413131329</v>
      </c>
    </row>
    <row r="124" spans="3:21" ht="13.8" x14ac:dyDescent="0.3">
      <c r="C124" s="107" t="s">
        <v>394</v>
      </c>
    </row>
    <row r="125" spans="3:21" ht="13.8" x14ac:dyDescent="0.3">
      <c r="C125" s="107"/>
      <c r="D125" s="4" t="s">
        <v>416</v>
      </c>
    </row>
    <row r="126" spans="3:21" ht="13.8" x14ac:dyDescent="0.3">
      <c r="C126" s="107"/>
    </row>
    <row r="127" spans="3:21" ht="13.8" x14ac:dyDescent="0.3">
      <c r="C127" s="107"/>
      <c r="D127" s="9" t="s">
        <v>149</v>
      </c>
      <c r="E127" s="9" t="s">
        <v>415</v>
      </c>
      <c r="F127" s="9" t="s">
        <v>151</v>
      </c>
      <c r="K127" s="9" t="s">
        <v>174</v>
      </c>
      <c r="L127" s="9" t="s">
        <v>175</v>
      </c>
      <c r="M127" s="9" t="s">
        <v>176</v>
      </c>
      <c r="N127" s="9" t="s">
        <v>177</v>
      </c>
      <c r="O127" s="9" t="s">
        <v>178</v>
      </c>
    </row>
    <row r="128" spans="3:21" x14ac:dyDescent="0.25">
      <c r="D128" s="31" t="s">
        <v>156</v>
      </c>
      <c r="E128" s="31" t="s">
        <v>157</v>
      </c>
      <c r="F128" s="31" t="s">
        <v>179</v>
      </c>
      <c r="J128" s="53"/>
      <c r="K128" s="25">
        <f t="shared" ref="K128:O134" si="18">($I$107*INDEX(Leakage_properties,MATCH($E128,Leakage_properties_companies,0),MATCH($K$127,Companydata_years,0)))/million</f>
        <v>301.17575558932703</v>
      </c>
      <c r="L128" s="25">
        <f t="shared" si="18"/>
        <v>301.17575558932703</v>
      </c>
      <c r="M128" s="25">
        <f t="shared" si="18"/>
        <v>301.17575558932703</v>
      </c>
      <c r="N128" s="25">
        <f t="shared" si="18"/>
        <v>301.17575558932703</v>
      </c>
      <c r="O128" s="25">
        <f t="shared" si="18"/>
        <v>301.17575558932703</v>
      </c>
    </row>
    <row r="129" spans="2:15" x14ac:dyDescent="0.25">
      <c r="D129" s="31" t="s">
        <v>160</v>
      </c>
      <c r="E129" s="31" t="s">
        <v>161</v>
      </c>
      <c r="F129" s="31" t="s">
        <v>179</v>
      </c>
      <c r="K129" s="25">
        <f t="shared" si="18"/>
        <v>163.30649194440392</v>
      </c>
      <c r="L129" s="25">
        <f t="shared" si="18"/>
        <v>163.30649194440392</v>
      </c>
      <c r="M129" s="25">
        <f t="shared" si="18"/>
        <v>163.30649194440392</v>
      </c>
      <c r="N129" s="25">
        <f t="shared" si="18"/>
        <v>163.30649194440392</v>
      </c>
      <c r="O129" s="25">
        <f t="shared" si="18"/>
        <v>163.30649194440392</v>
      </c>
    </row>
    <row r="130" spans="2:15" x14ac:dyDescent="0.25">
      <c r="D130" s="31" t="s">
        <v>162</v>
      </c>
      <c r="E130" s="31" t="s">
        <v>163</v>
      </c>
      <c r="F130" s="31" t="s">
        <v>179</v>
      </c>
      <c r="K130" s="25">
        <f t="shared" si="18"/>
        <v>112.44828835648821</v>
      </c>
      <c r="L130" s="25">
        <f t="shared" si="18"/>
        <v>112.44828835648821</v>
      </c>
      <c r="M130" s="25">
        <f t="shared" si="18"/>
        <v>112.44828835648821</v>
      </c>
      <c r="N130" s="25">
        <f t="shared" si="18"/>
        <v>112.44828835648821</v>
      </c>
      <c r="O130" s="25">
        <f t="shared" si="18"/>
        <v>112.44828835648821</v>
      </c>
    </row>
    <row r="131" spans="2:15" x14ac:dyDescent="0.25">
      <c r="D131" s="31" t="s">
        <v>164</v>
      </c>
      <c r="E131" s="31" t="s">
        <v>165</v>
      </c>
      <c r="F131" s="31" t="s">
        <v>179</v>
      </c>
      <c r="K131" s="25">
        <f t="shared" si="18"/>
        <v>39.675368238911737</v>
      </c>
      <c r="L131" s="25">
        <f t="shared" si="18"/>
        <v>39.675368238911737</v>
      </c>
      <c r="M131" s="25">
        <f t="shared" si="18"/>
        <v>39.675368238911737</v>
      </c>
      <c r="N131" s="25">
        <f t="shared" si="18"/>
        <v>39.675368238911737</v>
      </c>
      <c r="O131" s="25">
        <f t="shared" si="18"/>
        <v>39.675368238911737</v>
      </c>
    </row>
    <row r="132" spans="2:15" x14ac:dyDescent="0.25">
      <c r="D132" s="31" t="s">
        <v>166</v>
      </c>
      <c r="E132" s="31" t="s">
        <v>167</v>
      </c>
      <c r="F132" s="31" t="s">
        <v>179</v>
      </c>
      <c r="K132" s="25">
        <f t="shared" si="18"/>
        <v>142.36756403791702</v>
      </c>
      <c r="L132" s="25">
        <f t="shared" si="18"/>
        <v>142.36756403791702</v>
      </c>
      <c r="M132" s="25">
        <f t="shared" si="18"/>
        <v>142.36756403791702</v>
      </c>
      <c r="N132" s="25">
        <f t="shared" si="18"/>
        <v>142.36756403791702</v>
      </c>
      <c r="O132" s="25">
        <f t="shared" si="18"/>
        <v>142.36756403791702</v>
      </c>
    </row>
    <row r="133" spans="2:15" x14ac:dyDescent="0.25">
      <c r="D133" s="31" t="s">
        <v>168</v>
      </c>
      <c r="E133" s="31" t="s">
        <v>169</v>
      </c>
      <c r="F133" s="31" t="s">
        <v>179</v>
      </c>
      <c r="K133" s="25">
        <f t="shared" si="18"/>
        <v>84.382159106327492</v>
      </c>
      <c r="L133" s="25">
        <f t="shared" si="18"/>
        <v>84.382159106327492</v>
      </c>
      <c r="M133" s="25">
        <f t="shared" si="18"/>
        <v>84.382159106327492</v>
      </c>
      <c r="N133" s="25">
        <f t="shared" si="18"/>
        <v>84.382159106327492</v>
      </c>
      <c r="O133" s="25">
        <f t="shared" si="18"/>
        <v>84.382159106327492</v>
      </c>
    </row>
    <row r="134" spans="2:15" x14ac:dyDescent="0.25">
      <c r="D134" s="31" t="s">
        <v>170</v>
      </c>
      <c r="E134" s="31" t="s">
        <v>171</v>
      </c>
      <c r="F134" s="31" t="s">
        <v>179</v>
      </c>
      <c r="K134" s="25">
        <f t="shared" si="18"/>
        <v>311.40877442688839</v>
      </c>
      <c r="L134" s="25">
        <f t="shared" si="18"/>
        <v>311.40877442688839</v>
      </c>
      <c r="M134" s="25">
        <f t="shared" si="18"/>
        <v>311.40877442688839</v>
      </c>
      <c r="N134" s="25">
        <f t="shared" si="18"/>
        <v>311.40877442688839</v>
      </c>
      <c r="O134" s="25">
        <f t="shared" si="18"/>
        <v>311.40877442688839</v>
      </c>
    </row>
    <row r="136" spans="2:15" ht="13.8" x14ac:dyDescent="0.3">
      <c r="B136" s="2" t="s">
        <v>395</v>
      </c>
      <c r="K136" s="24"/>
      <c r="L136" s="24"/>
      <c r="M136" s="24"/>
      <c r="N136" s="24"/>
      <c r="O136" s="24"/>
    </row>
    <row r="137" spans="2:15" x14ac:dyDescent="0.25">
      <c r="C137" s="4" t="s">
        <v>417</v>
      </c>
    </row>
    <row r="138" spans="2:15" x14ac:dyDescent="0.25">
      <c r="C138" s="4"/>
    </row>
    <row r="139" spans="2:15" x14ac:dyDescent="0.25">
      <c r="K139" s="9" t="s">
        <v>174</v>
      </c>
      <c r="L139" s="9" t="s">
        <v>175</v>
      </c>
      <c r="M139" s="9" t="s">
        <v>176</v>
      </c>
      <c r="N139" s="9" t="s">
        <v>177</v>
      </c>
      <c r="O139" s="9" t="s">
        <v>178</v>
      </c>
    </row>
    <row r="140" spans="2:15" x14ac:dyDescent="0.25">
      <c r="E140" s="9" t="s">
        <v>397</v>
      </c>
      <c r="F140" s="31" t="s">
        <v>412</v>
      </c>
      <c r="K140" s="73">
        <f>_xlfn.PERCENTILE.INC($I$63:$I$81,0.9)</f>
        <v>138.3532242515943</v>
      </c>
      <c r="L140" s="73">
        <f t="shared" ref="L140:O140" si="19">_xlfn.PERCENTILE.INC($I$63:$I$81,0.9)</f>
        <v>138.3532242515943</v>
      </c>
      <c r="M140" s="73">
        <f t="shared" si="19"/>
        <v>138.3532242515943</v>
      </c>
      <c r="N140" s="73">
        <f t="shared" si="19"/>
        <v>138.3532242515943</v>
      </c>
      <c r="O140" s="73">
        <f t="shared" si="19"/>
        <v>138.3532242515943</v>
      </c>
    </row>
    <row r="141" spans="2:15" x14ac:dyDescent="0.25">
      <c r="F141" s="31"/>
      <c r="K141" s="73"/>
      <c r="L141" s="73"/>
      <c r="M141" s="73"/>
      <c r="N141" s="73"/>
      <c r="O141" s="73"/>
    </row>
    <row r="142" spans="2:15" x14ac:dyDescent="0.25">
      <c r="D142" s="9" t="s">
        <v>149</v>
      </c>
      <c r="E142" s="9" t="s">
        <v>415</v>
      </c>
      <c r="F142" s="9" t="s">
        <v>151</v>
      </c>
      <c r="K142" s="73"/>
      <c r="L142" s="73"/>
      <c r="M142" s="73"/>
      <c r="N142" s="73"/>
      <c r="O142" s="73"/>
    </row>
    <row r="143" spans="2:15" x14ac:dyDescent="0.25">
      <c r="D143" s="31" t="s">
        <v>156</v>
      </c>
      <c r="E143" s="31" t="s">
        <v>157</v>
      </c>
      <c r="F143" s="31" t="s">
        <v>179</v>
      </c>
      <c r="K143" s="25">
        <f t="shared" ref="K143:O149" si="20">(K$140*INDEX(Leakage_properties,MATCH($E143,Leakage_properties_companies,0),MATCH($K$115,Companydata_years,0)))/million</f>
        <v>314.09931277489125</v>
      </c>
      <c r="L143" s="25">
        <f t="shared" si="20"/>
        <v>314.09931277489125</v>
      </c>
      <c r="M143" s="25">
        <f t="shared" si="20"/>
        <v>314.09931277489125</v>
      </c>
      <c r="N143" s="25">
        <f t="shared" si="20"/>
        <v>314.09931277489125</v>
      </c>
      <c r="O143" s="25">
        <f t="shared" si="20"/>
        <v>314.09931277489125</v>
      </c>
    </row>
    <row r="144" spans="2:15" x14ac:dyDescent="0.25">
      <c r="D144" s="31" t="s">
        <v>160</v>
      </c>
      <c r="E144" s="31" t="s">
        <v>161</v>
      </c>
      <c r="F144" s="31" t="s">
        <v>179</v>
      </c>
      <c r="K144" s="25">
        <f t="shared" si="20"/>
        <v>170.3140307261616</v>
      </c>
      <c r="L144" s="25">
        <f t="shared" si="20"/>
        <v>170.3140307261616</v>
      </c>
      <c r="M144" s="25">
        <f t="shared" si="20"/>
        <v>170.3140307261616</v>
      </c>
      <c r="N144" s="25">
        <f t="shared" si="20"/>
        <v>170.3140307261616</v>
      </c>
      <c r="O144" s="25">
        <f t="shared" si="20"/>
        <v>170.3140307261616</v>
      </c>
    </row>
    <row r="145" spans="1:23" x14ac:dyDescent="0.25">
      <c r="D145" s="31" t="s">
        <v>162</v>
      </c>
      <c r="E145" s="31" t="s">
        <v>163</v>
      </c>
      <c r="F145" s="31" t="s">
        <v>179</v>
      </c>
      <c r="K145" s="25">
        <f t="shared" si="20"/>
        <v>117.27348380474156</v>
      </c>
      <c r="L145" s="25">
        <f t="shared" si="20"/>
        <v>117.27348380474156</v>
      </c>
      <c r="M145" s="25">
        <f t="shared" si="20"/>
        <v>117.27348380474156</v>
      </c>
      <c r="N145" s="25">
        <f t="shared" si="20"/>
        <v>117.27348380474156</v>
      </c>
      <c r="O145" s="25">
        <f t="shared" si="20"/>
        <v>117.27348380474156</v>
      </c>
    </row>
    <row r="146" spans="1:23" x14ac:dyDescent="0.25">
      <c r="D146" s="31" t="s">
        <v>164</v>
      </c>
      <c r="E146" s="31" t="s">
        <v>165</v>
      </c>
      <c r="F146" s="31" t="s">
        <v>179</v>
      </c>
      <c r="K146" s="25">
        <f t="shared" si="20"/>
        <v>41.377852189821311</v>
      </c>
      <c r="L146" s="25">
        <f t="shared" si="20"/>
        <v>41.377852189821311</v>
      </c>
      <c r="M146" s="25">
        <f t="shared" si="20"/>
        <v>41.377852189821311</v>
      </c>
      <c r="N146" s="25">
        <f t="shared" si="20"/>
        <v>41.377852189821311</v>
      </c>
      <c r="O146" s="25">
        <f t="shared" si="20"/>
        <v>41.377852189821311</v>
      </c>
    </row>
    <row r="147" spans="1:23" x14ac:dyDescent="0.25">
      <c r="D147" s="31" t="s">
        <v>166</v>
      </c>
      <c r="E147" s="31" t="s">
        <v>167</v>
      </c>
      <c r="F147" s="31" t="s">
        <v>179</v>
      </c>
      <c r="K147" s="25">
        <f t="shared" si="20"/>
        <v>148.47660608751119</v>
      </c>
      <c r="L147" s="25">
        <f t="shared" si="20"/>
        <v>148.47660608751119</v>
      </c>
      <c r="M147" s="25">
        <f t="shared" si="20"/>
        <v>148.47660608751119</v>
      </c>
      <c r="N147" s="25">
        <f t="shared" si="20"/>
        <v>148.47660608751119</v>
      </c>
      <c r="O147" s="25">
        <f t="shared" si="20"/>
        <v>148.47660608751119</v>
      </c>
    </row>
    <row r="148" spans="1:23" x14ac:dyDescent="0.25">
      <c r="D148" s="31" t="s">
        <v>168</v>
      </c>
      <c r="E148" s="31" t="s">
        <v>169</v>
      </c>
      <c r="F148" s="31" t="s">
        <v>179</v>
      </c>
      <c r="K148" s="25">
        <f t="shared" si="20"/>
        <v>88.00302711583285</v>
      </c>
      <c r="L148" s="25">
        <f t="shared" si="20"/>
        <v>88.00302711583285</v>
      </c>
      <c r="M148" s="25">
        <f t="shared" si="20"/>
        <v>88.00302711583285</v>
      </c>
      <c r="N148" s="25">
        <f t="shared" si="20"/>
        <v>88.00302711583285</v>
      </c>
      <c r="O148" s="25">
        <f t="shared" si="20"/>
        <v>88.00302711583285</v>
      </c>
    </row>
    <row r="149" spans="1:23" x14ac:dyDescent="0.25">
      <c r="D149" s="31" t="s">
        <v>170</v>
      </c>
      <c r="E149" s="31" t="s">
        <v>171</v>
      </c>
      <c r="F149" s="31" t="s">
        <v>179</v>
      </c>
      <c r="K149" s="25">
        <f t="shared" si="20"/>
        <v>324.77143403578481</v>
      </c>
      <c r="L149" s="25">
        <f t="shared" si="20"/>
        <v>324.77143403578481</v>
      </c>
      <c r="M149" s="25">
        <f t="shared" si="20"/>
        <v>324.77143403578481</v>
      </c>
      <c r="N149" s="25">
        <f t="shared" si="20"/>
        <v>324.77143403578481</v>
      </c>
      <c r="O149" s="25">
        <f t="shared" si="20"/>
        <v>324.77143403578481</v>
      </c>
    </row>
    <row r="150" spans="1:23" x14ac:dyDescent="0.25">
      <c r="F150" s="31"/>
      <c r="K150" s="73"/>
      <c r="L150" s="73"/>
      <c r="M150" s="73"/>
      <c r="N150" s="73"/>
      <c r="O150" s="73"/>
    </row>
    <row r="151" spans="1:23" ht="13.8" x14ac:dyDescent="0.3">
      <c r="A151" s="8" t="s">
        <v>418</v>
      </c>
      <c r="B151" s="8"/>
      <c r="C151" s="8"/>
      <c r="D151" s="8"/>
      <c r="E151" s="8"/>
      <c r="F151" s="8"/>
      <c r="G151" s="8"/>
      <c r="H151" s="8"/>
      <c r="I151" s="8"/>
      <c r="J151" s="8"/>
      <c r="K151" s="8"/>
      <c r="L151" s="8"/>
      <c r="M151" s="8"/>
      <c r="N151" s="8"/>
      <c r="O151" s="8"/>
      <c r="P151" s="8"/>
      <c r="Q151" s="8"/>
      <c r="R151" s="8"/>
      <c r="S151" s="8"/>
      <c r="T151" s="8"/>
      <c r="U151" s="8"/>
      <c r="V151" s="8"/>
      <c r="W151" s="8"/>
    </row>
    <row r="153" spans="1:23" ht="15" x14ac:dyDescent="0.35">
      <c r="A153" s="1" t="s">
        <v>369</v>
      </c>
    </row>
    <row r="154" spans="1:23" x14ac:dyDescent="0.25">
      <c r="B154" s="4" t="s">
        <v>405</v>
      </c>
    </row>
    <row r="155" spans="1:23" x14ac:dyDescent="0.25">
      <c r="B155" s="4"/>
    </row>
    <row r="156" spans="1:23" x14ac:dyDescent="0.25">
      <c r="D156" s="9" t="s">
        <v>371</v>
      </c>
      <c r="E156" s="111" t="s">
        <v>419</v>
      </c>
    </row>
    <row r="158" spans="1:23" x14ac:dyDescent="0.25">
      <c r="H158" s="9" t="s">
        <v>372</v>
      </c>
      <c r="I158" s="9" t="s">
        <v>372</v>
      </c>
      <c r="J158" s="9" t="s">
        <v>373</v>
      </c>
      <c r="K158" s="9" t="s">
        <v>374</v>
      </c>
      <c r="L158" s="9" t="s">
        <v>374</v>
      </c>
      <c r="M158" s="9" t="s">
        <v>374</v>
      </c>
      <c r="N158" s="9" t="s">
        <v>374</v>
      </c>
      <c r="O158" s="9" t="s">
        <v>374</v>
      </c>
    </row>
    <row r="159" spans="1:23" x14ac:dyDescent="0.25">
      <c r="D159" s="9" t="s">
        <v>149</v>
      </c>
      <c r="E159" s="9" t="s">
        <v>150</v>
      </c>
      <c r="F159" s="9" t="s">
        <v>151</v>
      </c>
      <c r="H159" s="9" t="s">
        <v>375</v>
      </c>
      <c r="I159" s="9" t="s">
        <v>376</v>
      </c>
      <c r="J159" s="9" t="s">
        <v>377</v>
      </c>
      <c r="K159" s="9" t="s">
        <v>174</v>
      </c>
      <c r="L159" s="9" t="s">
        <v>175</v>
      </c>
      <c r="M159" s="9" t="s">
        <v>176</v>
      </c>
      <c r="N159" s="9" t="s">
        <v>177</v>
      </c>
      <c r="O159" s="9" t="s">
        <v>178</v>
      </c>
    </row>
    <row r="160" spans="1:23" x14ac:dyDescent="0.25">
      <c r="D160" s="31" t="s">
        <v>230</v>
      </c>
      <c r="E160" s="31" t="s">
        <v>231</v>
      </c>
      <c r="F160" s="31" t="s">
        <v>179</v>
      </c>
      <c r="H160" s="46" t="str">
        <f t="shared" ref="H160:O169" si="21">IF(H$13="Proposed",IF($E$11="September 2018",INDEX(PCLsProposed_Sept,MATCH($D160,PCLsProposed_ID,0),MATCH(H$14,PCLpropsedyears_September,0)),INDEX(PCLsProposed_April,MATCH($D160,PCLsProposed_ID,0),MATCH(H$14,PCLProposedyears_April,0))),IF(INDEX(PCLhistorical_data,MATCH($D160,PCLhistorical_ID,0),MATCH(H$14,PCLhistorical_years,0))="","",INDEX(PCLhistorical_data,MATCH($D160,PCLhistorical_ID,0),MATCH(H$14,PCLhistorical_years,0))))</f>
        <v/>
      </c>
      <c r="I160" s="46">
        <f t="shared" si="21"/>
        <v>201.2</v>
      </c>
      <c r="J160" s="46">
        <f t="shared" si="21"/>
        <v>162.21000000000004</v>
      </c>
      <c r="K160" s="46">
        <f t="shared" si="21"/>
        <v>173.00299999999999</v>
      </c>
      <c r="L160" s="46">
        <f t="shared" si="21"/>
        <v>156.19999999999999</v>
      </c>
      <c r="M160" s="46">
        <f t="shared" si="21"/>
        <v>150.19999999999999</v>
      </c>
      <c r="N160" s="46">
        <f t="shared" si="21"/>
        <v>144.19999999999999</v>
      </c>
      <c r="O160" s="46">
        <f t="shared" si="21"/>
        <v>138.19999999999999</v>
      </c>
      <c r="Q160" s="63"/>
      <c r="R160" s="63"/>
      <c r="S160" s="63"/>
      <c r="T160" s="63"/>
      <c r="U160" s="63"/>
      <c r="V160" s="63"/>
      <c r="W160" s="63"/>
    </row>
    <row r="161" spans="4:23" x14ac:dyDescent="0.25">
      <c r="D161" s="31" t="s">
        <v>156</v>
      </c>
      <c r="E161" s="31" t="s">
        <v>157</v>
      </c>
      <c r="F161" s="31" t="s">
        <v>179</v>
      </c>
      <c r="H161" s="46">
        <f t="shared" si="21"/>
        <v>183.3</v>
      </c>
      <c r="I161" s="46">
        <f t="shared" si="21"/>
        <v>191.6</v>
      </c>
      <c r="J161" s="46">
        <f t="shared" si="21"/>
        <v>177</v>
      </c>
      <c r="K161" s="46">
        <f t="shared" si="21"/>
        <v>181.8</v>
      </c>
      <c r="L161" s="46">
        <f t="shared" si="21"/>
        <v>178.8</v>
      </c>
      <c r="M161" s="46">
        <f t="shared" si="21"/>
        <v>175.7</v>
      </c>
      <c r="N161" s="46">
        <f t="shared" si="21"/>
        <v>172.6</v>
      </c>
      <c r="O161" s="46">
        <f t="shared" si="21"/>
        <v>169.6</v>
      </c>
      <c r="Q161" s="63"/>
      <c r="R161" s="63"/>
      <c r="S161" s="63"/>
      <c r="T161" s="63"/>
      <c r="U161" s="63"/>
      <c r="V161" s="63"/>
      <c r="W161" s="63"/>
    </row>
    <row r="162" spans="4:23" x14ac:dyDescent="0.25">
      <c r="D162" s="31" t="s">
        <v>234</v>
      </c>
      <c r="E162" s="31" t="s">
        <v>235</v>
      </c>
      <c r="F162" s="31" t="s">
        <v>179</v>
      </c>
      <c r="H162" s="46" t="str">
        <f t="shared" si="21"/>
        <v/>
      </c>
      <c r="I162" s="46">
        <f t="shared" si="21"/>
        <v>45.25</v>
      </c>
      <c r="J162" s="46">
        <f t="shared" si="21"/>
        <v>38.340000000000003</v>
      </c>
      <c r="K162" s="46">
        <f t="shared" si="21"/>
        <v>42</v>
      </c>
      <c r="L162" s="46">
        <f t="shared" si="21"/>
        <v>41</v>
      </c>
      <c r="M162" s="46">
        <f t="shared" si="21"/>
        <v>39.5</v>
      </c>
      <c r="N162" s="46">
        <f t="shared" si="21"/>
        <v>38</v>
      </c>
      <c r="O162" s="46">
        <f t="shared" si="21"/>
        <v>36.5</v>
      </c>
      <c r="Q162" s="63"/>
      <c r="R162" s="63"/>
      <c r="S162" s="63"/>
      <c r="T162" s="63"/>
      <c r="U162" s="63"/>
      <c r="V162" s="63"/>
      <c r="W162" s="63"/>
    </row>
    <row r="163" spans="4:23" x14ac:dyDescent="0.25">
      <c r="D163" s="31" t="s">
        <v>236</v>
      </c>
      <c r="E163" s="31" t="s">
        <v>237</v>
      </c>
      <c r="F163" s="31" t="s">
        <v>179</v>
      </c>
      <c r="H163" s="46" t="str">
        <f t="shared" si="21"/>
        <v/>
      </c>
      <c r="I163" s="46">
        <f t="shared" si="21"/>
        <v>15.762859473218432</v>
      </c>
      <c r="J163" s="46">
        <f t="shared" si="21"/>
        <v>14.67</v>
      </c>
      <c r="K163" s="46">
        <f t="shared" si="21"/>
        <v>14.55</v>
      </c>
      <c r="L163" s="46">
        <f t="shared" si="21"/>
        <v>14.23</v>
      </c>
      <c r="M163" s="46">
        <f t="shared" si="21"/>
        <v>13.79</v>
      </c>
      <c r="N163" s="46">
        <f t="shared" si="21"/>
        <v>13.35</v>
      </c>
      <c r="O163" s="46">
        <f t="shared" si="21"/>
        <v>12.91</v>
      </c>
      <c r="Q163" s="63"/>
      <c r="R163" s="63"/>
      <c r="S163" s="63"/>
      <c r="T163" s="63"/>
      <c r="U163" s="63"/>
      <c r="V163" s="63"/>
      <c r="W163" s="63"/>
    </row>
    <row r="164" spans="4:23" x14ac:dyDescent="0.25">
      <c r="D164" s="31" t="s">
        <v>160</v>
      </c>
      <c r="E164" s="31" t="s">
        <v>161</v>
      </c>
      <c r="F164" s="31" t="s">
        <v>179</v>
      </c>
      <c r="H164" s="46">
        <f t="shared" si="21"/>
        <v>138.6</v>
      </c>
      <c r="I164" s="46">
        <f t="shared" si="21"/>
        <v>131</v>
      </c>
      <c r="J164" s="46">
        <f t="shared" si="21"/>
        <v>135.41999999999999</v>
      </c>
      <c r="K164" s="46">
        <f t="shared" si="21"/>
        <v>137.1</v>
      </c>
      <c r="L164" s="46">
        <f t="shared" si="21"/>
        <v>134.4</v>
      </c>
      <c r="M164" s="46">
        <f t="shared" si="21"/>
        <v>130.19999999999999</v>
      </c>
      <c r="N164" s="46">
        <f t="shared" si="21"/>
        <v>126.1</v>
      </c>
      <c r="O164" s="46">
        <f t="shared" si="21"/>
        <v>121.9</v>
      </c>
      <c r="Q164" s="63"/>
      <c r="R164" s="63"/>
      <c r="S164" s="63"/>
      <c r="T164" s="63"/>
      <c r="U164" s="63"/>
      <c r="V164" s="112"/>
      <c r="W164" s="112"/>
    </row>
    <row r="165" spans="4:23" x14ac:dyDescent="0.25">
      <c r="D165" s="31" t="s">
        <v>162</v>
      </c>
      <c r="E165" s="31" t="s">
        <v>163</v>
      </c>
      <c r="F165" s="31" t="s">
        <v>179</v>
      </c>
      <c r="H165" s="46">
        <f t="shared" si="21"/>
        <v>66.2</v>
      </c>
      <c r="I165" s="46">
        <f t="shared" si="21"/>
        <v>63.1</v>
      </c>
      <c r="J165" s="46">
        <f t="shared" si="21"/>
        <v>62.59</v>
      </c>
      <c r="K165" s="46">
        <f t="shared" si="21"/>
        <v>61.9</v>
      </c>
      <c r="L165" s="46">
        <f t="shared" si="21"/>
        <v>60.4</v>
      </c>
      <c r="M165" s="46">
        <f t="shared" si="21"/>
        <v>58.2</v>
      </c>
      <c r="N165" s="46">
        <f t="shared" si="21"/>
        <v>56</v>
      </c>
      <c r="O165" s="46">
        <f t="shared" si="21"/>
        <v>53.8</v>
      </c>
      <c r="Q165" s="63"/>
      <c r="R165" s="63"/>
      <c r="S165" s="63"/>
      <c r="T165" s="63"/>
      <c r="U165" s="63"/>
      <c r="V165" s="112"/>
      <c r="W165" s="112"/>
    </row>
    <row r="166" spans="4:23" x14ac:dyDescent="0.25">
      <c r="D166" s="31" t="s">
        <v>238</v>
      </c>
      <c r="E166" s="31" t="s">
        <v>239</v>
      </c>
      <c r="F166" s="31" t="s">
        <v>179</v>
      </c>
      <c r="H166" s="46">
        <f t="shared" si="21"/>
        <v>35.270000000000003</v>
      </c>
      <c r="I166" s="46">
        <f t="shared" si="21"/>
        <v>28.48</v>
      </c>
      <c r="J166" s="46">
        <f t="shared" si="21"/>
        <v>31.6</v>
      </c>
      <c r="K166" s="46">
        <f t="shared" si="21"/>
        <v>33.5</v>
      </c>
      <c r="L166" s="46">
        <f t="shared" si="21"/>
        <v>32.1</v>
      </c>
      <c r="M166" s="46">
        <f t="shared" si="21"/>
        <v>30.7</v>
      </c>
      <c r="N166" s="46">
        <f t="shared" si="21"/>
        <v>29.3</v>
      </c>
      <c r="O166" s="46">
        <f t="shared" si="21"/>
        <v>27.9</v>
      </c>
      <c r="Q166" s="63"/>
      <c r="R166" s="63"/>
      <c r="S166" s="63"/>
      <c r="T166" s="63"/>
      <c r="U166" s="63"/>
      <c r="V166" s="112"/>
      <c r="W166" s="112"/>
    </row>
    <row r="167" spans="4:23" x14ac:dyDescent="0.25">
      <c r="D167" s="31" t="s">
        <v>164</v>
      </c>
      <c r="E167" s="31" t="s">
        <v>165</v>
      </c>
      <c r="F167" s="31" t="s">
        <v>179</v>
      </c>
      <c r="H167" s="46">
        <f t="shared" si="21"/>
        <v>24.2</v>
      </c>
      <c r="I167" s="46">
        <f t="shared" si="21"/>
        <v>27.5</v>
      </c>
      <c r="J167" s="46">
        <f t="shared" si="21"/>
        <v>24</v>
      </c>
      <c r="K167" s="46">
        <f t="shared" si="21"/>
        <v>23.8</v>
      </c>
      <c r="L167" s="46">
        <f t="shared" si="21"/>
        <v>23.3</v>
      </c>
      <c r="M167" s="46">
        <f t="shared" si="21"/>
        <v>22.6</v>
      </c>
      <c r="N167" s="46">
        <f t="shared" si="21"/>
        <v>21.8</v>
      </c>
      <c r="O167" s="46">
        <f t="shared" si="21"/>
        <v>21.1</v>
      </c>
      <c r="Q167" s="63"/>
      <c r="R167" s="63"/>
      <c r="S167" s="63"/>
      <c r="T167" s="63"/>
      <c r="U167" s="63"/>
      <c r="V167" s="112"/>
      <c r="W167" s="112"/>
    </row>
    <row r="168" spans="4:23" x14ac:dyDescent="0.25">
      <c r="D168" s="31" t="s">
        <v>240</v>
      </c>
      <c r="E168" s="31" t="s">
        <v>241</v>
      </c>
      <c r="F168" s="31" t="s">
        <v>179</v>
      </c>
      <c r="H168" s="46">
        <f t="shared" si="21"/>
        <v>88.1</v>
      </c>
      <c r="I168" s="46">
        <f t="shared" si="21"/>
        <v>86.9</v>
      </c>
      <c r="J168" s="46">
        <f t="shared" si="21"/>
        <v>86.6</v>
      </c>
      <c r="K168" s="46">
        <f t="shared" si="21"/>
        <v>87.3</v>
      </c>
      <c r="L168" s="46">
        <f t="shared" si="21"/>
        <v>87.1</v>
      </c>
      <c r="M168" s="46">
        <f t="shared" si="21"/>
        <v>85.8</v>
      </c>
      <c r="N168" s="46">
        <f t="shared" si="21"/>
        <v>83.1</v>
      </c>
      <c r="O168" s="46">
        <f t="shared" si="21"/>
        <v>79.099999999999994</v>
      </c>
      <c r="Q168" s="63"/>
      <c r="R168" s="63"/>
      <c r="S168" s="63"/>
      <c r="T168" s="63"/>
      <c r="U168" s="63"/>
      <c r="V168" s="112"/>
      <c r="W168" s="112"/>
    </row>
    <row r="169" spans="4:23" x14ac:dyDescent="0.25">
      <c r="D169" s="31" t="s">
        <v>242</v>
      </c>
      <c r="E169" s="31" t="s">
        <v>205</v>
      </c>
      <c r="F169" s="31" t="s">
        <v>179</v>
      </c>
      <c r="H169" s="46">
        <f t="shared" si="21"/>
        <v>102.6</v>
      </c>
      <c r="I169" s="46">
        <f t="shared" si="21"/>
        <v>102.9</v>
      </c>
      <c r="J169" s="46">
        <f t="shared" si="21"/>
        <v>102</v>
      </c>
      <c r="K169" s="46">
        <f t="shared" si="21"/>
        <v>102.3</v>
      </c>
      <c r="L169" s="46">
        <f t="shared" si="21"/>
        <v>99.1</v>
      </c>
      <c r="M169" s="46">
        <f t="shared" si="21"/>
        <v>95.9</v>
      </c>
      <c r="N169" s="46">
        <f t="shared" si="21"/>
        <v>92.7</v>
      </c>
      <c r="O169" s="46">
        <f t="shared" si="21"/>
        <v>89.6</v>
      </c>
      <c r="Q169" s="63"/>
      <c r="R169" s="63"/>
      <c r="S169" s="63"/>
      <c r="T169" s="63"/>
      <c r="U169" s="63"/>
      <c r="V169" s="112"/>
      <c r="W169" s="112"/>
    </row>
    <row r="170" spans="4:23" x14ac:dyDescent="0.25">
      <c r="D170" s="31" t="s">
        <v>243</v>
      </c>
      <c r="E170" s="31" t="s">
        <v>244</v>
      </c>
      <c r="F170" s="31" t="s">
        <v>179</v>
      </c>
      <c r="H170" s="46">
        <f t="shared" ref="H170:O178" si="22">IF(H$13="Proposed",IF($E$11="September 2018",INDEX(PCLsProposed_Sept,MATCH($D170,PCLsProposed_ID,0),MATCH(H$14,PCLpropsedyears_September,0)),INDEX(PCLsProposed_April,MATCH($D170,PCLsProposed_ID,0),MATCH(H$14,PCLProposedyears_April,0))),IF(INDEX(PCLhistorical_data,MATCH($D170,PCLhistorical_ID,0),MATCH(H$14,PCLhistorical_years,0))="","",INDEX(PCLhistorical_data,MATCH($D170,PCLhistorical_ID,0),MATCH(H$14,PCLhistorical_years,0))))</f>
        <v>70.7</v>
      </c>
      <c r="I170" s="46">
        <f t="shared" si="22"/>
        <v>70.959999999999994</v>
      </c>
      <c r="J170" s="46">
        <f t="shared" si="22"/>
        <v>71</v>
      </c>
      <c r="K170" s="46">
        <f t="shared" si="22"/>
        <v>69.3</v>
      </c>
      <c r="L170" s="46">
        <f t="shared" si="22"/>
        <v>67</v>
      </c>
      <c r="M170" s="46">
        <f t="shared" si="22"/>
        <v>63.5</v>
      </c>
      <c r="N170" s="46">
        <f t="shared" si="22"/>
        <v>60</v>
      </c>
      <c r="O170" s="46">
        <f t="shared" si="22"/>
        <v>56.5</v>
      </c>
      <c r="Q170" s="63"/>
      <c r="R170" s="63"/>
      <c r="S170" s="63"/>
      <c r="T170" s="63"/>
      <c r="U170" s="63"/>
      <c r="V170" s="112"/>
      <c r="W170" s="112"/>
    </row>
    <row r="171" spans="4:23" x14ac:dyDescent="0.25">
      <c r="D171" s="9" t="s">
        <v>245</v>
      </c>
      <c r="E171" s="31" t="s">
        <v>246</v>
      </c>
      <c r="F171" s="31" t="s">
        <v>179</v>
      </c>
      <c r="H171" s="46">
        <f t="shared" si="22"/>
        <v>14</v>
      </c>
      <c r="I171" s="46">
        <f t="shared" si="22"/>
        <v>15.02</v>
      </c>
      <c r="J171" s="46">
        <f t="shared" si="22"/>
        <v>15.340909090909093</v>
      </c>
      <c r="K171" s="46">
        <f t="shared" si="22"/>
        <v>13.4</v>
      </c>
      <c r="L171" s="46">
        <f t="shared" si="22"/>
        <v>13.1</v>
      </c>
      <c r="M171" s="46">
        <f t="shared" si="22"/>
        <v>12.7</v>
      </c>
      <c r="N171" s="46">
        <f t="shared" si="22"/>
        <v>12.3</v>
      </c>
      <c r="O171" s="46">
        <f t="shared" si="22"/>
        <v>11.9</v>
      </c>
      <c r="Q171" s="63"/>
      <c r="R171" s="63"/>
      <c r="S171" s="63"/>
      <c r="T171" s="63"/>
      <c r="U171" s="63"/>
      <c r="V171" s="112"/>
      <c r="W171" s="112"/>
    </row>
    <row r="172" spans="4:23" x14ac:dyDescent="0.25">
      <c r="D172" s="31" t="s">
        <v>247</v>
      </c>
      <c r="E172" s="31" t="s">
        <v>198</v>
      </c>
      <c r="F172" s="31" t="s">
        <v>179</v>
      </c>
      <c r="H172" s="46">
        <f t="shared" si="22"/>
        <v>401.14</v>
      </c>
      <c r="I172" s="46">
        <f t="shared" si="22"/>
        <v>416.63747469497969</v>
      </c>
      <c r="J172" s="46">
        <f t="shared" si="22"/>
        <v>410.80000000000007</v>
      </c>
      <c r="K172" s="46">
        <f t="shared" si="22"/>
        <v>382.2</v>
      </c>
      <c r="L172" s="46">
        <f t="shared" si="22"/>
        <v>376.5</v>
      </c>
      <c r="M172" s="46">
        <f t="shared" si="22"/>
        <v>365.5</v>
      </c>
      <c r="N172" s="46">
        <f t="shared" si="22"/>
        <v>346.9</v>
      </c>
      <c r="O172" s="46">
        <f t="shared" si="22"/>
        <v>332.1</v>
      </c>
      <c r="Q172" s="63"/>
      <c r="R172" s="63"/>
      <c r="S172" s="63"/>
      <c r="T172" s="63"/>
      <c r="U172" s="63"/>
      <c r="V172" s="112"/>
      <c r="W172" s="112"/>
    </row>
    <row r="173" spans="4:23" x14ac:dyDescent="0.25">
      <c r="D173" s="31" t="s">
        <v>166</v>
      </c>
      <c r="E173" s="31" t="s">
        <v>167</v>
      </c>
      <c r="F173" s="31" t="s">
        <v>179</v>
      </c>
      <c r="H173" s="46" t="str">
        <f t="shared" si="22"/>
        <v/>
      </c>
      <c r="I173" s="46">
        <f t="shared" si="22"/>
        <v>118.80924747859402</v>
      </c>
      <c r="J173" s="46">
        <f t="shared" si="22"/>
        <v>116.2</v>
      </c>
      <c r="K173" s="46">
        <f t="shared" si="22"/>
        <v>114.3</v>
      </c>
      <c r="L173" s="46">
        <f t="shared" si="22"/>
        <v>110.76960000000001</v>
      </c>
      <c r="M173" s="46">
        <f t="shared" si="22"/>
        <v>107.23440000000001</v>
      </c>
      <c r="N173" s="46">
        <f t="shared" si="22"/>
        <v>103.6992</v>
      </c>
      <c r="O173" s="46">
        <f t="shared" si="22"/>
        <v>100.164</v>
      </c>
      <c r="Q173" s="63"/>
      <c r="R173" s="63"/>
      <c r="S173" s="63"/>
      <c r="T173" s="63"/>
      <c r="U173" s="63"/>
      <c r="V173" s="112"/>
      <c r="W173" s="112"/>
    </row>
    <row r="174" spans="4:23" x14ac:dyDescent="0.25">
      <c r="D174" s="31" t="s">
        <v>248</v>
      </c>
      <c r="E174" s="31" t="s">
        <v>249</v>
      </c>
      <c r="F174" s="31" t="s">
        <v>179</v>
      </c>
      <c r="H174" s="46" t="str">
        <f t="shared" si="22"/>
        <v/>
      </c>
      <c r="I174" s="46">
        <f t="shared" si="22"/>
        <v>718.8</v>
      </c>
      <c r="J174" s="46">
        <f t="shared" si="22"/>
        <v>674.6</v>
      </c>
      <c r="K174" s="46">
        <f t="shared" si="22"/>
        <v>685</v>
      </c>
      <c r="L174" s="46">
        <f t="shared" si="22"/>
        <v>641</v>
      </c>
      <c r="M174" s="46">
        <f t="shared" si="22"/>
        <v>613</v>
      </c>
      <c r="N174" s="46">
        <f t="shared" si="22"/>
        <v>590</v>
      </c>
      <c r="O174" s="46">
        <f t="shared" si="22"/>
        <v>568</v>
      </c>
      <c r="Q174" s="63"/>
      <c r="R174" s="63"/>
      <c r="S174" s="63"/>
      <c r="T174" s="63"/>
      <c r="U174" s="63"/>
      <c r="V174" s="112"/>
      <c r="W174" s="112"/>
    </row>
    <row r="175" spans="4:23" x14ac:dyDescent="0.25">
      <c r="D175" s="31" t="s">
        <v>250</v>
      </c>
      <c r="E175" s="31" t="s">
        <v>190</v>
      </c>
      <c r="F175" s="31" t="s">
        <v>179</v>
      </c>
      <c r="H175" s="46">
        <f t="shared" si="22"/>
        <v>448.2</v>
      </c>
      <c r="I175" s="46">
        <f t="shared" si="22"/>
        <v>452</v>
      </c>
      <c r="J175" s="46">
        <f t="shared" si="22"/>
        <v>448.2</v>
      </c>
      <c r="K175" s="46">
        <f t="shared" si="22"/>
        <v>445.2</v>
      </c>
      <c r="L175" s="46">
        <f t="shared" si="22"/>
        <v>439.3</v>
      </c>
      <c r="M175" s="46">
        <f t="shared" si="22"/>
        <v>428.8</v>
      </c>
      <c r="N175" s="46">
        <f t="shared" si="22"/>
        <v>411.4</v>
      </c>
      <c r="O175" s="46">
        <f t="shared" si="22"/>
        <v>386.9</v>
      </c>
      <c r="Q175" s="63"/>
      <c r="R175" s="63"/>
      <c r="S175" s="63"/>
      <c r="T175" s="63"/>
      <c r="U175" s="63"/>
      <c r="V175" s="112"/>
      <c r="W175" s="112"/>
    </row>
    <row r="176" spans="4:23" x14ac:dyDescent="0.25">
      <c r="D176" s="31" t="s">
        <v>251</v>
      </c>
      <c r="E176" s="31" t="s">
        <v>252</v>
      </c>
      <c r="F176" s="31" t="s">
        <v>179</v>
      </c>
      <c r="H176" s="46">
        <f t="shared" si="22"/>
        <v>176.1</v>
      </c>
      <c r="I176" s="46">
        <f t="shared" si="22"/>
        <v>191.9</v>
      </c>
      <c r="J176" s="46">
        <f t="shared" si="22"/>
        <v>169</v>
      </c>
      <c r="K176" s="46">
        <f t="shared" si="22"/>
        <v>167.9</v>
      </c>
      <c r="L176" s="46">
        <f t="shared" si="22"/>
        <v>163.80000000000001</v>
      </c>
      <c r="M176" s="46">
        <f t="shared" si="22"/>
        <v>158.6</v>
      </c>
      <c r="N176" s="46">
        <f t="shared" si="22"/>
        <v>153.4</v>
      </c>
      <c r="O176" s="46">
        <f t="shared" si="22"/>
        <v>148.19999999999999</v>
      </c>
      <c r="Q176" s="63"/>
      <c r="R176" s="63"/>
      <c r="S176" s="63"/>
      <c r="T176" s="63"/>
      <c r="U176" s="63"/>
      <c r="V176" s="112"/>
      <c r="W176" s="112"/>
    </row>
    <row r="177" spans="1:23" x14ac:dyDescent="0.25">
      <c r="D177" s="31" t="s">
        <v>168</v>
      </c>
      <c r="E177" s="31" t="s">
        <v>169</v>
      </c>
      <c r="F177" s="31" t="s">
        <v>179</v>
      </c>
      <c r="H177" s="46">
        <f t="shared" si="22"/>
        <v>80.150000000000006</v>
      </c>
      <c r="I177" s="46">
        <f t="shared" si="22"/>
        <v>79.680000000000007</v>
      </c>
      <c r="J177" s="46">
        <f t="shared" si="22"/>
        <v>78.98</v>
      </c>
      <c r="K177" s="46">
        <f t="shared" si="22"/>
        <v>77.599999999999994</v>
      </c>
      <c r="L177" s="46">
        <f t="shared" si="22"/>
        <v>75.8</v>
      </c>
      <c r="M177" s="46">
        <f t="shared" si="22"/>
        <v>73.5</v>
      </c>
      <c r="N177" s="46">
        <f t="shared" si="22"/>
        <v>71.099999999999994</v>
      </c>
      <c r="O177" s="46">
        <f t="shared" si="22"/>
        <v>68.8</v>
      </c>
    </row>
    <row r="178" spans="1:23" x14ac:dyDescent="0.25">
      <c r="D178" s="31" t="s">
        <v>170</v>
      </c>
      <c r="E178" s="31" t="s">
        <v>171</v>
      </c>
      <c r="F178" s="31" t="s">
        <v>179</v>
      </c>
      <c r="H178" s="46">
        <f t="shared" si="22"/>
        <v>295.60000000000002</v>
      </c>
      <c r="I178" s="46">
        <f t="shared" si="22"/>
        <v>306.7</v>
      </c>
      <c r="J178" s="46">
        <f t="shared" si="22"/>
        <v>269</v>
      </c>
      <c r="K178" s="46">
        <f t="shared" si="22"/>
        <v>273.89999999999998</v>
      </c>
      <c r="L178" s="46">
        <f t="shared" si="22"/>
        <v>255.6</v>
      </c>
      <c r="M178" s="46">
        <f t="shared" si="22"/>
        <v>242.1</v>
      </c>
      <c r="N178" s="46">
        <f t="shared" si="22"/>
        <v>228.7</v>
      </c>
      <c r="O178" s="46">
        <f t="shared" si="22"/>
        <v>215.2</v>
      </c>
    </row>
    <row r="179" spans="1:23" x14ac:dyDescent="0.25">
      <c r="D179" s="31"/>
      <c r="E179" s="31"/>
      <c r="F179" s="31"/>
      <c r="H179" s="46"/>
      <c r="I179" s="46"/>
      <c r="J179" s="46"/>
      <c r="K179" s="46"/>
      <c r="L179" s="46"/>
      <c r="M179" s="46"/>
      <c r="N179" s="46"/>
      <c r="O179" s="46"/>
    </row>
    <row r="180" spans="1:23" ht="15" x14ac:dyDescent="0.35">
      <c r="A180" s="1" t="s">
        <v>420</v>
      </c>
    </row>
    <row r="182" spans="1:23" x14ac:dyDescent="0.25">
      <c r="H182" s="9" t="s">
        <v>372</v>
      </c>
      <c r="I182" s="9" t="s">
        <v>372</v>
      </c>
      <c r="J182" s="9" t="s">
        <v>373</v>
      </c>
      <c r="K182" s="9" t="s">
        <v>373</v>
      </c>
      <c r="L182" s="9" t="s">
        <v>373</v>
      </c>
      <c r="M182" s="9" t="s">
        <v>373</v>
      </c>
      <c r="N182" s="9" t="s">
        <v>373</v>
      </c>
      <c r="O182" s="9" t="s">
        <v>373</v>
      </c>
    </row>
    <row r="183" spans="1:23" x14ac:dyDescent="0.25">
      <c r="D183" s="9" t="s">
        <v>149</v>
      </c>
      <c r="E183" s="9" t="s">
        <v>150</v>
      </c>
      <c r="F183" s="9" t="s">
        <v>151</v>
      </c>
      <c r="H183" s="9" t="s">
        <v>375</v>
      </c>
      <c r="I183" s="9" t="s">
        <v>376</v>
      </c>
      <c r="J183" s="9" t="s">
        <v>377</v>
      </c>
      <c r="K183" s="9" t="s">
        <v>174</v>
      </c>
      <c r="L183" s="9" t="s">
        <v>175</v>
      </c>
      <c r="M183" s="9" t="s">
        <v>176</v>
      </c>
      <c r="N183" s="9" t="s">
        <v>177</v>
      </c>
      <c r="O183" s="9" t="s">
        <v>178</v>
      </c>
    </row>
    <row r="184" spans="1:23" x14ac:dyDescent="0.25">
      <c r="D184" s="31" t="s">
        <v>230</v>
      </c>
      <c r="E184" s="31" t="s">
        <v>231</v>
      </c>
      <c r="F184" s="31" t="s">
        <v>421</v>
      </c>
      <c r="H184" s="48">
        <f t="shared" ref="H184:O193" si="23">INDEX(Leakage_mains,MATCH($E184,Leakage_mains_company,0),MATCH(H$38,Companydata_years,0))*thousand</f>
        <v>16683000</v>
      </c>
      <c r="I184" s="48">
        <f t="shared" si="23"/>
        <v>16730000</v>
      </c>
      <c r="J184" s="48">
        <f t="shared" si="23"/>
        <v>16770000</v>
      </c>
      <c r="K184" s="48">
        <f t="shared" si="23"/>
        <v>16819000</v>
      </c>
      <c r="L184" s="48">
        <f t="shared" si="23"/>
        <v>16868000</v>
      </c>
      <c r="M184" s="48">
        <f t="shared" si="23"/>
        <v>16917000</v>
      </c>
      <c r="N184" s="48">
        <f t="shared" si="23"/>
        <v>16979000</v>
      </c>
      <c r="O184" s="48">
        <f t="shared" si="23"/>
        <v>17028000</v>
      </c>
      <c r="Q184" s="63"/>
      <c r="R184" s="63"/>
      <c r="S184" s="63"/>
      <c r="T184" s="63"/>
      <c r="U184" s="63"/>
      <c r="V184" s="63"/>
      <c r="W184" s="63"/>
    </row>
    <row r="185" spans="1:23" x14ac:dyDescent="0.25">
      <c r="D185" s="31" t="s">
        <v>156</v>
      </c>
      <c r="E185" s="31" t="s">
        <v>157</v>
      </c>
      <c r="F185" s="31" t="s">
        <v>421</v>
      </c>
      <c r="H185" s="48">
        <f t="shared" si="23"/>
        <v>38420000</v>
      </c>
      <c r="I185" s="48">
        <f t="shared" si="23"/>
        <v>38631000</v>
      </c>
      <c r="J185" s="48">
        <f t="shared" si="23"/>
        <v>38853000</v>
      </c>
      <c r="K185" s="48">
        <f t="shared" si="23"/>
        <v>39072000</v>
      </c>
      <c r="L185" s="48">
        <f t="shared" si="23"/>
        <v>39272000</v>
      </c>
      <c r="M185" s="48">
        <f t="shared" si="23"/>
        <v>39449000</v>
      </c>
      <c r="N185" s="48">
        <f t="shared" si="23"/>
        <v>39619000</v>
      </c>
      <c r="O185" s="48">
        <f t="shared" si="23"/>
        <v>40161000</v>
      </c>
      <c r="Q185" s="63"/>
      <c r="R185" s="63"/>
      <c r="S185" s="63"/>
      <c r="T185" s="63"/>
      <c r="U185" s="63"/>
      <c r="V185" s="63"/>
      <c r="W185" s="63"/>
    </row>
    <row r="186" spans="1:23" x14ac:dyDescent="0.25">
      <c r="D186" s="31" t="s">
        <v>234</v>
      </c>
      <c r="E186" s="31" t="s">
        <v>235</v>
      </c>
      <c r="F186" s="31" t="s">
        <v>421</v>
      </c>
      <c r="H186" s="48">
        <f t="shared" si="23"/>
        <v>6828000</v>
      </c>
      <c r="I186" s="48">
        <f t="shared" si="23"/>
        <v>6854000</v>
      </c>
      <c r="J186" s="48">
        <f t="shared" si="23"/>
        <v>6880000</v>
      </c>
      <c r="K186" s="48">
        <f t="shared" si="23"/>
        <v>6906000</v>
      </c>
      <c r="L186" s="48">
        <f t="shared" si="23"/>
        <v>6932000</v>
      </c>
      <c r="M186" s="48">
        <f t="shared" si="23"/>
        <v>6958000</v>
      </c>
      <c r="N186" s="48">
        <f t="shared" si="23"/>
        <v>6984000</v>
      </c>
      <c r="O186" s="48">
        <f t="shared" si="23"/>
        <v>7010000</v>
      </c>
      <c r="Q186" s="63"/>
      <c r="R186" s="63"/>
      <c r="S186" s="63"/>
      <c r="T186" s="63"/>
      <c r="U186" s="63"/>
      <c r="V186" s="63"/>
      <c r="W186" s="63"/>
    </row>
    <row r="187" spans="1:23" x14ac:dyDescent="0.25">
      <c r="D187" s="31" t="s">
        <v>236</v>
      </c>
      <c r="E187" s="31" t="s">
        <v>237</v>
      </c>
      <c r="F187" s="31" t="s">
        <v>421</v>
      </c>
      <c r="H187" s="48">
        <f t="shared" si="23"/>
        <v>2626613.7800000003</v>
      </c>
      <c r="I187" s="48">
        <f t="shared" si="23"/>
        <v>2637313.7799999998</v>
      </c>
      <c r="J187" s="48">
        <f t="shared" si="23"/>
        <v>2648013.7800000003</v>
      </c>
      <c r="K187" s="48">
        <f t="shared" si="23"/>
        <v>2658713.7800000003</v>
      </c>
      <c r="L187" s="48">
        <f t="shared" si="23"/>
        <v>2669413.7799999998</v>
      </c>
      <c r="M187" s="48">
        <f t="shared" si="23"/>
        <v>2680113.7800000003</v>
      </c>
      <c r="N187" s="48">
        <f t="shared" si="23"/>
        <v>2690813.78</v>
      </c>
      <c r="O187" s="48">
        <f t="shared" si="23"/>
        <v>2701513.7800000003</v>
      </c>
      <c r="Q187" s="63"/>
      <c r="R187" s="63"/>
      <c r="S187" s="63"/>
      <c r="T187" s="63"/>
      <c r="U187" s="63"/>
      <c r="V187" s="63"/>
      <c r="W187" s="63"/>
    </row>
    <row r="188" spans="1:23" x14ac:dyDescent="0.25">
      <c r="D188" s="31" t="s">
        <v>160</v>
      </c>
      <c r="E188" s="31" t="s">
        <v>161</v>
      </c>
      <c r="F188" s="31" t="s">
        <v>421</v>
      </c>
      <c r="H188" s="48">
        <f t="shared" si="23"/>
        <v>17184000</v>
      </c>
      <c r="I188" s="48">
        <f t="shared" si="23"/>
        <v>17267000</v>
      </c>
      <c r="J188" s="48">
        <f t="shared" si="23"/>
        <v>17356000</v>
      </c>
      <c r="K188" s="48">
        <f t="shared" si="23"/>
        <v>17414000</v>
      </c>
      <c r="L188" s="48">
        <f t="shared" si="23"/>
        <v>17530000</v>
      </c>
      <c r="M188" s="48">
        <f t="shared" si="23"/>
        <v>17641000</v>
      </c>
      <c r="N188" s="48">
        <f t="shared" si="23"/>
        <v>17762000</v>
      </c>
      <c r="O188" s="48">
        <f t="shared" si="23"/>
        <v>17885000</v>
      </c>
      <c r="Q188" s="63"/>
      <c r="R188" s="63"/>
      <c r="S188" s="63"/>
      <c r="T188" s="63"/>
      <c r="U188" s="63"/>
      <c r="V188" s="112"/>
      <c r="W188" s="112"/>
    </row>
    <row r="189" spans="1:23" x14ac:dyDescent="0.25">
      <c r="D189" s="31" t="s">
        <v>162</v>
      </c>
      <c r="E189" s="31" t="s">
        <v>163</v>
      </c>
      <c r="F189" s="31" t="s">
        <v>421</v>
      </c>
      <c r="H189" s="48">
        <f t="shared" si="23"/>
        <v>8728000</v>
      </c>
      <c r="I189" s="48">
        <f t="shared" si="23"/>
        <v>8751000</v>
      </c>
      <c r="J189" s="48">
        <f t="shared" si="23"/>
        <v>8776000</v>
      </c>
      <c r="K189" s="48">
        <f t="shared" si="23"/>
        <v>8803000</v>
      </c>
      <c r="L189" s="48">
        <f t="shared" si="23"/>
        <v>8836000</v>
      </c>
      <c r="M189" s="48">
        <f t="shared" si="23"/>
        <v>8867000</v>
      </c>
      <c r="N189" s="48">
        <f t="shared" si="23"/>
        <v>8900000</v>
      </c>
      <c r="O189" s="48">
        <f t="shared" si="23"/>
        <v>8935000</v>
      </c>
      <c r="Q189" s="63"/>
      <c r="R189" s="63"/>
      <c r="S189" s="63"/>
      <c r="T189" s="63"/>
      <c r="U189" s="63"/>
      <c r="V189" s="112"/>
      <c r="W189" s="112"/>
    </row>
    <row r="190" spans="1:23" x14ac:dyDescent="0.25">
      <c r="D190" s="31" t="s">
        <v>238</v>
      </c>
      <c r="E190" s="31" t="s">
        <v>239</v>
      </c>
      <c r="F190" s="31" t="s">
        <v>421</v>
      </c>
      <c r="H190" s="48">
        <f t="shared" si="23"/>
        <v>3337000</v>
      </c>
      <c r="I190" s="48">
        <f t="shared" si="23"/>
        <v>3347000</v>
      </c>
      <c r="J190" s="48">
        <f t="shared" si="23"/>
        <v>3357000</v>
      </c>
      <c r="K190" s="48">
        <f t="shared" si="23"/>
        <v>3369000</v>
      </c>
      <c r="L190" s="48">
        <f t="shared" si="23"/>
        <v>3380000</v>
      </c>
      <c r="M190" s="48">
        <f t="shared" si="23"/>
        <v>3392000</v>
      </c>
      <c r="N190" s="48">
        <f t="shared" si="23"/>
        <v>3404000</v>
      </c>
      <c r="O190" s="48">
        <f t="shared" si="23"/>
        <v>3416000</v>
      </c>
      <c r="Q190" s="63"/>
      <c r="R190" s="63"/>
      <c r="S190" s="63"/>
      <c r="T190" s="63"/>
      <c r="U190" s="63"/>
      <c r="V190" s="112"/>
      <c r="W190" s="112"/>
    </row>
    <row r="191" spans="1:23" x14ac:dyDescent="0.25">
      <c r="D191" s="31" t="s">
        <v>164</v>
      </c>
      <c r="E191" s="31" t="s">
        <v>165</v>
      </c>
      <c r="F191" s="31" t="s">
        <v>421</v>
      </c>
      <c r="H191" s="48">
        <f t="shared" si="23"/>
        <v>3481000</v>
      </c>
      <c r="I191" s="48">
        <f t="shared" si="23"/>
        <v>3497000</v>
      </c>
      <c r="J191" s="48">
        <f t="shared" si="23"/>
        <v>3504000</v>
      </c>
      <c r="K191" s="48">
        <f t="shared" si="23"/>
        <v>3511000</v>
      </c>
      <c r="L191" s="48">
        <f t="shared" si="23"/>
        <v>3518000</v>
      </c>
      <c r="M191" s="48">
        <f t="shared" si="23"/>
        <v>3528000</v>
      </c>
      <c r="N191" s="48">
        <f t="shared" si="23"/>
        <v>3536000</v>
      </c>
      <c r="O191" s="48">
        <f t="shared" si="23"/>
        <v>3544000</v>
      </c>
      <c r="Q191" s="63"/>
      <c r="R191" s="63"/>
      <c r="S191" s="63"/>
      <c r="T191" s="63"/>
      <c r="U191" s="63"/>
      <c r="V191" s="112"/>
      <c r="W191" s="112"/>
    </row>
    <row r="192" spans="1:23" x14ac:dyDescent="0.25">
      <c r="D192" s="31" t="s">
        <v>240</v>
      </c>
      <c r="E192" s="31" t="s">
        <v>241</v>
      </c>
      <c r="F192" s="31" t="s">
        <v>421</v>
      </c>
      <c r="H192" s="48">
        <f t="shared" si="23"/>
        <v>14620740</v>
      </c>
      <c r="I192" s="48">
        <f t="shared" si="23"/>
        <v>14732050.6313412</v>
      </c>
      <c r="J192" s="48">
        <f t="shared" si="23"/>
        <v>14841390.4574847</v>
      </c>
      <c r="K192" s="48">
        <f t="shared" si="23"/>
        <v>14941896.551138299</v>
      </c>
      <c r="L192" s="48">
        <f t="shared" si="23"/>
        <v>15032183.4129903</v>
      </c>
      <c r="M192" s="48">
        <f t="shared" si="23"/>
        <v>15128099.7867862</v>
      </c>
      <c r="N192" s="48">
        <f t="shared" si="23"/>
        <v>15216215.672525899</v>
      </c>
      <c r="O192" s="48">
        <f t="shared" si="23"/>
        <v>15382786.8570254</v>
      </c>
      <c r="Q192" s="63"/>
      <c r="R192" s="63"/>
      <c r="S192" s="63"/>
      <c r="T192" s="63"/>
      <c r="U192" s="63"/>
      <c r="V192" s="112"/>
      <c r="W192" s="112"/>
    </row>
    <row r="193" spans="1:23" x14ac:dyDescent="0.25">
      <c r="D193" s="31" t="s">
        <v>242</v>
      </c>
      <c r="E193" s="31" t="s">
        <v>205</v>
      </c>
      <c r="F193" s="31" t="s">
        <v>421</v>
      </c>
      <c r="H193" s="48">
        <f t="shared" si="23"/>
        <v>13905000</v>
      </c>
      <c r="I193" s="48">
        <f t="shared" si="23"/>
        <v>13940000</v>
      </c>
      <c r="J193" s="48">
        <f t="shared" si="23"/>
        <v>13975000</v>
      </c>
      <c r="K193" s="48">
        <f t="shared" si="23"/>
        <v>14017000</v>
      </c>
      <c r="L193" s="48">
        <f t="shared" si="23"/>
        <v>14059000</v>
      </c>
      <c r="M193" s="48">
        <f t="shared" si="23"/>
        <v>14101000</v>
      </c>
      <c r="N193" s="48">
        <f t="shared" si="23"/>
        <v>14143000</v>
      </c>
      <c r="O193" s="48">
        <f t="shared" si="23"/>
        <v>14185000</v>
      </c>
      <c r="Q193" s="63"/>
      <c r="R193" s="63"/>
      <c r="S193" s="63"/>
      <c r="T193" s="63"/>
      <c r="U193" s="63"/>
      <c r="V193" s="112"/>
      <c r="W193" s="112"/>
    </row>
    <row r="194" spans="1:23" x14ac:dyDescent="0.25">
      <c r="D194" s="31" t="s">
        <v>243</v>
      </c>
      <c r="E194" s="31" t="s">
        <v>244</v>
      </c>
      <c r="F194" s="31" t="s">
        <v>421</v>
      </c>
      <c r="H194" s="48">
        <f t="shared" ref="H194:O202" si="24">INDEX(Leakage_mains,MATCH($E194,Leakage_mains_company,0),MATCH(H$38,Companydata_years,0))*thousand</f>
        <v>6078400</v>
      </c>
      <c r="I194" s="48">
        <f t="shared" si="24"/>
        <v>6141790</v>
      </c>
      <c r="J194" s="48">
        <f t="shared" si="24"/>
        <v>6206380</v>
      </c>
      <c r="K194" s="48">
        <f t="shared" si="24"/>
        <v>6269030</v>
      </c>
      <c r="L194" s="48">
        <f t="shared" si="24"/>
        <v>6328160</v>
      </c>
      <c r="M194" s="48">
        <f t="shared" si="24"/>
        <v>6387250</v>
      </c>
      <c r="N194" s="48">
        <f t="shared" si="24"/>
        <v>6444110</v>
      </c>
      <c r="O194" s="48">
        <f t="shared" si="24"/>
        <v>6498880</v>
      </c>
      <c r="Q194" s="63"/>
      <c r="R194" s="63"/>
      <c r="S194" s="63"/>
      <c r="T194" s="63"/>
      <c r="U194" s="63"/>
      <c r="V194" s="112"/>
      <c r="W194" s="112"/>
    </row>
    <row r="195" spans="1:23" x14ac:dyDescent="0.25">
      <c r="D195" s="9" t="s">
        <v>245</v>
      </c>
      <c r="E195" s="31" t="s">
        <v>246</v>
      </c>
      <c r="F195" s="31" t="s">
        <v>421</v>
      </c>
      <c r="H195" s="48">
        <f t="shared" si="24"/>
        <v>2412500</v>
      </c>
      <c r="I195" s="48">
        <f t="shared" si="24"/>
        <v>2429010</v>
      </c>
      <c r="J195" s="48">
        <f t="shared" si="24"/>
        <v>2445520</v>
      </c>
      <c r="K195" s="48">
        <f t="shared" si="24"/>
        <v>2462030</v>
      </c>
      <c r="L195" s="48">
        <f t="shared" si="24"/>
        <v>2477710</v>
      </c>
      <c r="M195" s="48">
        <f t="shared" si="24"/>
        <v>2490910</v>
      </c>
      <c r="N195" s="48">
        <f t="shared" si="24"/>
        <v>2504110</v>
      </c>
      <c r="O195" s="48">
        <f t="shared" si="24"/>
        <v>2517310</v>
      </c>
      <c r="Q195" s="63"/>
      <c r="R195" s="63"/>
      <c r="S195" s="63"/>
      <c r="T195" s="63"/>
      <c r="U195" s="63"/>
      <c r="V195" s="112"/>
      <c r="W195" s="112"/>
    </row>
    <row r="196" spans="1:23" x14ac:dyDescent="0.25">
      <c r="D196" s="31" t="s">
        <v>247</v>
      </c>
      <c r="E196" s="31" t="s">
        <v>198</v>
      </c>
      <c r="F196" s="31" t="s">
        <v>421</v>
      </c>
      <c r="H196" s="48">
        <f t="shared" si="24"/>
        <v>46540000</v>
      </c>
      <c r="I196" s="48">
        <f t="shared" si="24"/>
        <v>46659000</v>
      </c>
      <c r="J196" s="48">
        <f t="shared" si="24"/>
        <v>46778000</v>
      </c>
      <c r="K196" s="48">
        <f t="shared" si="24"/>
        <v>46897000</v>
      </c>
      <c r="L196" s="48">
        <f t="shared" si="24"/>
        <v>47016000</v>
      </c>
      <c r="M196" s="48">
        <f t="shared" si="24"/>
        <v>47135000</v>
      </c>
      <c r="N196" s="48">
        <f t="shared" si="24"/>
        <v>47254000</v>
      </c>
      <c r="O196" s="48">
        <f t="shared" si="24"/>
        <v>47373000</v>
      </c>
      <c r="Q196" s="63"/>
      <c r="R196" s="63"/>
      <c r="S196" s="63"/>
      <c r="T196" s="63"/>
      <c r="U196" s="63"/>
      <c r="V196" s="112"/>
      <c r="W196" s="112"/>
    </row>
    <row r="197" spans="1:23" x14ac:dyDescent="0.25">
      <c r="D197" s="31" t="s">
        <v>166</v>
      </c>
      <c r="E197" s="31" t="s">
        <v>167</v>
      </c>
      <c r="F197" s="31" t="s">
        <v>421</v>
      </c>
      <c r="H197" s="48">
        <f t="shared" si="24"/>
        <v>18232770</v>
      </c>
      <c r="I197" s="48">
        <f t="shared" si="24"/>
        <v>18288218.333333302</v>
      </c>
      <c r="J197" s="48">
        <f t="shared" si="24"/>
        <v>18336711.666666698</v>
      </c>
      <c r="K197" s="48">
        <f t="shared" si="24"/>
        <v>18386055</v>
      </c>
      <c r="L197" s="48">
        <f t="shared" si="24"/>
        <v>18435398.333333302</v>
      </c>
      <c r="M197" s="48">
        <f t="shared" si="24"/>
        <v>18491991.666666701</v>
      </c>
      <c r="N197" s="48">
        <f t="shared" si="24"/>
        <v>18543085</v>
      </c>
      <c r="O197" s="48">
        <f t="shared" si="24"/>
        <v>18591678.333333302</v>
      </c>
      <c r="Q197" s="63"/>
      <c r="R197" s="63"/>
      <c r="S197" s="63"/>
      <c r="T197" s="63"/>
      <c r="U197" s="63"/>
      <c r="V197" s="112"/>
      <c r="W197" s="112"/>
    </row>
    <row r="198" spans="1:23" x14ac:dyDescent="0.25">
      <c r="D198" s="31" t="s">
        <v>248</v>
      </c>
      <c r="E198" s="31" t="s">
        <v>249</v>
      </c>
      <c r="F198" s="31" t="s">
        <v>421</v>
      </c>
      <c r="H198" s="48">
        <f t="shared" si="24"/>
        <v>31460600</v>
      </c>
      <c r="I198" s="48">
        <f t="shared" si="24"/>
        <v>31948629.792797402</v>
      </c>
      <c r="J198" s="48">
        <f t="shared" si="24"/>
        <v>32088681.1212008</v>
      </c>
      <c r="K198" s="48">
        <f t="shared" si="24"/>
        <v>32223998.640457802</v>
      </c>
      <c r="L198" s="48">
        <f t="shared" si="24"/>
        <v>32352040.261742</v>
      </c>
      <c r="M198" s="48">
        <f t="shared" si="24"/>
        <v>32475084.798289601</v>
      </c>
      <c r="N198" s="48">
        <f t="shared" si="24"/>
        <v>32590727.608642399</v>
      </c>
      <c r="O198" s="48">
        <f t="shared" si="24"/>
        <v>32738191.9696851</v>
      </c>
      <c r="Q198" s="63"/>
      <c r="R198" s="63"/>
      <c r="S198" s="63"/>
      <c r="T198" s="63"/>
      <c r="U198" s="63"/>
      <c r="V198" s="112"/>
      <c r="W198" s="112"/>
    </row>
    <row r="199" spans="1:23" x14ac:dyDescent="0.25">
      <c r="D199" s="31" t="s">
        <v>250</v>
      </c>
      <c r="E199" s="31" t="s">
        <v>190</v>
      </c>
      <c r="F199" s="31" t="s">
        <v>421</v>
      </c>
      <c r="H199" s="48">
        <f t="shared" si="24"/>
        <v>42102877.915341996</v>
      </c>
      <c r="I199" s="48">
        <f t="shared" si="24"/>
        <v>42261957.055200003</v>
      </c>
      <c r="J199" s="48">
        <f t="shared" si="24"/>
        <v>42376019.600599997</v>
      </c>
      <c r="K199" s="48">
        <f t="shared" si="24"/>
        <v>42481143.851399995</v>
      </c>
      <c r="L199" s="48">
        <f t="shared" si="24"/>
        <v>42549292.057957999</v>
      </c>
      <c r="M199" s="48">
        <f t="shared" si="24"/>
        <v>42646892.057957999</v>
      </c>
      <c r="N199" s="48">
        <f t="shared" si="24"/>
        <v>42744592.057957999</v>
      </c>
      <c r="O199" s="48">
        <f t="shared" si="24"/>
        <v>42842292.057957999</v>
      </c>
      <c r="Q199" s="63"/>
      <c r="R199" s="63"/>
      <c r="S199" s="63"/>
      <c r="T199" s="63"/>
      <c r="U199" s="63"/>
      <c r="V199" s="112"/>
      <c r="W199" s="112"/>
    </row>
    <row r="200" spans="1:23" x14ac:dyDescent="0.25">
      <c r="D200" s="31" t="s">
        <v>251</v>
      </c>
      <c r="E200" s="31" t="s">
        <v>252</v>
      </c>
      <c r="F200" s="31" t="s">
        <v>421</v>
      </c>
      <c r="H200" s="48">
        <f t="shared" si="24"/>
        <v>27597000</v>
      </c>
      <c r="I200" s="48">
        <f t="shared" si="24"/>
        <v>27692000</v>
      </c>
      <c r="J200" s="48">
        <f t="shared" si="24"/>
        <v>27786000</v>
      </c>
      <c r="K200" s="48">
        <f t="shared" si="24"/>
        <v>27827000</v>
      </c>
      <c r="L200" s="48">
        <f t="shared" si="24"/>
        <v>27872000</v>
      </c>
      <c r="M200" s="48">
        <f t="shared" si="24"/>
        <v>27913000</v>
      </c>
      <c r="N200" s="48">
        <f t="shared" si="24"/>
        <v>27968000</v>
      </c>
      <c r="O200" s="48">
        <f t="shared" si="24"/>
        <v>28037000</v>
      </c>
      <c r="Q200" s="63"/>
      <c r="R200" s="63"/>
      <c r="S200" s="63"/>
      <c r="T200" s="63"/>
      <c r="U200" s="63"/>
      <c r="V200" s="112"/>
      <c r="W200" s="112"/>
    </row>
    <row r="201" spans="1:23" x14ac:dyDescent="0.25">
      <c r="D201" s="31" t="s">
        <v>168</v>
      </c>
      <c r="E201" s="31" t="s">
        <v>169</v>
      </c>
      <c r="F201" s="31" t="s">
        <v>421</v>
      </c>
      <c r="H201" s="48">
        <f t="shared" si="24"/>
        <v>11935020</v>
      </c>
      <c r="I201" s="48">
        <f t="shared" si="24"/>
        <v>11980016.100000001</v>
      </c>
      <c r="J201" s="48">
        <f t="shared" si="24"/>
        <v>12025016.100000001</v>
      </c>
      <c r="K201" s="48">
        <f t="shared" si="24"/>
        <v>12070016.100000001</v>
      </c>
      <c r="L201" s="48">
        <f t="shared" si="24"/>
        <v>12115016.100000001</v>
      </c>
      <c r="M201" s="48">
        <f t="shared" si="24"/>
        <v>12160016.100000001</v>
      </c>
      <c r="N201" s="48">
        <f t="shared" si="24"/>
        <v>12205016.100000001</v>
      </c>
      <c r="O201" s="48">
        <f t="shared" si="24"/>
        <v>12250016.100000001</v>
      </c>
    </row>
    <row r="202" spans="1:23" x14ac:dyDescent="0.25">
      <c r="D202" s="31" t="s">
        <v>170</v>
      </c>
      <c r="E202" s="31" t="s">
        <v>171</v>
      </c>
      <c r="F202" s="31" t="s">
        <v>421</v>
      </c>
      <c r="H202" s="48">
        <f t="shared" si="24"/>
        <v>31693000</v>
      </c>
      <c r="I202" s="48">
        <f t="shared" si="24"/>
        <v>31793000</v>
      </c>
      <c r="J202" s="48">
        <f t="shared" si="24"/>
        <v>31893000</v>
      </c>
      <c r="K202" s="48">
        <f t="shared" si="24"/>
        <v>32002000</v>
      </c>
      <c r="L202" s="48">
        <f t="shared" si="24"/>
        <v>32111000</v>
      </c>
      <c r="M202" s="48">
        <f t="shared" si="24"/>
        <v>32219000</v>
      </c>
      <c r="N202" s="48">
        <f t="shared" si="24"/>
        <v>32328000</v>
      </c>
      <c r="O202" s="48">
        <f t="shared" si="24"/>
        <v>32436000</v>
      </c>
    </row>
    <row r="203" spans="1:23" x14ac:dyDescent="0.25">
      <c r="D203" s="31"/>
      <c r="E203" s="31"/>
      <c r="F203" s="31"/>
      <c r="H203" s="46"/>
      <c r="I203" s="46"/>
      <c r="J203" s="46"/>
      <c r="K203" s="46"/>
      <c r="L203" s="46"/>
      <c r="M203" s="46"/>
      <c r="N203" s="46"/>
      <c r="O203" s="46"/>
    </row>
    <row r="204" spans="1:23" ht="15" x14ac:dyDescent="0.35">
      <c r="A204" s="1" t="s">
        <v>411</v>
      </c>
    </row>
    <row r="206" spans="1:23" x14ac:dyDescent="0.25">
      <c r="H206" s="9" t="s">
        <v>372</v>
      </c>
      <c r="I206" s="9" t="s">
        <v>372</v>
      </c>
      <c r="J206" s="9" t="s">
        <v>373</v>
      </c>
      <c r="K206" s="9" t="s">
        <v>373</v>
      </c>
      <c r="L206" s="9" t="s">
        <v>373</v>
      </c>
      <c r="M206" s="9" t="s">
        <v>373</v>
      </c>
      <c r="N206" s="9" t="s">
        <v>373</v>
      </c>
      <c r="O206" s="9" t="s">
        <v>373</v>
      </c>
    </row>
    <row r="207" spans="1:23" x14ac:dyDescent="0.25">
      <c r="D207" s="9" t="s">
        <v>149</v>
      </c>
      <c r="E207" s="9" t="s">
        <v>150</v>
      </c>
      <c r="H207" s="9" t="s">
        <v>375</v>
      </c>
      <c r="I207" s="9" t="s">
        <v>376</v>
      </c>
      <c r="J207" s="9" t="s">
        <v>377</v>
      </c>
      <c r="K207" s="9" t="s">
        <v>174</v>
      </c>
      <c r="L207" s="9" t="s">
        <v>175</v>
      </c>
      <c r="M207" s="9" t="s">
        <v>176</v>
      </c>
      <c r="N207" s="9" t="s">
        <v>177</v>
      </c>
      <c r="O207" s="9" t="s">
        <v>178</v>
      </c>
    </row>
    <row r="208" spans="1:23" x14ac:dyDescent="0.25">
      <c r="D208" s="31" t="s">
        <v>230</v>
      </c>
      <c r="E208" s="31" t="s">
        <v>231</v>
      </c>
      <c r="F208" s="31" t="s">
        <v>422</v>
      </c>
      <c r="H208" s="72" t="str">
        <f>IF(H160="","",(H160/H184)*million)</f>
        <v/>
      </c>
      <c r="I208" s="72">
        <f t="shared" ref="H208:O217" si="25">IF(I160="","",(I160/I184)*million)</f>
        <v>12.026300059772863</v>
      </c>
      <c r="J208" s="72">
        <f t="shared" si="25"/>
        <v>9.6726296958855116</v>
      </c>
      <c r="K208" s="72">
        <f t="shared" si="25"/>
        <v>10.28616445686426</v>
      </c>
      <c r="L208" s="72">
        <f t="shared" si="25"/>
        <v>9.2601375385345026</v>
      </c>
      <c r="M208" s="72">
        <f t="shared" si="25"/>
        <v>8.8786427853638337</v>
      </c>
      <c r="N208" s="72">
        <f t="shared" si="25"/>
        <v>8.4928441015371909</v>
      </c>
      <c r="O208" s="72">
        <f t="shared" si="25"/>
        <v>8.1160441625557898</v>
      </c>
      <c r="Q208" s="25"/>
      <c r="R208" s="25"/>
      <c r="S208" s="25"/>
      <c r="T208" s="25"/>
      <c r="U208" s="25"/>
      <c r="V208" s="25"/>
      <c r="W208" s="25"/>
    </row>
    <row r="209" spans="4:23" x14ac:dyDescent="0.25">
      <c r="D209" s="31" t="s">
        <v>156</v>
      </c>
      <c r="E209" s="31" t="s">
        <v>157</v>
      </c>
      <c r="F209" s="31" t="s">
        <v>422</v>
      </c>
      <c r="H209" s="72">
        <f t="shared" si="25"/>
        <v>4.7709526288391464</v>
      </c>
      <c r="I209" s="72">
        <f t="shared" si="25"/>
        <v>4.9597473531619682</v>
      </c>
      <c r="J209" s="72">
        <f t="shared" si="25"/>
        <v>4.5556327696702956</v>
      </c>
      <c r="K209" s="72">
        <f t="shared" si="25"/>
        <v>4.652948402948403</v>
      </c>
      <c r="L209" s="72">
        <f t="shared" si="25"/>
        <v>4.5528620900387047</v>
      </c>
      <c r="M209" s="72">
        <f t="shared" si="25"/>
        <v>4.4538518086643508</v>
      </c>
      <c r="N209" s="72">
        <f t="shared" si="25"/>
        <v>4.3564956207880057</v>
      </c>
      <c r="O209" s="72">
        <f t="shared" si="25"/>
        <v>4.2230024152785033</v>
      </c>
      <c r="Q209" s="25"/>
      <c r="R209" s="25"/>
      <c r="S209" s="25"/>
      <c r="T209" s="25"/>
      <c r="U209" s="25"/>
      <c r="V209" s="25"/>
      <c r="W209" s="25"/>
    </row>
    <row r="210" spans="4:23" x14ac:dyDescent="0.25">
      <c r="D210" s="31" t="s">
        <v>234</v>
      </c>
      <c r="E210" s="31" t="s">
        <v>235</v>
      </c>
      <c r="F210" s="31" t="s">
        <v>422</v>
      </c>
      <c r="H210" s="72" t="str">
        <f t="shared" si="25"/>
        <v/>
      </c>
      <c r="I210" s="72">
        <f t="shared" si="25"/>
        <v>6.6019842427779398</v>
      </c>
      <c r="J210" s="72">
        <f t="shared" si="25"/>
        <v>5.5726744186046515</v>
      </c>
      <c r="K210" s="72">
        <f t="shared" si="25"/>
        <v>6.081668114682885</v>
      </c>
      <c r="L210" s="72">
        <f t="shared" si="25"/>
        <v>5.9145989613387195</v>
      </c>
      <c r="M210" s="72">
        <f t="shared" si="25"/>
        <v>5.6769186547858572</v>
      </c>
      <c r="N210" s="72">
        <f t="shared" si="25"/>
        <v>5.4410080183276062</v>
      </c>
      <c r="O210" s="72">
        <f t="shared" si="25"/>
        <v>5.2068473609129819</v>
      </c>
      <c r="Q210" s="25"/>
      <c r="R210" s="25"/>
      <c r="S210" s="25"/>
      <c r="T210" s="25"/>
      <c r="U210" s="25"/>
      <c r="V210" s="25"/>
      <c r="W210" s="25"/>
    </row>
    <row r="211" spans="4:23" x14ac:dyDescent="0.25">
      <c r="D211" s="31" t="s">
        <v>236</v>
      </c>
      <c r="E211" s="31" t="s">
        <v>237</v>
      </c>
      <c r="F211" s="31" t="s">
        <v>422</v>
      </c>
      <c r="H211" s="72" t="str">
        <f t="shared" si="25"/>
        <v/>
      </c>
      <c r="I211" s="72">
        <f t="shared" si="25"/>
        <v>5.9768616054546353</v>
      </c>
      <c r="J211" s="72">
        <f t="shared" si="25"/>
        <v>5.5400013817148634</v>
      </c>
      <c r="K211" s="72">
        <f t="shared" si="25"/>
        <v>5.4725710264306819</v>
      </c>
      <c r="L211" s="72">
        <f t="shared" si="25"/>
        <v>5.3307584259192673</v>
      </c>
      <c r="M211" s="72">
        <f t="shared" si="25"/>
        <v>5.145303943028865</v>
      </c>
      <c r="N211" s="72">
        <f t="shared" si="25"/>
        <v>4.9613243767467257</v>
      </c>
      <c r="O211" s="72">
        <f t="shared" si="25"/>
        <v>4.7788022017788858</v>
      </c>
      <c r="Q211" s="25"/>
      <c r="R211" s="25"/>
      <c r="S211" s="25"/>
      <c r="T211" s="25"/>
      <c r="U211" s="25"/>
      <c r="V211" s="25"/>
      <c r="W211" s="25"/>
    </row>
    <row r="212" spans="4:23" x14ac:dyDescent="0.25">
      <c r="D212" s="31" t="s">
        <v>160</v>
      </c>
      <c r="E212" s="31" t="s">
        <v>161</v>
      </c>
      <c r="F212" s="31" t="s">
        <v>422</v>
      </c>
      <c r="H212" s="72">
        <f t="shared" si="25"/>
        <v>8.0656424581005588</v>
      </c>
      <c r="I212" s="72">
        <f t="shared" si="25"/>
        <v>7.5867261249782825</v>
      </c>
      <c r="J212" s="72">
        <f t="shared" si="25"/>
        <v>7.8024890527771378</v>
      </c>
      <c r="K212" s="72">
        <f t="shared" si="25"/>
        <v>7.8729757666245543</v>
      </c>
      <c r="L212" s="72">
        <f t="shared" si="25"/>
        <v>7.666856816885339</v>
      </c>
      <c r="M212" s="72">
        <f t="shared" si="25"/>
        <v>7.3805339833342769</v>
      </c>
      <c r="N212" s="72">
        <f t="shared" si="25"/>
        <v>7.0994257403445555</v>
      </c>
      <c r="O212" s="72">
        <f t="shared" si="25"/>
        <v>6.8157674028515522</v>
      </c>
      <c r="Q212" s="25"/>
      <c r="R212" s="25"/>
      <c r="S212" s="25"/>
      <c r="T212" s="25"/>
      <c r="U212" s="25"/>
      <c r="V212" s="81"/>
      <c r="W212" s="81"/>
    </row>
    <row r="213" spans="4:23" x14ac:dyDescent="0.25">
      <c r="D213" s="31" t="s">
        <v>162</v>
      </c>
      <c r="E213" s="31" t="s">
        <v>163</v>
      </c>
      <c r="F213" s="31" t="s">
        <v>422</v>
      </c>
      <c r="H213" s="72">
        <f t="shared" si="25"/>
        <v>7.5847846012832267</v>
      </c>
      <c r="I213" s="72">
        <f t="shared" si="25"/>
        <v>7.2106045023425898</v>
      </c>
      <c r="J213" s="72">
        <f t="shared" si="25"/>
        <v>7.1319507748404742</v>
      </c>
      <c r="K213" s="72">
        <f t="shared" si="25"/>
        <v>7.0316937407701916</v>
      </c>
      <c r="L213" s="72">
        <f t="shared" si="25"/>
        <v>6.8356722498868265</v>
      </c>
      <c r="M213" s="72">
        <f t="shared" si="25"/>
        <v>6.5636630201872119</v>
      </c>
      <c r="N213" s="72">
        <f t="shared" si="25"/>
        <v>6.2921348314606744</v>
      </c>
      <c r="O213" s="72">
        <f t="shared" si="25"/>
        <v>6.0212646894236146</v>
      </c>
      <c r="Q213" s="25"/>
      <c r="R213" s="25"/>
      <c r="S213" s="25"/>
      <c r="T213" s="25"/>
      <c r="U213" s="25"/>
      <c r="V213" s="81"/>
      <c r="W213" s="81"/>
    </row>
    <row r="214" spans="4:23" x14ac:dyDescent="0.25">
      <c r="D214" s="31" t="s">
        <v>238</v>
      </c>
      <c r="E214" s="31" t="s">
        <v>239</v>
      </c>
      <c r="F214" s="31" t="s">
        <v>422</v>
      </c>
      <c r="H214" s="72">
        <f t="shared" si="25"/>
        <v>10.569373688942164</v>
      </c>
      <c r="I214" s="72">
        <f t="shared" si="25"/>
        <v>8.5091126381834474</v>
      </c>
      <c r="J214" s="72">
        <f t="shared" si="25"/>
        <v>9.413166517724159</v>
      </c>
      <c r="K214" s="72">
        <f t="shared" si="25"/>
        <v>9.9436034431582083</v>
      </c>
      <c r="L214" s="72">
        <f t="shared" si="25"/>
        <v>9.4970414201183431</v>
      </c>
      <c r="M214" s="72">
        <f t="shared" si="25"/>
        <v>9.0507075471698109</v>
      </c>
      <c r="N214" s="72">
        <f t="shared" si="25"/>
        <v>8.6075205640423036</v>
      </c>
      <c r="O214" s="72">
        <f t="shared" si="25"/>
        <v>8.1674473067915692</v>
      </c>
      <c r="Q214" s="25"/>
      <c r="R214" s="25"/>
      <c r="S214" s="25"/>
      <c r="T214" s="25"/>
      <c r="U214" s="25"/>
      <c r="V214" s="81"/>
      <c r="W214" s="81"/>
    </row>
    <row r="215" spans="4:23" x14ac:dyDescent="0.25">
      <c r="D215" s="31" t="s">
        <v>164</v>
      </c>
      <c r="E215" s="31" t="s">
        <v>165</v>
      </c>
      <c r="F215" s="31" t="s">
        <v>422</v>
      </c>
      <c r="H215" s="72">
        <f t="shared" si="25"/>
        <v>6.9520252800919273</v>
      </c>
      <c r="I215" s="72">
        <f t="shared" si="25"/>
        <v>7.8638833285673444</v>
      </c>
      <c r="J215" s="72">
        <f t="shared" si="25"/>
        <v>6.8493150684931505</v>
      </c>
      <c r="K215" s="72">
        <f t="shared" si="25"/>
        <v>6.7786955283395045</v>
      </c>
      <c r="L215" s="72">
        <f t="shared" si="25"/>
        <v>6.6230812961910175</v>
      </c>
      <c r="M215" s="72">
        <f t="shared" si="25"/>
        <v>6.4058956916099774</v>
      </c>
      <c r="N215" s="72">
        <f t="shared" si="25"/>
        <v>6.1651583710407243</v>
      </c>
      <c r="O215" s="72">
        <f t="shared" si="25"/>
        <v>5.9537246049661405</v>
      </c>
      <c r="Q215" s="25"/>
      <c r="R215" s="25"/>
      <c r="S215" s="25"/>
      <c r="T215" s="25"/>
      <c r="U215" s="25"/>
      <c r="V215" s="81"/>
      <c r="W215" s="81"/>
    </row>
    <row r="216" spans="4:23" x14ac:dyDescent="0.25">
      <c r="D216" s="31" t="s">
        <v>240</v>
      </c>
      <c r="E216" s="31" t="s">
        <v>241</v>
      </c>
      <c r="F216" s="31" t="s">
        <v>422</v>
      </c>
      <c r="H216" s="72">
        <f t="shared" si="25"/>
        <v>6.0256867983426279</v>
      </c>
      <c r="I216" s="72">
        <f t="shared" si="25"/>
        <v>5.8987035935871388</v>
      </c>
      <c r="J216" s="72">
        <f t="shared" si="25"/>
        <v>5.835032792114605</v>
      </c>
      <c r="K216" s="72">
        <f t="shared" si="25"/>
        <v>5.8426318038823082</v>
      </c>
      <c r="L216" s="72">
        <f t="shared" si="25"/>
        <v>5.7942347832671564</v>
      </c>
      <c r="M216" s="72">
        <f t="shared" si="25"/>
        <v>5.6715649162324357</v>
      </c>
      <c r="N216" s="72">
        <f t="shared" si="25"/>
        <v>5.4612790583695343</v>
      </c>
      <c r="O216" s="72">
        <f t="shared" si="25"/>
        <v>5.1421111619884803</v>
      </c>
      <c r="Q216" s="25"/>
      <c r="R216" s="25"/>
      <c r="S216" s="25"/>
      <c r="T216" s="25"/>
      <c r="U216" s="25"/>
      <c r="V216" s="81"/>
      <c r="W216" s="81"/>
    </row>
    <row r="217" spans="4:23" x14ac:dyDescent="0.25">
      <c r="D217" s="31" t="s">
        <v>242</v>
      </c>
      <c r="E217" s="31" t="s">
        <v>205</v>
      </c>
      <c r="F217" s="31" t="s">
        <v>422</v>
      </c>
      <c r="H217" s="72">
        <f t="shared" si="25"/>
        <v>7.3786407766990285</v>
      </c>
      <c r="I217" s="72">
        <f t="shared" si="25"/>
        <v>7.381635581061694</v>
      </c>
      <c r="J217" s="72">
        <f t="shared" si="25"/>
        <v>7.2987477638640428</v>
      </c>
      <c r="K217" s="72">
        <f t="shared" si="25"/>
        <v>7.2982806591995431</v>
      </c>
      <c r="L217" s="72">
        <f t="shared" si="25"/>
        <v>7.0488654954121914</v>
      </c>
      <c r="M217" s="72">
        <f t="shared" si="25"/>
        <v>6.8009361038224245</v>
      </c>
      <c r="N217" s="72">
        <f t="shared" si="25"/>
        <v>6.554479247684367</v>
      </c>
      <c r="O217" s="72">
        <f t="shared" si="25"/>
        <v>6.3165315474092347</v>
      </c>
      <c r="Q217" s="25"/>
      <c r="R217" s="25"/>
      <c r="S217" s="25"/>
      <c r="T217" s="25"/>
      <c r="U217" s="25"/>
      <c r="V217" s="81"/>
      <c r="W217" s="81"/>
    </row>
    <row r="218" spans="4:23" x14ac:dyDescent="0.25">
      <c r="D218" s="31" t="s">
        <v>243</v>
      </c>
      <c r="E218" s="31" t="s">
        <v>244</v>
      </c>
      <c r="F218" s="31" t="s">
        <v>422</v>
      </c>
      <c r="H218" s="72">
        <f t="shared" ref="H218:O226" si="26">IF(H170="","",(H170/H194)*million)</f>
        <v>11.631350355356673</v>
      </c>
      <c r="I218" s="72">
        <f t="shared" si="26"/>
        <v>11.55363501519915</v>
      </c>
      <c r="J218" s="72">
        <f t="shared" si="26"/>
        <v>11.439840937873607</v>
      </c>
      <c r="K218" s="72">
        <f t="shared" si="26"/>
        <v>11.054341740269228</v>
      </c>
      <c r="L218" s="72">
        <f t="shared" si="26"/>
        <v>10.587595762433313</v>
      </c>
      <c r="M218" s="72">
        <f t="shared" si="26"/>
        <v>9.9416806920036009</v>
      </c>
      <c r="N218" s="72">
        <f t="shared" si="26"/>
        <v>9.3108280274545283</v>
      </c>
      <c r="O218" s="72">
        <f t="shared" si="26"/>
        <v>8.6938057019055588</v>
      </c>
      <c r="Q218" s="25"/>
      <c r="R218" s="25"/>
      <c r="S218" s="25"/>
      <c r="T218" s="25"/>
      <c r="U218" s="25"/>
      <c r="V218" s="81"/>
      <c r="W218" s="81"/>
    </row>
    <row r="219" spans="4:23" x14ac:dyDescent="0.25">
      <c r="D219" s="9" t="s">
        <v>245</v>
      </c>
      <c r="E219" s="31" t="s">
        <v>246</v>
      </c>
      <c r="F219" s="31" t="s">
        <v>422</v>
      </c>
      <c r="H219" s="72">
        <f t="shared" si="26"/>
        <v>5.8031088082901556</v>
      </c>
      <c r="I219" s="72">
        <f t="shared" si="26"/>
        <v>6.1835891988917293</v>
      </c>
      <c r="J219" s="72">
        <f t="shared" si="26"/>
        <v>6.2730662971102644</v>
      </c>
      <c r="K219" s="72">
        <f t="shared" si="26"/>
        <v>5.4426631681986004</v>
      </c>
      <c r="L219" s="72">
        <f t="shared" si="26"/>
        <v>5.2871401415016281</v>
      </c>
      <c r="M219" s="72">
        <f t="shared" si="26"/>
        <v>5.098538285205005</v>
      </c>
      <c r="N219" s="72">
        <f t="shared" si="26"/>
        <v>4.9119247956359748</v>
      </c>
      <c r="O219" s="72">
        <f t="shared" si="26"/>
        <v>4.7272683936424196</v>
      </c>
      <c r="Q219" s="25"/>
      <c r="R219" s="25"/>
      <c r="S219" s="25"/>
      <c r="T219" s="25"/>
      <c r="U219" s="25"/>
      <c r="V219" s="81"/>
      <c r="W219" s="81"/>
    </row>
    <row r="220" spans="4:23" x14ac:dyDescent="0.25">
      <c r="D220" s="31" t="s">
        <v>247</v>
      </c>
      <c r="E220" s="31" t="s">
        <v>198</v>
      </c>
      <c r="F220" s="31" t="s">
        <v>422</v>
      </c>
      <c r="H220" s="72">
        <f t="shared" si="26"/>
        <v>8.6192522561237634</v>
      </c>
      <c r="I220" s="72">
        <f t="shared" si="26"/>
        <v>8.9294128612910626</v>
      </c>
      <c r="J220" s="72">
        <f t="shared" si="26"/>
        <v>8.7819060241994098</v>
      </c>
      <c r="K220" s="72">
        <f t="shared" si="26"/>
        <v>8.1497750389150703</v>
      </c>
      <c r="L220" s="72">
        <f t="shared" si="26"/>
        <v>8.0079122001020924</v>
      </c>
      <c r="M220" s="72">
        <f t="shared" si="26"/>
        <v>7.7543226901453268</v>
      </c>
      <c r="N220" s="72">
        <f t="shared" si="26"/>
        <v>7.3411774664578653</v>
      </c>
      <c r="O220" s="72">
        <f t="shared" si="26"/>
        <v>7.0103223355075679</v>
      </c>
      <c r="Q220" s="25"/>
      <c r="R220" s="25"/>
      <c r="S220" s="25"/>
      <c r="T220" s="25"/>
      <c r="U220" s="25"/>
      <c r="V220" s="81"/>
      <c r="W220" s="81"/>
    </row>
    <row r="221" spans="4:23" x14ac:dyDescent="0.25">
      <c r="D221" s="31" t="s">
        <v>166</v>
      </c>
      <c r="E221" s="31" t="s">
        <v>167</v>
      </c>
      <c r="F221" s="31" t="s">
        <v>422</v>
      </c>
      <c r="H221" s="72" t="str">
        <f t="shared" si="26"/>
        <v/>
      </c>
      <c r="I221" s="72">
        <f t="shared" si="26"/>
        <v>6.496491091318858</v>
      </c>
      <c r="J221" s="72">
        <f t="shared" si="26"/>
        <v>6.3370140793146472</v>
      </c>
      <c r="K221" s="72">
        <f t="shared" si="26"/>
        <v>6.2166680127955667</v>
      </c>
      <c r="L221" s="72">
        <f t="shared" si="26"/>
        <v>6.0085276161196877</v>
      </c>
      <c r="M221" s="72">
        <f t="shared" si="26"/>
        <v>5.7989643264494122</v>
      </c>
      <c r="N221" s="72">
        <f t="shared" si="26"/>
        <v>5.5923380602526498</v>
      </c>
      <c r="O221" s="72">
        <f t="shared" si="26"/>
        <v>5.3875716976242245</v>
      </c>
      <c r="Q221" s="25"/>
      <c r="R221" s="25"/>
      <c r="S221" s="25"/>
      <c r="T221" s="25"/>
      <c r="U221" s="25"/>
      <c r="V221" s="81"/>
      <c r="W221" s="81"/>
    </row>
    <row r="222" spans="4:23" x14ac:dyDescent="0.25">
      <c r="D222" s="31" t="s">
        <v>248</v>
      </c>
      <c r="E222" s="31" t="s">
        <v>249</v>
      </c>
      <c r="F222" s="31" t="s">
        <v>422</v>
      </c>
      <c r="H222" s="72" t="str">
        <f t="shared" si="26"/>
        <v/>
      </c>
      <c r="I222" s="72">
        <f t="shared" si="26"/>
        <v>22.498617457517646</v>
      </c>
      <c r="J222" s="72">
        <f t="shared" si="26"/>
        <v>21.022989304296953</v>
      </c>
      <c r="K222" s="72">
        <f t="shared" si="26"/>
        <v>21.257448761804824</v>
      </c>
      <c r="L222" s="72">
        <f t="shared" si="26"/>
        <v>19.813279002314314</v>
      </c>
      <c r="M222" s="72">
        <f t="shared" si="26"/>
        <v>18.876009217758394</v>
      </c>
      <c r="N222" s="72">
        <f t="shared" si="26"/>
        <v>18.103308618477854</v>
      </c>
      <c r="O222" s="72">
        <f t="shared" si="26"/>
        <v>17.349766918281755</v>
      </c>
      <c r="Q222" s="25"/>
      <c r="R222" s="25"/>
      <c r="S222" s="25"/>
      <c r="T222" s="25"/>
      <c r="U222" s="25"/>
      <c r="V222" s="81"/>
      <c r="W222" s="81"/>
    </row>
    <row r="223" spans="4:23" x14ac:dyDescent="0.25">
      <c r="D223" s="31" t="s">
        <v>250</v>
      </c>
      <c r="E223" s="31" t="s">
        <v>190</v>
      </c>
      <c r="F223" s="31" t="s">
        <v>422</v>
      </c>
      <c r="H223" s="72">
        <f t="shared" si="26"/>
        <v>10.645353054040969</v>
      </c>
      <c r="I223" s="72">
        <f t="shared" si="26"/>
        <v>10.695198033768881</v>
      </c>
      <c r="J223" s="72">
        <f t="shared" si="26"/>
        <v>10.576736659656774</v>
      </c>
      <c r="K223" s="72">
        <f t="shared" si="26"/>
        <v>10.479943797119015</v>
      </c>
      <c r="L223" s="72">
        <f t="shared" si="26"/>
        <v>10.324496102111707</v>
      </c>
      <c r="M223" s="72">
        <f t="shared" si="26"/>
        <v>10.054660007046985</v>
      </c>
      <c r="N223" s="72">
        <f t="shared" si="26"/>
        <v>9.6246093410407774</v>
      </c>
      <c r="O223" s="72">
        <f t="shared" si="26"/>
        <v>9.030796005885799</v>
      </c>
      <c r="Q223" s="25"/>
      <c r="R223" s="25"/>
      <c r="S223" s="25"/>
      <c r="T223" s="25"/>
      <c r="U223" s="25"/>
      <c r="V223" s="81"/>
      <c r="W223" s="81"/>
    </row>
    <row r="224" spans="4:23" x14ac:dyDescent="0.25">
      <c r="D224" s="31" t="s">
        <v>251</v>
      </c>
      <c r="E224" s="31" t="s">
        <v>252</v>
      </c>
      <c r="F224" s="31" t="s">
        <v>422</v>
      </c>
      <c r="H224" s="72">
        <f t="shared" si="26"/>
        <v>6.3811283835199477</v>
      </c>
      <c r="I224" s="72">
        <f t="shared" si="26"/>
        <v>6.9297992199913336</v>
      </c>
      <c r="J224" s="72">
        <f t="shared" si="26"/>
        <v>6.0821996688980065</v>
      </c>
      <c r="K224" s="72">
        <f t="shared" si="26"/>
        <v>6.0337082689474251</v>
      </c>
      <c r="L224" s="72">
        <f t="shared" si="26"/>
        <v>5.8768656716417906</v>
      </c>
      <c r="M224" s="72">
        <f t="shared" si="26"/>
        <v>5.6819403145487763</v>
      </c>
      <c r="N224" s="72">
        <f t="shared" si="26"/>
        <v>5.484839816933639</v>
      </c>
      <c r="O224" s="72">
        <f t="shared" si="26"/>
        <v>5.2858722402539495</v>
      </c>
      <c r="Q224" s="25"/>
      <c r="R224" s="25"/>
      <c r="S224" s="25"/>
      <c r="T224" s="25"/>
      <c r="U224" s="25"/>
      <c r="V224" s="81"/>
      <c r="W224" s="81"/>
    </row>
    <row r="225" spans="1:23" x14ac:dyDescent="0.25">
      <c r="D225" s="31" t="s">
        <v>168</v>
      </c>
      <c r="E225" s="31" t="s">
        <v>169</v>
      </c>
      <c r="F225" s="31" t="s">
        <v>422</v>
      </c>
      <c r="H225" s="72">
        <f t="shared" si="26"/>
        <v>6.7155312684855168</v>
      </c>
      <c r="I225" s="72">
        <f t="shared" si="26"/>
        <v>6.6510762034785573</v>
      </c>
      <c r="J225" s="72">
        <f t="shared" si="26"/>
        <v>6.567974574271048</v>
      </c>
      <c r="K225" s="72">
        <f t="shared" si="26"/>
        <v>6.4291546388243823</v>
      </c>
      <c r="L225" s="72">
        <f t="shared" si="26"/>
        <v>6.2566982473923405</v>
      </c>
      <c r="M225" s="72">
        <f t="shared" si="26"/>
        <v>6.0443998918718531</v>
      </c>
      <c r="N225" s="72">
        <f t="shared" si="26"/>
        <v>5.8254736755324714</v>
      </c>
      <c r="O225" s="72">
        <f t="shared" si="26"/>
        <v>5.6163191491642195</v>
      </c>
      <c r="Q225" s="25"/>
      <c r="R225" s="25"/>
      <c r="S225" s="25"/>
      <c r="T225" s="25"/>
      <c r="U225" s="25"/>
      <c r="V225" s="25"/>
      <c r="W225" s="25"/>
    </row>
    <row r="226" spans="1:23" x14ac:dyDescent="0.25">
      <c r="D226" s="31" t="s">
        <v>170</v>
      </c>
      <c r="E226" s="31" t="s">
        <v>171</v>
      </c>
      <c r="F226" s="31" t="s">
        <v>422</v>
      </c>
      <c r="H226" s="72">
        <f t="shared" si="26"/>
        <v>9.3269807212949232</v>
      </c>
      <c r="I226" s="72">
        <f t="shared" si="26"/>
        <v>9.6467775925518193</v>
      </c>
      <c r="J226" s="72">
        <f t="shared" si="26"/>
        <v>8.4344527012197048</v>
      </c>
      <c r="K226" s="72">
        <f t="shared" si="26"/>
        <v>8.5588400724954692</v>
      </c>
      <c r="L226" s="72">
        <f t="shared" si="26"/>
        <v>7.95988913456448</v>
      </c>
      <c r="M226" s="72">
        <f t="shared" si="26"/>
        <v>7.5141996958316524</v>
      </c>
      <c r="N226" s="72">
        <f t="shared" si="26"/>
        <v>7.0743627814897296</v>
      </c>
      <c r="O226" s="72">
        <f t="shared" si="26"/>
        <v>6.6346035269453685</v>
      </c>
      <c r="Q226" s="25"/>
      <c r="R226" s="25"/>
      <c r="S226" s="25"/>
      <c r="T226" s="25"/>
      <c r="U226" s="25"/>
      <c r="V226" s="25"/>
      <c r="W226" s="25"/>
    </row>
    <row r="227" spans="1:23" x14ac:dyDescent="0.25">
      <c r="D227" s="31"/>
      <c r="E227" s="31"/>
      <c r="F227" s="31"/>
      <c r="H227" s="46"/>
      <c r="I227" s="46"/>
      <c r="J227" s="46"/>
      <c r="K227" s="46"/>
      <c r="L227" s="46"/>
      <c r="M227" s="46"/>
      <c r="N227" s="46"/>
      <c r="O227" s="46"/>
    </row>
    <row r="228" spans="1:23" ht="15" x14ac:dyDescent="0.35">
      <c r="A228" s="1" t="s">
        <v>378</v>
      </c>
      <c r="D228" s="31"/>
      <c r="E228" s="31"/>
      <c r="F228" s="31"/>
      <c r="H228" s="28"/>
      <c r="I228" s="28"/>
      <c r="J228" s="28"/>
      <c r="K228" s="28"/>
      <c r="L228" s="28"/>
      <c r="M228" s="28"/>
      <c r="N228" s="28"/>
      <c r="O228" s="28"/>
    </row>
    <row r="229" spans="1:23" ht="13.8" x14ac:dyDescent="0.3">
      <c r="B229" s="2" t="s">
        <v>379</v>
      </c>
      <c r="C229" s="2"/>
      <c r="D229" s="31"/>
      <c r="E229" s="31"/>
      <c r="F229" s="31"/>
      <c r="H229" s="28"/>
      <c r="I229" s="28"/>
      <c r="J229" s="28"/>
      <c r="K229" s="28"/>
      <c r="L229" s="28"/>
      <c r="M229" s="28"/>
      <c r="N229" s="28"/>
      <c r="O229" s="28"/>
    </row>
    <row r="230" spans="1:23" x14ac:dyDescent="0.25">
      <c r="C230" s="4" t="s">
        <v>380</v>
      </c>
      <c r="D230" s="31"/>
      <c r="E230" s="31"/>
      <c r="F230" s="31"/>
      <c r="H230" s="28"/>
      <c r="I230" s="28"/>
      <c r="J230" s="28"/>
    </row>
    <row r="231" spans="1:23" x14ac:dyDescent="0.25">
      <c r="D231" s="31"/>
      <c r="E231" s="31"/>
      <c r="F231" s="31"/>
      <c r="H231" s="28"/>
      <c r="I231" s="28"/>
      <c r="J231" s="28"/>
    </row>
    <row r="232" spans="1:23" x14ac:dyDescent="0.25">
      <c r="D232" s="31"/>
      <c r="E232" s="31"/>
      <c r="F232" s="31"/>
      <c r="H232" s="9" t="s">
        <v>372</v>
      </c>
      <c r="I232" s="9" t="s">
        <v>372</v>
      </c>
      <c r="J232" s="9" t="s">
        <v>373</v>
      </c>
      <c r="K232" s="9" t="s">
        <v>374</v>
      </c>
      <c r="L232" s="9" t="s">
        <v>374</v>
      </c>
      <c r="M232" s="9" t="s">
        <v>374</v>
      </c>
      <c r="N232" s="9" t="s">
        <v>374</v>
      </c>
      <c r="O232" s="9" t="s">
        <v>374</v>
      </c>
    </row>
    <row r="233" spans="1:23" x14ac:dyDescent="0.25">
      <c r="F233" s="21"/>
      <c r="H233" s="9" t="s">
        <v>375</v>
      </c>
      <c r="I233" s="9" t="s">
        <v>376</v>
      </c>
      <c r="J233" s="9" t="s">
        <v>377</v>
      </c>
      <c r="K233" s="9" t="s">
        <v>174</v>
      </c>
      <c r="L233" s="9" t="s">
        <v>175</v>
      </c>
      <c r="M233" s="9" t="s">
        <v>176</v>
      </c>
      <c r="N233" s="9" t="s">
        <v>177</v>
      </c>
      <c r="O233" s="9" t="s">
        <v>178</v>
      </c>
    </row>
    <row r="234" spans="1:23" x14ac:dyDescent="0.25">
      <c r="E234" s="9" t="s">
        <v>381</v>
      </c>
      <c r="F234" s="31" t="s">
        <v>423</v>
      </c>
      <c r="H234" s="25">
        <f>MIN(H208:H226)</f>
        <v>4.7709526288391464</v>
      </c>
      <c r="I234" s="25">
        <f t="shared" ref="I234:O234" si="27">MIN(I208:I226)</f>
        <v>4.9597473531619682</v>
      </c>
      <c r="J234" s="25">
        <f t="shared" si="27"/>
        <v>4.5556327696702956</v>
      </c>
      <c r="K234" s="25">
        <f>MIN(K208:K226)</f>
        <v>4.652948402948403</v>
      </c>
      <c r="L234" s="25">
        <f t="shared" si="27"/>
        <v>4.5528620900387047</v>
      </c>
      <c r="M234" s="25">
        <f t="shared" si="27"/>
        <v>4.4538518086643508</v>
      </c>
      <c r="N234" s="25">
        <f t="shared" si="27"/>
        <v>4.3564956207880057</v>
      </c>
      <c r="O234" s="25">
        <f t="shared" si="27"/>
        <v>4.2230024152785033</v>
      </c>
    </row>
    <row r="235" spans="1:23" ht="13.8" thickBot="1" x14ac:dyDescent="0.3"/>
    <row r="236" spans="1:23" ht="13.8" thickBot="1" x14ac:dyDescent="0.3">
      <c r="E236" s="64" t="s">
        <v>382</v>
      </c>
      <c r="F236" s="67">
        <f>MIN(H234:I234, K234)</f>
        <v>4.652948402948403</v>
      </c>
    </row>
    <row r="238" spans="1:23" ht="13.8" x14ac:dyDescent="0.3">
      <c r="B238" s="2" t="s">
        <v>383</v>
      </c>
    </row>
    <row r="239" spans="1:23" x14ac:dyDescent="0.25">
      <c r="C239" s="4" t="s">
        <v>384</v>
      </c>
    </row>
    <row r="240" spans="1:23" x14ac:dyDescent="0.25">
      <c r="C240" s="4"/>
    </row>
    <row r="241" spans="2:15" x14ac:dyDescent="0.25">
      <c r="E241" s="18" t="s">
        <v>121</v>
      </c>
      <c r="F241" s="121">
        <f>frontiershift</f>
        <v>1.3785667427973047E-2</v>
      </c>
    </row>
    <row r="242" spans="2:15" ht="13.8" thickBot="1" x14ac:dyDescent="0.3"/>
    <row r="243" spans="2:15" ht="13.8" thickBot="1" x14ac:dyDescent="0.3">
      <c r="E243" s="64" t="s">
        <v>385</v>
      </c>
      <c r="F243" s="67">
        <f>F236*(1-F241)</f>
        <v>4.5888044037058382</v>
      </c>
    </row>
    <row r="245" spans="2:15" ht="13.8" x14ac:dyDescent="0.3">
      <c r="B245" s="2" t="s">
        <v>386</v>
      </c>
    </row>
    <row r="246" spans="2:15" x14ac:dyDescent="0.25">
      <c r="C246" s="4" t="s">
        <v>424</v>
      </c>
    </row>
    <row r="247" spans="2:15" s="9" customFormat="1" x14ac:dyDescent="0.25">
      <c r="C247" s="4" t="s">
        <v>425</v>
      </c>
    </row>
    <row r="249" spans="2:15" x14ac:dyDescent="0.25">
      <c r="H249" s="9" t="s">
        <v>372</v>
      </c>
      <c r="I249" s="9" t="s">
        <v>372</v>
      </c>
      <c r="J249" s="9" t="s">
        <v>373</v>
      </c>
      <c r="K249" s="9" t="s">
        <v>374</v>
      </c>
      <c r="L249" s="9" t="s">
        <v>374</v>
      </c>
      <c r="M249" s="9" t="s">
        <v>374</v>
      </c>
      <c r="N249" s="9" t="s">
        <v>374</v>
      </c>
      <c r="O249" s="9" t="s">
        <v>374</v>
      </c>
    </row>
    <row r="250" spans="2:15" x14ac:dyDescent="0.25">
      <c r="H250" s="9" t="s">
        <v>375</v>
      </c>
      <c r="I250" s="9" t="s">
        <v>376</v>
      </c>
      <c r="J250" s="9" t="s">
        <v>377</v>
      </c>
      <c r="K250" s="9" t="s">
        <v>174</v>
      </c>
      <c r="L250" s="9" t="s">
        <v>175</v>
      </c>
      <c r="M250" s="9" t="s">
        <v>176</v>
      </c>
      <c r="N250" s="9" t="s">
        <v>177</v>
      </c>
      <c r="O250" s="9" t="s">
        <v>178</v>
      </c>
    </row>
    <row r="251" spans="2:15" x14ac:dyDescent="0.25">
      <c r="E251" s="9" t="s">
        <v>389</v>
      </c>
      <c r="F251" s="31" t="s">
        <v>422</v>
      </c>
      <c r="H251" s="25">
        <f>_xlfn.PERCENTILE.INC(H$208:H$226,0.25)</f>
        <v>6.4647291047613402</v>
      </c>
      <c r="I251" s="25">
        <f t="shared" ref="I251:O251" si="28">_xlfn.PERCENTILE.INC(I$208:I$226,0.25)</f>
        <v>6.5492376670483985</v>
      </c>
      <c r="J251" s="25">
        <f t="shared" si="28"/>
        <v>6.1776329830041359</v>
      </c>
      <c r="K251" s="25">
        <f t="shared" si="28"/>
        <v>6.0576881918151546</v>
      </c>
      <c r="L251" s="25">
        <f t="shared" si="28"/>
        <v>5.8957323164902551</v>
      </c>
      <c r="M251" s="25">
        <f t="shared" si="28"/>
        <v>5.6794294846673168</v>
      </c>
      <c r="N251" s="25">
        <f t="shared" si="28"/>
        <v>5.4730594376515871</v>
      </c>
      <c r="O251" s="25">
        <f t="shared" si="28"/>
        <v>5.2463598005834662</v>
      </c>
    </row>
    <row r="252" spans="2:15" x14ac:dyDescent="0.25">
      <c r="E252" s="9" t="s">
        <v>390</v>
      </c>
      <c r="F252" s="31" t="s">
        <v>422</v>
      </c>
      <c r="H252" s="25">
        <f>_xlfn.PERCENTILE.INC(H$208:H$226,0.75)</f>
        <v>9.1500486050021337</v>
      </c>
      <c r="I252" s="25">
        <f t="shared" ref="I252:O252" si="29">_xlfn.PERCENTILE.INC(I$208:I$226,0.75)</f>
        <v>9.2880952269214418</v>
      </c>
      <c r="J252" s="25">
        <f>_xlfn.PERCENTILE.INC(J$208:J$226,0.75)</f>
        <v>9.0975362709617844</v>
      </c>
      <c r="K252" s="25">
        <f t="shared" si="29"/>
        <v>9.2512217578268388</v>
      </c>
      <c r="L252" s="25">
        <f t="shared" si="29"/>
        <v>8.6340248693182975</v>
      </c>
      <c r="M252" s="25">
        <f t="shared" si="29"/>
        <v>8.3164827377545798</v>
      </c>
      <c r="N252" s="25">
        <f>_xlfn.PERCENTILE.INC(N$208:N$226,0.75)</f>
        <v>7.9170107839975277</v>
      </c>
      <c r="O252" s="25">
        <f t="shared" si="29"/>
        <v>7.5631832490316793</v>
      </c>
    </row>
    <row r="254" spans="2:15" x14ac:dyDescent="0.25">
      <c r="E254" s="9" t="s">
        <v>391</v>
      </c>
      <c r="F254" s="9" t="s">
        <v>392</v>
      </c>
      <c r="H254" s="34"/>
      <c r="I254" s="34">
        <f>(I251/H251-1)</f>
        <v>1.3072251121058809E-2</v>
      </c>
      <c r="J254" s="34">
        <f>(J251/I251-1)</f>
        <v>-5.6740143347361105E-2</v>
      </c>
      <c r="K254" s="34">
        <f>(K251/J251-1)</f>
        <v>-1.9415978825380598E-2</v>
      </c>
      <c r="L254" s="34">
        <f t="shared" ref="L254" si="30">(L251/K251-1)</f>
        <v>-2.6735591234908096E-2</v>
      </c>
      <c r="M254" s="34">
        <f t="shared" ref="M254" si="31">(M251/L251-1)</f>
        <v>-3.66880347023123E-2</v>
      </c>
      <c r="N254" s="34">
        <f t="shared" ref="N254" si="32">(N251/M251-1)</f>
        <v>-3.6336404487962048E-2</v>
      </c>
      <c r="O254" s="34">
        <f t="shared" ref="O254" si="33">(O251/N251-1)</f>
        <v>-4.1421007692435063E-2</v>
      </c>
    </row>
    <row r="257" spans="3:21" ht="13.8" x14ac:dyDescent="0.3">
      <c r="C257" s="107" t="s">
        <v>413</v>
      </c>
    </row>
    <row r="258" spans="3:21" ht="13.8" x14ac:dyDescent="0.3">
      <c r="C258" s="107"/>
      <c r="D258" s="4" t="s">
        <v>414</v>
      </c>
    </row>
    <row r="259" spans="3:21" ht="13.8" x14ac:dyDescent="0.3">
      <c r="C259" s="107"/>
      <c r="D259" s="4"/>
    </row>
    <row r="260" spans="3:21" ht="13.8" x14ac:dyDescent="0.3">
      <c r="C260" s="107"/>
      <c r="D260" s="9" t="s">
        <v>149</v>
      </c>
      <c r="E260" s="9" t="s">
        <v>150</v>
      </c>
      <c r="F260" s="9" t="s">
        <v>151</v>
      </c>
      <c r="K260" s="9" t="s">
        <v>174</v>
      </c>
      <c r="L260" s="9" t="s">
        <v>175</v>
      </c>
      <c r="M260" s="9" t="s">
        <v>176</v>
      </c>
      <c r="N260" s="9" t="s">
        <v>177</v>
      </c>
      <c r="O260" s="9" t="s">
        <v>178</v>
      </c>
    </row>
    <row r="261" spans="3:21" x14ac:dyDescent="0.25">
      <c r="D261" s="31" t="s">
        <v>156</v>
      </c>
      <c r="E261" s="31" t="s">
        <v>157</v>
      </c>
      <c r="F261" s="31" t="s">
        <v>179</v>
      </c>
      <c r="J261" s="53"/>
      <c r="K261" s="25">
        <f t="shared" ref="K261:O267" si="34">($F$243*(INDEX(Leakage_mains,MATCH($E261,Leakage_mains_company,0),MATCH(K$260,Companydata_years,0))*thousand))/million</f>
        <v>179.29376566159451</v>
      </c>
      <c r="L261" s="25">
        <f t="shared" si="34"/>
        <v>180.21152654233569</v>
      </c>
      <c r="M261" s="25">
        <f t="shared" si="34"/>
        <v>181.0237449217916</v>
      </c>
      <c r="N261" s="25">
        <f t="shared" si="34"/>
        <v>181.8038416704216</v>
      </c>
      <c r="O261" s="25">
        <f t="shared" si="34"/>
        <v>184.29097365723018</v>
      </c>
    </row>
    <row r="262" spans="3:21" x14ac:dyDescent="0.25">
      <c r="D262" s="31" t="s">
        <v>160</v>
      </c>
      <c r="E262" s="31" t="s">
        <v>161</v>
      </c>
      <c r="F262" s="31" t="s">
        <v>179</v>
      </c>
      <c r="K262" s="25">
        <f t="shared" si="34"/>
        <v>79.909439886133455</v>
      </c>
      <c r="L262" s="25">
        <f t="shared" si="34"/>
        <v>80.441741196963335</v>
      </c>
      <c r="M262" s="25">
        <f t="shared" si="34"/>
        <v>80.951098485774693</v>
      </c>
      <c r="N262" s="25">
        <f t="shared" si="34"/>
        <v>81.506343818623094</v>
      </c>
      <c r="O262" s="25">
        <f t="shared" si="34"/>
        <v>82.070766760278914</v>
      </c>
      <c r="Q262" s="25"/>
      <c r="R262" s="25"/>
      <c r="S262" s="25"/>
      <c r="T262" s="25"/>
      <c r="U262" s="25"/>
    </row>
    <row r="263" spans="3:21" x14ac:dyDescent="0.25">
      <c r="D263" s="31" t="s">
        <v>162</v>
      </c>
      <c r="E263" s="31" t="s">
        <v>163</v>
      </c>
      <c r="F263" s="31" t="s">
        <v>179</v>
      </c>
      <c r="K263" s="25">
        <f t="shared" si="34"/>
        <v>40.395245165822494</v>
      </c>
      <c r="L263" s="25">
        <f t="shared" si="34"/>
        <v>40.546675711144779</v>
      </c>
      <c r="M263" s="25">
        <f t="shared" si="34"/>
        <v>40.688928647659665</v>
      </c>
      <c r="N263" s="25">
        <f t="shared" si="34"/>
        <v>40.840359192981957</v>
      </c>
      <c r="O263" s="25">
        <f t="shared" si="34"/>
        <v>41.000967347111661</v>
      </c>
    </row>
    <row r="264" spans="3:21" x14ac:dyDescent="0.25">
      <c r="D264" s="31" t="s">
        <v>164</v>
      </c>
      <c r="E264" s="31" t="s">
        <v>165</v>
      </c>
      <c r="F264" s="31" t="s">
        <v>179</v>
      </c>
      <c r="K264" s="25">
        <f t="shared" si="34"/>
        <v>16.111292261411197</v>
      </c>
      <c r="L264" s="25">
        <f t="shared" si="34"/>
        <v>16.143413892237138</v>
      </c>
      <c r="M264" s="25">
        <f t="shared" si="34"/>
        <v>16.189301936274198</v>
      </c>
      <c r="N264" s="25">
        <f t="shared" si="34"/>
        <v>16.226012371503842</v>
      </c>
      <c r="O264" s="25">
        <f t="shared" si="34"/>
        <v>16.262722806733493</v>
      </c>
    </row>
    <row r="265" spans="3:21" x14ac:dyDescent="0.25">
      <c r="D265" s="31" t="s">
        <v>166</v>
      </c>
      <c r="E265" s="31" t="s">
        <v>167</v>
      </c>
      <c r="F265" s="31" t="s">
        <v>179</v>
      </c>
      <c r="K265" s="25">
        <f t="shared" si="34"/>
        <v>84.370010150777745</v>
      </c>
      <c r="L265" s="25">
        <f t="shared" si="34"/>
        <v>84.596437056071139</v>
      </c>
      <c r="M265" s="25">
        <f t="shared" si="34"/>
        <v>84.85613279329182</v>
      </c>
      <c r="N265" s="25">
        <f t="shared" si="34"/>
        <v>85.090590106291671</v>
      </c>
      <c r="O265" s="25">
        <f t="shared" si="34"/>
        <v>85.313575408282276</v>
      </c>
    </row>
    <row r="266" spans="3:21" x14ac:dyDescent="0.25">
      <c r="D266" s="31" t="s">
        <v>168</v>
      </c>
      <c r="E266" s="31" t="s">
        <v>169</v>
      </c>
      <c r="F266" s="31" t="s">
        <v>179</v>
      </c>
      <c r="K266" s="25">
        <f t="shared" si="34"/>
        <v>55.386943032480374</v>
      </c>
      <c r="L266" s="25">
        <f t="shared" si="34"/>
        <v>55.593439230647142</v>
      </c>
      <c r="M266" s="25">
        <f t="shared" si="34"/>
        <v>55.799935428813896</v>
      </c>
      <c r="N266" s="25">
        <f t="shared" si="34"/>
        <v>56.006431626980664</v>
      </c>
      <c r="O266" s="25">
        <f t="shared" si="34"/>
        <v>56.212927825147425</v>
      </c>
    </row>
    <row r="267" spans="3:21" x14ac:dyDescent="0.25">
      <c r="D267" s="31" t="s">
        <v>170</v>
      </c>
      <c r="E267" s="31" t="s">
        <v>171</v>
      </c>
      <c r="F267" s="31" t="s">
        <v>179</v>
      </c>
      <c r="K267" s="25">
        <f t="shared" si="34"/>
        <v>146.85091852739424</v>
      </c>
      <c r="L267" s="25">
        <f t="shared" si="34"/>
        <v>147.35109820739817</v>
      </c>
      <c r="M267" s="25">
        <f t="shared" si="34"/>
        <v>147.84668908299838</v>
      </c>
      <c r="N267" s="25">
        <f t="shared" si="34"/>
        <v>148.34686876300233</v>
      </c>
      <c r="O267" s="25">
        <f t="shared" si="34"/>
        <v>148.84245963860255</v>
      </c>
    </row>
    <row r="269" spans="3:21" ht="13.8" x14ac:dyDescent="0.3">
      <c r="C269" s="107" t="s">
        <v>394</v>
      </c>
    </row>
    <row r="270" spans="3:21" ht="13.8" x14ac:dyDescent="0.3">
      <c r="C270" s="107"/>
      <c r="D270" s="4" t="s">
        <v>416</v>
      </c>
    </row>
    <row r="271" spans="3:21" ht="13.8" x14ac:dyDescent="0.3">
      <c r="C271" s="107"/>
    </row>
    <row r="272" spans="3:21" ht="13.8" x14ac:dyDescent="0.3">
      <c r="C272" s="107"/>
      <c r="D272" s="9" t="s">
        <v>149</v>
      </c>
      <c r="E272" s="9" t="s">
        <v>150</v>
      </c>
      <c r="F272" s="9" t="s">
        <v>151</v>
      </c>
      <c r="K272" s="9" t="s">
        <v>174</v>
      </c>
      <c r="L272" s="9" t="s">
        <v>175</v>
      </c>
      <c r="M272" s="9" t="s">
        <v>176</v>
      </c>
      <c r="N272" s="9" t="s">
        <v>177</v>
      </c>
      <c r="O272" s="9" t="s">
        <v>178</v>
      </c>
    </row>
    <row r="273" spans="2:15" x14ac:dyDescent="0.25">
      <c r="D273" s="31" t="s">
        <v>156</v>
      </c>
      <c r="E273" s="31" t="s">
        <v>157</v>
      </c>
      <c r="F273" s="31" t="s">
        <v>179</v>
      </c>
      <c r="J273" s="53"/>
      <c r="K273" s="25">
        <f t="shared" ref="K273:O279" si="35">($I$252*(INDEX(Leakage_mains,MATCH($E273,Leakage_mains_company,0),MATCH($K$272,Companydata_years,0)))*thousand)/million</f>
        <v>362.90445670627457</v>
      </c>
      <c r="L273" s="25">
        <f t="shared" si="35"/>
        <v>362.90445670627457</v>
      </c>
      <c r="M273" s="25">
        <f t="shared" si="35"/>
        <v>362.90445670627457</v>
      </c>
      <c r="N273" s="25">
        <f t="shared" si="35"/>
        <v>362.90445670627457</v>
      </c>
      <c r="O273" s="25">
        <f t="shared" si="35"/>
        <v>362.90445670627457</v>
      </c>
    </row>
    <row r="274" spans="2:15" x14ac:dyDescent="0.25">
      <c r="D274" s="31" t="s">
        <v>160</v>
      </c>
      <c r="E274" s="31" t="s">
        <v>161</v>
      </c>
      <c r="F274" s="31" t="s">
        <v>179</v>
      </c>
      <c r="K274" s="25">
        <f t="shared" si="35"/>
        <v>161.74289028160999</v>
      </c>
      <c r="L274" s="25">
        <f t="shared" si="35"/>
        <v>161.74289028160999</v>
      </c>
      <c r="M274" s="25">
        <f t="shared" si="35"/>
        <v>161.74289028160999</v>
      </c>
      <c r="N274" s="25">
        <f t="shared" si="35"/>
        <v>161.74289028160999</v>
      </c>
      <c r="O274" s="25">
        <f t="shared" si="35"/>
        <v>161.74289028160999</v>
      </c>
    </row>
    <row r="275" spans="2:15" x14ac:dyDescent="0.25">
      <c r="D275" s="31" t="s">
        <v>162</v>
      </c>
      <c r="E275" s="31" t="s">
        <v>163</v>
      </c>
      <c r="F275" s="31" t="s">
        <v>179</v>
      </c>
      <c r="K275" s="25">
        <f t="shared" si="35"/>
        <v>81.763102282589458</v>
      </c>
      <c r="L275" s="25">
        <f t="shared" si="35"/>
        <v>81.763102282589458</v>
      </c>
      <c r="M275" s="25">
        <f t="shared" si="35"/>
        <v>81.763102282589458</v>
      </c>
      <c r="N275" s="25">
        <f t="shared" si="35"/>
        <v>81.763102282589458</v>
      </c>
      <c r="O275" s="25">
        <f t="shared" si="35"/>
        <v>81.763102282589458</v>
      </c>
    </row>
    <row r="276" spans="2:15" x14ac:dyDescent="0.25">
      <c r="D276" s="31" t="s">
        <v>164</v>
      </c>
      <c r="E276" s="31" t="s">
        <v>165</v>
      </c>
      <c r="F276" s="31" t="s">
        <v>179</v>
      </c>
      <c r="K276" s="25">
        <f t="shared" si="35"/>
        <v>32.61050234172118</v>
      </c>
      <c r="L276" s="25">
        <f t="shared" si="35"/>
        <v>32.61050234172118</v>
      </c>
      <c r="M276" s="25">
        <f t="shared" si="35"/>
        <v>32.61050234172118</v>
      </c>
      <c r="N276" s="25">
        <f t="shared" si="35"/>
        <v>32.61050234172118</v>
      </c>
      <c r="O276" s="25">
        <f t="shared" si="35"/>
        <v>32.61050234172118</v>
      </c>
    </row>
    <row r="277" spans="2:15" x14ac:dyDescent="0.25">
      <c r="D277" s="31" t="s">
        <v>166</v>
      </c>
      <c r="E277" s="31" t="s">
        <v>167</v>
      </c>
      <c r="F277" s="31" t="s">
        <v>179</v>
      </c>
      <c r="K277" s="25">
        <f t="shared" si="35"/>
        <v>170.77142968741509</v>
      </c>
      <c r="L277" s="25">
        <f t="shared" si="35"/>
        <v>170.77142968741509</v>
      </c>
      <c r="M277" s="25">
        <f t="shared" si="35"/>
        <v>170.77142968741509</v>
      </c>
      <c r="N277" s="25">
        <f t="shared" si="35"/>
        <v>170.77142968741509</v>
      </c>
      <c r="O277" s="25">
        <f t="shared" si="35"/>
        <v>170.77142968741509</v>
      </c>
    </row>
    <row r="278" spans="2:15" x14ac:dyDescent="0.25">
      <c r="D278" s="31" t="s">
        <v>168</v>
      </c>
      <c r="E278" s="31" t="s">
        <v>169</v>
      </c>
      <c r="F278" s="31" t="s">
        <v>179</v>
      </c>
      <c r="K278" s="25">
        <f t="shared" si="35"/>
        <v>112.10745892727496</v>
      </c>
      <c r="L278" s="25">
        <f t="shared" si="35"/>
        <v>112.10745892727496</v>
      </c>
      <c r="M278" s="25">
        <f t="shared" si="35"/>
        <v>112.10745892727496</v>
      </c>
      <c r="N278" s="25">
        <f t="shared" si="35"/>
        <v>112.10745892727496</v>
      </c>
      <c r="O278" s="25">
        <f t="shared" si="35"/>
        <v>112.10745892727496</v>
      </c>
    </row>
    <row r="279" spans="2:15" x14ac:dyDescent="0.25">
      <c r="D279" s="31" t="s">
        <v>170</v>
      </c>
      <c r="E279" s="31" t="s">
        <v>171</v>
      </c>
      <c r="F279" s="31" t="s">
        <v>179</v>
      </c>
      <c r="K279" s="25">
        <f t="shared" si="35"/>
        <v>297.23762345193995</v>
      </c>
      <c r="L279" s="25">
        <f t="shared" si="35"/>
        <v>297.23762345193995</v>
      </c>
      <c r="M279" s="25">
        <f t="shared" si="35"/>
        <v>297.23762345193995</v>
      </c>
      <c r="N279" s="25">
        <f t="shared" si="35"/>
        <v>297.23762345193995</v>
      </c>
      <c r="O279" s="25">
        <f t="shared" si="35"/>
        <v>297.23762345193995</v>
      </c>
    </row>
    <row r="281" spans="2:15" ht="13.8" x14ac:dyDescent="0.3">
      <c r="B281" s="2" t="s">
        <v>395</v>
      </c>
      <c r="K281" s="24"/>
      <c r="L281" s="24"/>
      <c r="M281" s="24"/>
      <c r="N281" s="24"/>
      <c r="O281" s="24"/>
    </row>
    <row r="282" spans="2:15" x14ac:dyDescent="0.25">
      <c r="C282" s="4" t="s">
        <v>417</v>
      </c>
    </row>
    <row r="283" spans="2:15" x14ac:dyDescent="0.25">
      <c r="C283" s="4"/>
    </row>
    <row r="284" spans="2:15" x14ac:dyDescent="0.25">
      <c r="K284" s="9" t="s">
        <v>174</v>
      </c>
      <c r="L284" s="9" t="s">
        <v>175</v>
      </c>
      <c r="M284" s="9" t="s">
        <v>176</v>
      </c>
      <c r="N284" s="9" t="s">
        <v>177</v>
      </c>
      <c r="O284" s="9" t="s">
        <v>178</v>
      </c>
    </row>
    <row r="285" spans="2:15" x14ac:dyDescent="0.25">
      <c r="E285" s="9" t="s">
        <v>397</v>
      </c>
      <c r="F285" s="31" t="s">
        <v>412</v>
      </c>
      <c r="K285" s="73">
        <f>_xlfn.PERCENTILE.INC($I$208:$I$226,0.9)</f>
        <v>11.648168024113893</v>
      </c>
      <c r="L285" s="73">
        <f t="shared" ref="L285:O285" si="36">_xlfn.PERCENTILE.INC($I$208:$I$226,0.9)</f>
        <v>11.648168024113893</v>
      </c>
      <c r="M285" s="73">
        <f t="shared" si="36"/>
        <v>11.648168024113893</v>
      </c>
      <c r="N285" s="73">
        <f t="shared" si="36"/>
        <v>11.648168024113893</v>
      </c>
      <c r="O285" s="73">
        <f t="shared" si="36"/>
        <v>11.648168024113893</v>
      </c>
    </row>
    <row r="286" spans="2:15" x14ac:dyDescent="0.25">
      <c r="F286" s="31"/>
      <c r="K286" s="73"/>
      <c r="L286" s="73"/>
      <c r="M286" s="73"/>
      <c r="N286" s="73"/>
      <c r="O286" s="73"/>
    </row>
    <row r="287" spans="2:15" x14ac:dyDescent="0.25">
      <c r="D287" s="9" t="s">
        <v>149</v>
      </c>
      <c r="E287" s="9" t="s">
        <v>150</v>
      </c>
      <c r="F287" s="9" t="s">
        <v>151</v>
      </c>
      <c r="K287" s="73"/>
      <c r="L287" s="73"/>
      <c r="M287" s="73"/>
      <c r="N287" s="73"/>
      <c r="O287" s="73"/>
    </row>
    <row r="288" spans="2:15" x14ac:dyDescent="0.25">
      <c r="D288" s="31" t="s">
        <v>156</v>
      </c>
      <c r="E288" s="31" t="s">
        <v>157</v>
      </c>
      <c r="F288" s="31" t="s">
        <v>179</v>
      </c>
      <c r="K288" s="25">
        <f t="shared" ref="K288:O294" si="37">(K$285*(INDEX(Leakage_mains,MATCH($E288,Leakage_mains_company,0),MATCH($K$115,Companydata_years,0)))*thousand)/million</f>
        <v>455.117221038178</v>
      </c>
      <c r="L288" s="25">
        <f t="shared" si="37"/>
        <v>455.117221038178</v>
      </c>
      <c r="M288" s="25">
        <f t="shared" si="37"/>
        <v>455.117221038178</v>
      </c>
      <c r="N288" s="25">
        <f t="shared" si="37"/>
        <v>455.117221038178</v>
      </c>
      <c r="O288" s="25">
        <f t="shared" si="37"/>
        <v>455.117221038178</v>
      </c>
    </row>
    <row r="289" spans="1:23" x14ac:dyDescent="0.25">
      <c r="D289" s="31" t="s">
        <v>160</v>
      </c>
      <c r="E289" s="31" t="s">
        <v>161</v>
      </c>
      <c r="F289" s="31" t="s">
        <v>179</v>
      </c>
      <c r="K289" s="25">
        <f t="shared" si="37"/>
        <v>202.84119797191937</v>
      </c>
      <c r="L289" s="25">
        <f t="shared" si="37"/>
        <v>202.84119797191937</v>
      </c>
      <c r="M289" s="25">
        <f t="shared" si="37"/>
        <v>202.84119797191937</v>
      </c>
      <c r="N289" s="25">
        <f t="shared" si="37"/>
        <v>202.84119797191937</v>
      </c>
      <c r="O289" s="25">
        <f t="shared" si="37"/>
        <v>202.84119797191937</v>
      </c>
    </row>
    <row r="290" spans="1:23" x14ac:dyDescent="0.25">
      <c r="D290" s="31" t="s">
        <v>162</v>
      </c>
      <c r="E290" s="31" t="s">
        <v>163</v>
      </c>
      <c r="F290" s="31" t="s">
        <v>179</v>
      </c>
      <c r="K290" s="25">
        <f t="shared" si="37"/>
        <v>102.53882311627461</v>
      </c>
      <c r="L290" s="25">
        <f t="shared" si="37"/>
        <v>102.53882311627461</v>
      </c>
      <c r="M290" s="25">
        <f t="shared" si="37"/>
        <v>102.53882311627461</v>
      </c>
      <c r="N290" s="25">
        <f t="shared" si="37"/>
        <v>102.53882311627461</v>
      </c>
      <c r="O290" s="25">
        <f t="shared" si="37"/>
        <v>102.53882311627461</v>
      </c>
    </row>
    <row r="291" spans="1:23" x14ac:dyDescent="0.25">
      <c r="D291" s="31" t="s">
        <v>164</v>
      </c>
      <c r="E291" s="31" t="s">
        <v>165</v>
      </c>
      <c r="F291" s="31" t="s">
        <v>179</v>
      </c>
      <c r="K291" s="25">
        <f t="shared" si="37"/>
        <v>40.896717932663883</v>
      </c>
      <c r="L291" s="25">
        <f t="shared" si="37"/>
        <v>40.896717932663883</v>
      </c>
      <c r="M291" s="25">
        <f t="shared" si="37"/>
        <v>40.896717932663883</v>
      </c>
      <c r="N291" s="25">
        <f t="shared" si="37"/>
        <v>40.896717932663883</v>
      </c>
      <c r="O291" s="25">
        <f t="shared" si="37"/>
        <v>40.896717932663883</v>
      </c>
    </row>
    <row r="292" spans="1:23" x14ac:dyDescent="0.25">
      <c r="D292" s="31" t="s">
        <v>166</v>
      </c>
      <c r="E292" s="31" t="s">
        <v>167</v>
      </c>
      <c r="F292" s="31" t="s">
        <v>179</v>
      </c>
      <c r="K292" s="25">
        <f t="shared" si="37"/>
        <v>214.16385794059937</v>
      </c>
      <c r="L292" s="25">
        <f t="shared" si="37"/>
        <v>214.16385794059937</v>
      </c>
      <c r="M292" s="25">
        <f t="shared" si="37"/>
        <v>214.16385794059937</v>
      </c>
      <c r="N292" s="25">
        <f t="shared" si="37"/>
        <v>214.16385794059937</v>
      </c>
      <c r="O292" s="25">
        <f t="shared" si="37"/>
        <v>214.16385794059937</v>
      </c>
    </row>
    <row r="293" spans="1:23" x14ac:dyDescent="0.25">
      <c r="D293" s="31" t="s">
        <v>168</v>
      </c>
      <c r="E293" s="31" t="s">
        <v>169</v>
      </c>
      <c r="F293" s="31" t="s">
        <v>179</v>
      </c>
      <c r="K293" s="25">
        <f t="shared" si="37"/>
        <v>140.59357558655989</v>
      </c>
      <c r="L293" s="25">
        <f t="shared" si="37"/>
        <v>140.59357558655989</v>
      </c>
      <c r="M293" s="25">
        <f t="shared" si="37"/>
        <v>140.59357558655989</v>
      </c>
      <c r="N293" s="25">
        <f t="shared" si="37"/>
        <v>140.59357558655989</v>
      </c>
      <c r="O293" s="25">
        <f t="shared" si="37"/>
        <v>140.59357558655989</v>
      </c>
    </row>
    <row r="294" spans="1:23" x14ac:dyDescent="0.25">
      <c r="D294" s="31" t="s">
        <v>170</v>
      </c>
      <c r="E294" s="31" t="s">
        <v>171</v>
      </c>
      <c r="F294" s="31" t="s">
        <v>179</v>
      </c>
      <c r="K294" s="25">
        <f t="shared" si="37"/>
        <v>372.76467310769277</v>
      </c>
      <c r="L294" s="25">
        <f t="shared" si="37"/>
        <v>372.76467310769277</v>
      </c>
      <c r="M294" s="25">
        <f t="shared" si="37"/>
        <v>372.76467310769277</v>
      </c>
      <c r="N294" s="25">
        <f t="shared" si="37"/>
        <v>372.76467310769277</v>
      </c>
      <c r="O294" s="25">
        <f t="shared" si="37"/>
        <v>372.76467310769277</v>
      </c>
    </row>
    <row r="295" spans="1:23" x14ac:dyDescent="0.25">
      <c r="F295" s="21"/>
      <c r="O295" s="84"/>
      <c r="P295" s="84"/>
      <c r="Q295" s="84"/>
      <c r="R295" s="84"/>
      <c r="S295" s="84"/>
    </row>
    <row r="296" spans="1:23" ht="13.8" x14ac:dyDescent="0.3">
      <c r="A296" s="8" t="s">
        <v>426</v>
      </c>
      <c r="B296" s="8"/>
      <c r="C296" s="8"/>
      <c r="D296" s="8"/>
      <c r="E296" s="8"/>
      <c r="F296" s="8"/>
      <c r="G296" s="8"/>
      <c r="H296" s="8"/>
      <c r="I296" s="8"/>
      <c r="J296" s="8"/>
      <c r="K296" s="8"/>
      <c r="L296" s="8"/>
      <c r="M296" s="8"/>
      <c r="N296" s="8"/>
      <c r="O296" s="8"/>
      <c r="P296" s="8"/>
      <c r="Q296" s="8"/>
      <c r="R296" s="8"/>
      <c r="S296" s="8"/>
      <c r="T296" s="8"/>
      <c r="U296" s="8"/>
      <c r="V296" s="8"/>
      <c r="W296" s="8"/>
    </row>
    <row r="297" spans="1:23" x14ac:dyDescent="0.25">
      <c r="F297" s="21"/>
      <c r="O297" s="84"/>
      <c r="P297" s="84"/>
      <c r="Q297" s="84"/>
      <c r="R297" s="84"/>
      <c r="S297" s="84"/>
    </row>
    <row r="298" spans="1:23" ht="15" x14ac:dyDescent="0.35">
      <c r="B298" s="1" t="s">
        <v>427</v>
      </c>
      <c r="F298" s="21"/>
      <c r="O298" s="84"/>
      <c r="P298" s="84"/>
      <c r="Q298" s="84"/>
      <c r="R298" s="84"/>
      <c r="S298" s="84"/>
    </row>
    <row r="299" spans="1:23" ht="15" x14ac:dyDescent="0.35">
      <c r="B299" s="1"/>
      <c r="C299" s="4" t="s">
        <v>428</v>
      </c>
      <c r="F299" s="21"/>
      <c r="O299" s="84"/>
      <c r="P299" s="84"/>
      <c r="Q299" s="84"/>
      <c r="R299" s="84"/>
      <c r="S299" s="84"/>
    </row>
    <row r="300" spans="1:23" x14ac:dyDescent="0.25">
      <c r="F300" s="21"/>
      <c r="P300" s="84"/>
      <c r="Q300" s="84"/>
      <c r="R300" s="84"/>
      <c r="S300" s="84"/>
    </row>
    <row r="301" spans="1:23" x14ac:dyDescent="0.25">
      <c r="D301" s="9" t="s">
        <v>149</v>
      </c>
      <c r="E301" s="9" t="s">
        <v>150</v>
      </c>
      <c r="F301" s="9" t="s">
        <v>151</v>
      </c>
      <c r="K301" s="9" t="s">
        <v>174</v>
      </c>
      <c r="L301" s="9" t="s">
        <v>175</v>
      </c>
      <c r="M301" s="9" t="s">
        <v>176</v>
      </c>
      <c r="N301" s="9" t="s">
        <v>177</v>
      </c>
      <c r="O301" s="9" t="s">
        <v>178</v>
      </c>
      <c r="P301" s="84"/>
      <c r="Q301" s="84"/>
      <c r="R301" s="84"/>
      <c r="S301" s="84"/>
    </row>
    <row r="302" spans="1:23" x14ac:dyDescent="0.25">
      <c r="D302" s="31" t="s">
        <v>156</v>
      </c>
      <c r="E302" s="31" t="s">
        <v>157</v>
      </c>
      <c r="F302" s="31" t="s">
        <v>179</v>
      </c>
      <c r="K302" s="25">
        <f t="shared" ref="K302:O308" si="38">AVERAGE(K116,K261)</f>
        <v>171.39902145708368</v>
      </c>
      <c r="L302" s="25">
        <f t="shared" si="38"/>
        <v>169.77233112202185</v>
      </c>
      <c r="M302" s="25">
        <f t="shared" si="38"/>
        <v>167.44551863068421</v>
      </c>
      <c r="N302" s="25">
        <f t="shared" si="38"/>
        <v>164.54315734101434</v>
      </c>
      <c r="O302" s="25">
        <f t="shared" si="38"/>
        <v>161.99066131399269</v>
      </c>
      <c r="P302" s="84"/>
      <c r="Q302" s="84"/>
      <c r="R302" s="84"/>
      <c r="S302" s="84"/>
    </row>
    <row r="303" spans="1:23" x14ac:dyDescent="0.25">
      <c r="D303" s="31" t="s">
        <v>160</v>
      </c>
      <c r="E303" s="31" t="s">
        <v>161</v>
      </c>
      <c r="F303" s="31" t="s">
        <v>179</v>
      </c>
      <c r="K303" s="25">
        <f t="shared" si="38"/>
        <v>84.283171753165064</v>
      </c>
      <c r="L303" s="25">
        <f t="shared" si="38"/>
        <v>83.418463630219179</v>
      </c>
      <c r="M303" s="25">
        <f t="shared" si="38"/>
        <v>82.19127049639917</v>
      </c>
      <c r="N303" s="25">
        <f t="shared" si="38"/>
        <v>80.683650286227504</v>
      </c>
      <c r="O303" s="25">
        <f t="shared" si="38"/>
        <v>78.90752352678814</v>
      </c>
      <c r="P303" s="84"/>
      <c r="Q303" s="84"/>
      <c r="R303" s="84"/>
      <c r="S303" s="84"/>
    </row>
    <row r="304" spans="1:23" x14ac:dyDescent="0.25">
      <c r="D304" s="31" t="s">
        <v>162</v>
      </c>
      <c r="E304" s="31" t="s">
        <v>163</v>
      </c>
      <c r="F304" s="31" t="s">
        <v>179</v>
      </c>
      <c r="K304" s="25">
        <f t="shared" si="38"/>
        <v>50.720956176015477</v>
      </c>
      <c r="L304" s="25">
        <f t="shared" si="38"/>
        <v>50.017993684642136</v>
      </c>
      <c r="M304" s="25">
        <f t="shared" si="38"/>
        <v>49.068744642769872</v>
      </c>
      <c r="N304" s="25">
        <f t="shared" si="38"/>
        <v>47.915191541690177</v>
      </c>
      <c r="O304" s="25">
        <f t="shared" si="38"/>
        <v>46.578181413444227</v>
      </c>
      <c r="P304" s="84"/>
      <c r="Q304" s="84"/>
      <c r="R304" s="84"/>
      <c r="S304" s="84"/>
    </row>
    <row r="305" spans="2:19" x14ac:dyDescent="0.25">
      <c r="D305" s="31" t="s">
        <v>164</v>
      </c>
      <c r="E305" s="31" t="s">
        <v>165</v>
      </c>
      <c r="F305" s="31" t="s">
        <v>179</v>
      </c>
      <c r="K305" s="25">
        <f t="shared" si="38"/>
        <v>18.825258704498768</v>
      </c>
      <c r="L305" s="25">
        <f t="shared" si="38"/>
        <v>18.566576991776692</v>
      </c>
      <c r="M305" s="25">
        <f t="shared" si="38"/>
        <v>18.229499756930728</v>
      </c>
      <c r="N305" s="25">
        <f t="shared" si="38"/>
        <v>17.814129605262934</v>
      </c>
      <c r="O305" s="25">
        <f t="shared" si="38"/>
        <v>17.332410843737442</v>
      </c>
      <c r="P305" s="84"/>
      <c r="Q305" s="84"/>
      <c r="R305" s="84"/>
      <c r="S305" s="84"/>
    </row>
    <row r="306" spans="2:19" x14ac:dyDescent="0.25">
      <c r="D306" s="31" t="s">
        <v>166</v>
      </c>
      <c r="E306" s="31" t="s">
        <v>167</v>
      </c>
      <c r="F306" s="31" t="s">
        <v>179</v>
      </c>
      <c r="K306" s="25">
        <f t="shared" si="38"/>
        <v>80.829725359530357</v>
      </c>
      <c r="L306" s="25">
        <f t="shared" si="38"/>
        <v>79.957077150284675</v>
      </c>
      <c r="M306" s="25">
        <f t="shared" si="38"/>
        <v>78.795056748561024</v>
      </c>
      <c r="N306" s="25">
        <f t="shared" si="38"/>
        <v>77.355943850412132</v>
      </c>
      <c r="O306" s="25">
        <f t="shared" si="38"/>
        <v>75.673015493888443</v>
      </c>
      <c r="P306" s="84"/>
      <c r="Q306" s="84"/>
      <c r="R306" s="84"/>
      <c r="S306" s="84"/>
    </row>
    <row r="307" spans="2:19" x14ac:dyDescent="0.25">
      <c r="D307" s="31" t="s">
        <v>168</v>
      </c>
      <c r="E307" s="31" t="s">
        <v>169</v>
      </c>
      <c r="F307" s="31" t="s">
        <v>179</v>
      </c>
      <c r="K307" s="25">
        <f t="shared" si="38"/>
        <v>50.598442586528776</v>
      </c>
      <c r="L307" s="25">
        <f t="shared" si="38"/>
        <v>50.117364219307831</v>
      </c>
      <c r="M307" s="25">
        <f t="shared" si="38"/>
        <v>49.454913792407403</v>
      </c>
      <c r="N307" s="25">
        <f t="shared" si="38"/>
        <v>48.635708370735259</v>
      </c>
      <c r="O307" s="25">
        <f t="shared" si="38"/>
        <v>47.675391745764799</v>
      </c>
      <c r="P307" s="84"/>
      <c r="Q307" s="84"/>
      <c r="R307" s="84"/>
      <c r="S307" s="84"/>
    </row>
    <row r="308" spans="2:19" x14ac:dyDescent="0.25">
      <c r="D308" s="31" t="s">
        <v>170</v>
      </c>
      <c r="E308" s="31" t="s">
        <v>171</v>
      </c>
      <c r="F308" s="31" t="s">
        <v>179</v>
      </c>
      <c r="K308" s="25">
        <f t="shared" si="38"/>
        <v>157.95528221233798</v>
      </c>
      <c r="L308" s="25">
        <f t="shared" si="38"/>
        <v>156.0489400450985</v>
      </c>
      <c r="M308" s="25">
        <f t="shared" si="38"/>
        <v>153.47095759237752</v>
      </c>
      <c r="N308" s="25">
        <f t="shared" si="38"/>
        <v>150.31677189112105</v>
      </c>
      <c r="O308" s="25">
        <f t="shared" si="38"/>
        <v>146.63952688495792</v>
      </c>
      <c r="P308" s="84"/>
      <c r="Q308" s="84"/>
      <c r="R308" s="84"/>
      <c r="S308" s="84"/>
    </row>
    <row r="309" spans="2:19" x14ac:dyDescent="0.25">
      <c r="F309" s="21"/>
      <c r="P309" s="84"/>
      <c r="Q309" s="84"/>
      <c r="R309" s="84"/>
      <c r="S309" s="84"/>
    </row>
    <row r="310" spans="2:19" ht="15" x14ac:dyDescent="0.35">
      <c r="B310" s="1" t="s">
        <v>402</v>
      </c>
      <c r="F310" s="21"/>
      <c r="P310" s="84"/>
      <c r="Q310" s="84"/>
      <c r="R310" s="84"/>
      <c r="S310" s="84"/>
    </row>
    <row r="311" spans="2:19" x14ac:dyDescent="0.25">
      <c r="C311" s="4" t="s">
        <v>429</v>
      </c>
      <c r="F311" s="21"/>
      <c r="P311" s="84"/>
      <c r="Q311" s="84"/>
      <c r="R311" s="84"/>
      <c r="S311" s="84"/>
    </row>
    <row r="312" spans="2:19" x14ac:dyDescent="0.25">
      <c r="F312" s="21"/>
      <c r="P312" s="84"/>
      <c r="Q312" s="84"/>
      <c r="R312" s="84"/>
      <c r="S312" s="84"/>
    </row>
    <row r="313" spans="2:19" x14ac:dyDescent="0.25">
      <c r="D313" s="9" t="s">
        <v>149</v>
      </c>
      <c r="E313" s="9" t="s">
        <v>150</v>
      </c>
      <c r="F313" s="9" t="s">
        <v>151</v>
      </c>
      <c r="K313" s="9" t="s">
        <v>174</v>
      </c>
      <c r="L313" s="9" t="s">
        <v>175</v>
      </c>
      <c r="M313" s="9" t="s">
        <v>176</v>
      </c>
      <c r="N313" s="9" t="s">
        <v>177</v>
      </c>
      <c r="O313" s="9" t="s">
        <v>178</v>
      </c>
      <c r="P313" s="84"/>
      <c r="Q313" s="84"/>
      <c r="R313" s="84"/>
      <c r="S313" s="84"/>
    </row>
    <row r="314" spans="2:19" x14ac:dyDescent="0.25">
      <c r="D314" s="31" t="s">
        <v>156</v>
      </c>
      <c r="E314" s="31" t="s">
        <v>157</v>
      </c>
      <c r="F314" s="31" t="s">
        <v>179</v>
      </c>
      <c r="K314" s="110">
        <f t="shared" ref="K314:O320" si="39">AVERAGE(K128,K273)</f>
        <v>332.04010614780077</v>
      </c>
      <c r="L314" s="110">
        <f t="shared" si="39"/>
        <v>332.04010614780077</v>
      </c>
      <c r="M314" s="110">
        <f t="shared" si="39"/>
        <v>332.04010614780077</v>
      </c>
      <c r="N314" s="110">
        <f t="shared" si="39"/>
        <v>332.04010614780077</v>
      </c>
      <c r="O314" s="110">
        <f t="shared" si="39"/>
        <v>332.04010614780077</v>
      </c>
      <c r="P314" s="84"/>
      <c r="Q314" s="84"/>
      <c r="R314" s="84"/>
      <c r="S314" s="84"/>
    </row>
    <row r="315" spans="2:19" x14ac:dyDescent="0.25">
      <c r="D315" s="31" t="s">
        <v>160</v>
      </c>
      <c r="E315" s="31" t="s">
        <v>161</v>
      </c>
      <c r="F315" s="31" t="s">
        <v>179</v>
      </c>
      <c r="K315" s="110">
        <f t="shared" si="39"/>
        <v>162.52469111300695</v>
      </c>
      <c r="L315" s="110">
        <f t="shared" si="39"/>
        <v>162.52469111300695</v>
      </c>
      <c r="M315" s="110">
        <f t="shared" si="39"/>
        <v>162.52469111300695</v>
      </c>
      <c r="N315" s="110">
        <f t="shared" si="39"/>
        <v>162.52469111300695</v>
      </c>
      <c r="O315" s="110">
        <f t="shared" si="39"/>
        <v>162.52469111300695</v>
      </c>
      <c r="P315" s="84"/>
      <c r="Q315" s="84"/>
      <c r="R315" s="84"/>
      <c r="S315" s="84"/>
    </row>
    <row r="316" spans="2:19" x14ac:dyDescent="0.25">
      <c r="D316" s="31" t="s">
        <v>162</v>
      </c>
      <c r="E316" s="31" t="s">
        <v>163</v>
      </c>
      <c r="F316" s="31" t="s">
        <v>179</v>
      </c>
      <c r="K316" s="110">
        <f t="shared" si="39"/>
        <v>97.105695319538825</v>
      </c>
      <c r="L316" s="110">
        <f t="shared" si="39"/>
        <v>97.105695319538825</v>
      </c>
      <c r="M316" s="110">
        <f t="shared" si="39"/>
        <v>97.105695319538825</v>
      </c>
      <c r="N316" s="110">
        <f t="shared" si="39"/>
        <v>97.105695319538825</v>
      </c>
      <c r="O316" s="110">
        <f t="shared" si="39"/>
        <v>97.105695319538825</v>
      </c>
      <c r="P316" s="84"/>
      <c r="Q316" s="84"/>
      <c r="R316" s="84"/>
      <c r="S316" s="84"/>
    </row>
    <row r="317" spans="2:19" x14ac:dyDescent="0.25">
      <c r="D317" s="31" t="s">
        <v>164</v>
      </c>
      <c r="E317" s="31" t="s">
        <v>165</v>
      </c>
      <c r="F317" s="31" t="s">
        <v>179</v>
      </c>
      <c r="K317" s="110">
        <f t="shared" si="39"/>
        <v>36.142935290316458</v>
      </c>
      <c r="L317" s="110">
        <f t="shared" si="39"/>
        <v>36.142935290316458</v>
      </c>
      <c r="M317" s="110">
        <f t="shared" si="39"/>
        <v>36.142935290316458</v>
      </c>
      <c r="N317" s="110">
        <f t="shared" si="39"/>
        <v>36.142935290316458</v>
      </c>
      <c r="O317" s="110">
        <f t="shared" si="39"/>
        <v>36.142935290316458</v>
      </c>
      <c r="P317" s="84"/>
      <c r="Q317" s="84"/>
      <c r="R317" s="84"/>
      <c r="S317" s="84"/>
    </row>
    <row r="318" spans="2:19" x14ac:dyDescent="0.25">
      <c r="D318" s="31" t="s">
        <v>166</v>
      </c>
      <c r="E318" s="31" t="s">
        <v>167</v>
      </c>
      <c r="F318" s="31" t="s">
        <v>179</v>
      </c>
      <c r="K318" s="110">
        <f t="shared" si="39"/>
        <v>156.56949686266606</v>
      </c>
      <c r="L318" s="110">
        <f t="shared" si="39"/>
        <v>156.56949686266606</v>
      </c>
      <c r="M318" s="110">
        <f t="shared" si="39"/>
        <v>156.56949686266606</v>
      </c>
      <c r="N318" s="110">
        <f t="shared" si="39"/>
        <v>156.56949686266606</v>
      </c>
      <c r="O318" s="110">
        <f t="shared" si="39"/>
        <v>156.56949686266606</v>
      </c>
      <c r="P318" s="84"/>
      <c r="Q318" s="84"/>
      <c r="R318" s="84"/>
      <c r="S318" s="84"/>
    </row>
    <row r="319" spans="2:19" x14ac:dyDescent="0.25">
      <c r="D319" s="31" t="s">
        <v>168</v>
      </c>
      <c r="E319" s="31" t="s">
        <v>169</v>
      </c>
      <c r="F319" s="31" t="s">
        <v>179</v>
      </c>
      <c r="K319" s="110">
        <f t="shared" si="39"/>
        <v>98.244809016801227</v>
      </c>
      <c r="L319" s="110">
        <f t="shared" si="39"/>
        <v>98.244809016801227</v>
      </c>
      <c r="M319" s="110">
        <f t="shared" si="39"/>
        <v>98.244809016801227</v>
      </c>
      <c r="N319" s="110">
        <f t="shared" si="39"/>
        <v>98.244809016801227</v>
      </c>
      <c r="O319" s="110">
        <f t="shared" si="39"/>
        <v>98.244809016801227</v>
      </c>
      <c r="P319" s="84"/>
      <c r="Q319" s="84"/>
      <c r="R319" s="84"/>
      <c r="S319" s="84"/>
    </row>
    <row r="320" spans="2:19" x14ac:dyDescent="0.25">
      <c r="D320" s="31" t="s">
        <v>170</v>
      </c>
      <c r="E320" s="31" t="s">
        <v>171</v>
      </c>
      <c r="F320" s="31" t="s">
        <v>179</v>
      </c>
      <c r="K320" s="110">
        <f t="shared" si="39"/>
        <v>304.32319893941417</v>
      </c>
      <c r="L320" s="110">
        <f t="shared" si="39"/>
        <v>304.32319893941417</v>
      </c>
      <c r="M320" s="110">
        <f t="shared" si="39"/>
        <v>304.32319893941417</v>
      </c>
      <c r="N320" s="110">
        <f t="shared" si="39"/>
        <v>304.32319893941417</v>
      </c>
      <c r="O320" s="110">
        <f t="shared" si="39"/>
        <v>304.32319893941417</v>
      </c>
      <c r="P320" s="84"/>
      <c r="Q320" s="84"/>
      <c r="R320" s="84"/>
      <c r="S320" s="84"/>
    </row>
    <row r="321" spans="2:19" x14ac:dyDescent="0.25">
      <c r="F321" s="21"/>
      <c r="P321" s="84"/>
      <c r="Q321" s="84"/>
      <c r="R321" s="84"/>
      <c r="S321" s="84"/>
    </row>
    <row r="322" spans="2:19" ht="15" x14ac:dyDescent="0.35">
      <c r="B322" s="1" t="s">
        <v>397</v>
      </c>
      <c r="F322" s="21"/>
      <c r="P322" s="84"/>
      <c r="Q322" s="84"/>
      <c r="R322" s="84"/>
      <c r="S322" s="84"/>
    </row>
    <row r="323" spans="2:19" ht="15" x14ac:dyDescent="0.35">
      <c r="B323" s="1"/>
      <c r="C323" s="4" t="s">
        <v>430</v>
      </c>
      <c r="F323" s="21"/>
      <c r="P323" s="84"/>
      <c r="Q323" s="84"/>
      <c r="R323" s="84"/>
      <c r="S323" s="84"/>
    </row>
    <row r="324" spans="2:19" ht="15" x14ac:dyDescent="0.35">
      <c r="B324" s="1"/>
      <c r="F324" s="21"/>
      <c r="P324" s="84"/>
      <c r="Q324" s="84"/>
      <c r="R324" s="84"/>
      <c r="S324" s="84"/>
    </row>
    <row r="325" spans="2:19" x14ac:dyDescent="0.25">
      <c r="D325" s="9" t="s">
        <v>149</v>
      </c>
      <c r="E325" s="9" t="s">
        <v>150</v>
      </c>
      <c r="F325" s="9" t="s">
        <v>151</v>
      </c>
      <c r="K325" s="9" t="s">
        <v>174</v>
      </c>
      <c r="L325" s="9" t="s">
        <v>175</v>
      </c>
      <c r="M325" s="9" t="s">
        <v>176</v>
      </c>
      <c r="N325" s="9" t="s">
        <v>177</v>
      </c>
      <c r="O325" s="9" t="s">
        <v>178</v>
      </c>
      <c r="P325" s="84"/>
      <c r="Q325" s="84"/>
      <c r="R325" s="84"/>
      <c r="S325" s="84"/>
    </row>
    <row r="326" spans="2:19" x14ac:dyDescent="0.25">
      <c r="D326" s="31" t="s">
        <v>156</v>
      </c>
      <c r="E326" s="31" t="s">
        <v>157</v>
      </c>
      <c r="F326" s="31" t="s">
        <v>179</v>
      </c>
      <c r="K326" s="110">
        <f t="shared" ref="K326:K332" si="40">IF($E326=$E$337,K$337,AVERAGE(K143,K288))</f>
        <v>384.6082669065346</v>
      </c>
      <c r="L326" s="110">
        <f t="shared" ref="L326:O326" si="41">IF($E326=$E$337,L$337,AVERAGE(L143,L288))</f>
        <v>384.6082669065346</v>
      </c>
      <c r="M326" s="110">
        <f t="shared" si="41"/>
        <v>384.6082669065346</v>
      </c>
      <c r="N326" s="110">
        <f t="shared" si="41"/>
        <v>384.6082669065346</v>
      </c>
      <c r="O326" s="110">
        <f t="shared" si="41"/>
        <v>384.6082669065346</v>
      </c>
      <c r="P326" s="84"/>
      <c r="Q326" s="84"/>
      <c r="R326" s="84"/>
      <c r="S326" s="84"/>
    </row>
    <row r="327" spans="2:19" x14ac:dyDescent="0.25">
      <c r="D327" s="31" t="s">
        <v>160</v>
      </c>
      <c r="E327" s="31" t="s">
        <v>161</v>
      </c>
      <c r="F327" s="31" t="s">
        <v>179</v>
      </c>
      <c r="K327" s="110">
        <f t="shared" si="40"/>
        <v>186.57761434904049</v>
      </c>
      <c r="L327" s="110">
        <f t="shared" ref="L327:O332" si="42">IF($E327=$E$337,L$337,AVERAGE(L144,L289))</f>
        <v>186.57761434904049</v>
      </c>
      <c r="M327" s="110">
        <f t="shared" si="42"/>
        <v>186.57761434904049</v>
      </c>
      <c r="N327" s="110">
        <f t="shared" si="42"/>
        <v>186.57761434904049</v>
      </c>
      <c r="O327" s="110">
        <f t="shared" si="42"/>
        <v>186.57761434904049</v>
      </c>
      <c r="P327" s="84"/>
      <c r="Q327" s="84"/>
      <c r="R327" s="84"/>
      <c r="S327" s="84"/>
    </row>
    <row r="328" spans="2:19" x14ac:dyDescent="0.25">
      <c r="D328" s="31" t="s">
        <v>162</v>
      </c>
      <c r="E328" s="31" t="s">
        <v>163</v>
      </c>
      <c r="F328" s="31" t="s">
        <v>179</v>
      </c>
      <c r="K328" s="110">
        <f t="shared" si="40"/>
        <v>109.90615346050808</v>
      </c>
      <c r="L328" s="110">
        <f t="shared" si="42"/>
        <v>109.90615346050808</v>
      </c>
      <c r="M328" s="110">
        <f t="shared" si="42"/>
        <v>109.90615346050808</v>
      </c>
      <c r="N328" s="110">
        <f t="shared" si="42"/>
        <v>109.90615346050808</v>
      </c>
      <c r="O328" s="110">
        <f t="shared" si="42"/>
        <v>109.90615346050808</v>
      </c>
      <c r="P328" s="84"/>
      <c r="Q328" s="84"/>
      <c r="R328" s="84"/>
      <c r="S328" s="84"/>
    </row>
    <row r="329" spans="2:19" x14ac:dyDescent="0.25">
      <c r="D329" s="31" t="s">
        <v>164</v>
      </c>
      <c r="E329" s="31" t="s">
        <v>165</v>
      </c>
      <c r="F329" s="31" t="s">
        <v>179</v>
      </c>
      <c r="K329" s="110">
        <f t="shared" si="40"/>
        <v>41.137285061242594</v>
      </c>
      <c r="L329" s="110">
        <f t="shared" si="42"/>
        <v>41.137285061242594</v>
      </c>
      <c r="M329" s="110">
        <f t="shared" si="42"/>
        <v>41.137285061242594</v>
      </c>
      <c r="N329" s="110">
        <f t="shared" si="42"/>
        <v>41.137285061242594</v>
      </c>
      <c r="O329" s="110">
        <f t="shared" si="42"/>
        <v>41.137285061242594</v>
      </c>
      <c r="P329" s="84"/>
      <c r="Q329" s="84"/>
      <c r="R329" s="84"/>
      <c r="S329" s="84"/>
    </row>
    <row r="330" spans="2:19" x14ac:dyDescent="0.25">
      <c r="D330" s="31" t="s">
        <v>166</v>
      </c>
      <c r="E330" s="31" t="s">
        <v>167</v>
      </c>
      <c r="F330" s="31" t="s">
        <v>179</v>
      </c>
      <c r="K330" s="110">
        <f t="shared" si="40"/>
        <v>191.1</v>
      </c>
      <c r="L330" s="110">
        <f t="shared" si="42"/>
        <v>191.1</v>
      </c>
      <c r="M330" s="110">
        <f t="shared" si="42"/>
        <v>191.1</v>
      </c>
      <c r="N330" s="110">
        <f t="shared" si="42"/>
        <v>191.1</v>
      </c>
      <c r="O330" s="110">
        <f t="shared" si="42"/>
        <v>191.1</v>
      </c>
      <c r="P330" s="84"/>
      <c r="Q330" s="84"/>
      <c r="R330" s="84"/>
      <c r="S330" s="84"/>
    </row>
    <row r="331" spans="2:19" x14ac:dyDescent="0.25">
      <c r="D331" s="31" t="s">
        <v>168</v>
      </c>
      <c r="E331" s="31" t="s">
        <v>169</v>
      </c>
      <c r="F331" s="31" t="s">
        <v>179</v>
      </c>
      <c r="K331" s="110">
        <f t="shared" si="40"/>
        <v>114.29830135119637</v>
      </c>
      <c r="L331" s="110">
        <f t="shared" si="42"/>
        <v>114.29830135119637</v>
      </c>
      <c r="M331" s="110">
        <f t="shared" si="42"/>
        <v>114.29830135119637</v>
      </c>
      <c r="N331" s="110">
        <f t="shared" si="42"/>
        <v>114.29830135119637</v>
      </c>
      <c r="O331" s="110">
        <f t="shared" si="42"/>
        <v>114.29830135119637</v>
      </c>
      <c r="P331" s="84"/>
      <c r="Q331" s="84"/>
      <c r="R331" s="84"/>
      <c r="S331" s="84"/>
    </row>
    <row r="332" spans="2:19" x14ac:dyDescent="0.25">
      <c r="D332" s="31" t="s">
        <v>170</v>
      </c>
      <c r="E332" s="31" t="s">
        <v>171</v>
      </c>
      <c r="F332" s="31" t="s">
        <v>179</v>
      </c>
      <c r="K332" s="110">
        <f t="shared" si="40"/>
        <v>348.76805357173879</v>
      </c>
      <c r="L332" s="110">
        <f t="shared" si="42"/>
        <v>348.76805357173879</v>
      </c>
      <c r="M332" s="110">
        <f t="shared" si="42"/>
        <v>348.76805357173879</v>
      </c>
      <c r="N332" s="110">
        <f t="shared" si="42"/>
        <v>348.76805357173879</v>
      </c>
      <c r="O332" s="110">
        <f t="shared" si="42"/>
        <v>348.76805357173879</v>
      </c>
      <c r="P332" s="84"/>
      <c r="Q332" s="84"/>
      <c r="R332" s="84"/>
      <c r="S332" s="84"/>
    </row>
    <row r="333" spans="2:19" x14ac:dyDescent="0.25">
      <c r="D333" s="31"/>
      <c r="E333" s="31"/>
      <c r="F333" s="31"/>
      <c r="H333" s="110"/>
      <c r="I333" s="110"/>
      <c r="J333" s="110"/>
      <c r="K333" s="110"/>
      <c r="L333" s="110"/>
      <c r="O333" s="84"/>
      <c r="P333" s="84"/>
      <c r="Q333" s="84"/>
      <c r="R333" s="84"/>
      <c r="S333" s="84"/>
    </row>
    <row r="334" spans="2:19" ht="13.8" x14ac:dyDescent="0.3">
      <c r="C334" s="2" t="s">
        <v>139</v>
      </c>
      <c r="D334" s="31"/>
      <c r="E334" s="31"/>
      <c r="F334" s="31"/>
      <c r="H334" s="110"/>
      <c r="I334" s="110"/>
      <c r="J334" s="110"/>
      <c r="K334" s="110"/>
      <c r="L334" s="110"/>
      <c r="O334" s="84"/>
      <c r="P334" s="84"/>
      <c r="Q334" s="84"/>
      <c r="R334" s="84"/>
      <c r="S334" s="84"/>
    </row>
    <row r="335" spans="2:19" x14ac:dyDescent="0.25">
      <c r="D335" s="4" t="s">
        <v>431</v>
      </c>
    </row>
    <row r="336" spans="2:19" x14ac:dyDescent="0.25">
      <c r="D336" s="4"/>
      <c r="K336" s="9" t="s">
        <v>174</v>
      </c>
      <c r="L336" s="9" t="s">
        <v>175</v>
      </c>
      <c r="M336" s="9" t="s">
        <v>176</v>
      </c>
      <c r="N336" s="9" t="s">
        <v>177</v>
      </c>
      <c r="O336" s="9" t="s">
        <v>178</v>
      </c>
    </row>
    <row r="337" spans="1:23" x14ac:dyDescent="0.25">
      <c r="D337" s="31" t="s">
        <v>166</v>
      </c>
      <c r="E337" s="31" t="s">
        <v>167</v>
      </c>
      <c r="F337" s="31" t="s">
        <v>179</v>
      </c>
      <c r="K337" s="7">
        <f>INDEX(early_collar,MATCH($D$337,early_ID,0))</f>
        <v>191.1</v>
      </c>
      <c r="L337" s="7">
        <f>INDEX(early_collar,MATCH($D$337,early_ID,0))</f>
        <v>191.1</v>
      </c>
      <c r="M337" s="7">
        <f>INDEX(early_collar,MATCH($D$337,early_ID,0))</f>
        <v>191.1</v>
      </c>
      <c r="N337" s="7">
        <f>INDEX(early_collar,MATCH($D$337,early_ID,0))</f>
        <v>191.1</v>
      </c>
      <c r="O337" s="7">
        <f>INDEX(early_collar,MATCH($D$337,early_ID,0))</f>
        <v>191.1</v>
      </c>
      <c r="P337" s="84"/>
      <c r="Q337" s="84"/>
      <c r="R337" s="84"/>
      <c r="S337" s="84"/>
    </row>
    <row r="338" spans="1:23" x14ac:dyDescent="0.25">
      <c r="F338" s="21"/>
      <c r="O338" s="84"/>
      <c r="P338" s="84"/>
      <c r="Q338" s="84"/>
      <c r="R338" s="84"/>
      <c r="S338" s="84"/>
    </row>
    <row r="339" spans="1:23" ht="13.8" x14ac:dyDescent="0.3">
      <c r="A339" s="8" t="s">
        <v>398</v>
      </c>
      <c r="B339" s="8"/>
      <c r="C339" s="8"/>
      <c r="D339" s="8"/>
      <c r="E339" s="8"/>
      <c r="F339" s="8"/>
      <c r="G339" s="8"/>
      <c r="H339" s="8"/>
      <c r="I339" s="8"/>
      <c r="J339" s="8"/>
      <c r="K339" s="8"/>
      <c r="L339" s="8"/>
      <c r="M339" s="8"/>
      <c r="N339" s="8"/>
      <c r="O339" s="8"/>
      <c r="P339" s="8"/>
      <c r="Q339" s="8"/>
      <c r="R339" s="8"/>
      <c r="S339" s="8"/>
      <c r="T339" s="8"/>
      <c r="U339" s="8"/>
      <c r="V339" s="8"/>
      <c r="W339" s="8"/>
    </row>
    <row r="340" spans="1:23" x14ac:dyDescent="0.25">
      <c r="F340" s="21"/>
      <c r="O340" s="84"/>
      <c r="P340" s="84"/>
      <c r="Q340" s="84"/>
      <c r="R340" s="84"/>
      <c r="S340" s="84"/>
    </row>
    <row r="341" spans="1:23" ht="15" x14ac:dyDescent="0.35">
      <c r="B341" s="1" t="s">
        <v>399</v>
      </c>
      <c r="F341" s="21"/>
      <c r="O341" s="84"/>
      <c r="P341" s="84"/>
      <c r="Q341" s="84"/>
      <c r="R341" s="84"/>
      <c r="S341" s="84"/>
    </row>
    <row r="342" spans="1:23" ht="15" x14ac:dyDescent="0.35">
      <c r="B342" s="1"/>
      <c r="F342" s="21"/>
      <c r="O342" s="84"/>
      <c r="P342" s="84"/>
      <c r="Q342" s="84"/>
      <c r="R342" s="84"/>
      <c r="S342" s="84"/>
    </row>
    <row r="343" spans="1:23" x14ac:dyDescent="0.25">
      <c r="D343" s="9" t="s">
        <v>149</v>
      </c>
      <c r="E343" s="9" t="s">
        <v>150</v>
      </c>
      <c r="F343" s="21" t="s">
        <v>151</v>
      </c>
      <c r="K343" s="9" t="s">
        <v>174</v>
      </c>
      <c r="L343" s="9" t="s">
        <v>175</v>
      </c>
      <c r="M343" s="9" t="s">
        <v>176</v>
      </c>
      <c r="N343" s="9" t="s">
        <v>177</v>
      </c>
      <c r="O343" s="9" t="s">
        <v>178</v>
      </c>
      <c r="P343" s="84"/>
      <c r="Q343" s="84"/>
      <c r="R343" s="84"/>
      <c r="S343" s="84"/>
    </row>
    <row r="344" spans="1:23" x14ac:dyDescent="0.25">
      <c r="D344" s="31" t="s">
        <v>156</v>
      </c>
      <c r="E344" s="31" t="s">
        <v>157</v>
      </c>
      <c r="F344" s="31" t="s">
        <v>179</v>
      </c>
      <c r="K344" s="25">
        <f t="shared" ref="K344:O350" si="43">IF(ISBLANK(INDEX(thresholdsproposed,MATCH($D344,thresholdsproposed_ID,0),MATCH(K$343,thresholdsproposed_years,0))),"",INDEX(thresholdsproposed,MATCH($D344,thresholdsproposed_ID,0),MATCH(K$343,thresholdsproposed_years,0)))</f>
        <v>173</v>
      </c>
      <c r="L344" s="25">
        <f t="shared" si="43"/>
        <v>168.5</v>
      </c>
      <c r="M344" s="25">
        <f t="shared" si="43"/>
        <v>163.30000000000001</v>
      </c>
      <c r="N344" s="25">
        <f t="shared" si="43"/>
        <v>156.30000000000001</v>
      </c>
      <c r="O344" s="25">
        <f t="shared" si="43"/>
        <v>149.19999999999999</v>
      </c>
      <c r="P344" s="84"/>
      <c r="Q344" s="84"/>
      <c r="R344" s="84"/>
      <c r="S344" s="84"/>
    </row>
    <row r="345" spans="1:23" x14ac:dyDescent="0.25">
      <c r="D345" s="31" t="s">
        <v>160</v>
      </c>
      <c r="E345" s="31" t="s">
        <v>161</v>
      </c>
      <c r="F345" s="31" t="s">
        <v>179</v>
      </c>
      <c r="K345" s="25">
        <f t="shared" si="43"/>
        <v>97.5</v>
      </c>
      <c r="L345" s="25">
        <f t="shared" si="43"/>
        <v>92.7</v>
      </c>
      <c r="M345" s="25">
        <f t="shared" si="43"/>
        <v>87.8</v>
      </c>
      <c r="N345" s="25">
        <f t="shared" si="43"/>
        <v>83</v>
      </c>
      <c r="O345" s="25">
        <f t="shared" si="43"/>
        <v>78.099999999999994</v>
      </c>
      <c r="P345" s="84"/>
      <c r="Q345" s="84"/>
      <c r="R345" s="84"/>
      <c r="S345" s="84"/>
    </row>
    <row r="346" spans="1:23" x14ac:dyDescent="0.25">
      <c r="D346" s="31" t="s">
        <v>162</v>
      </c>
      <c r="E346" s="31" t="s">
        <v>163</v>
      </c>
      <c r="F346" s="31" t="s">
        <v>179</v>
      </c>
      <c r="K346" s="25">
        <f t="shared" si="43"/>
        <v>61.9</v>
      </c>
      <c r="L346" s="25">
        <f t="shared" si="43"/>
        <v>60.4</v>
      </c>
      <c r="M346" s="25">
        <f t="shared" si="43"/>
        <v>58.2</v>
      </c>
      <c r="N346" s="25">
        <f t="shared" si="43"/>
        <v>56</v>
      </c>
      <c r="O346" s="25">
        <f t="shared" si="43"/>
        <v>53.8</v>
      </c>
      <c r="P346" s="84"/>
      <c r="Q346" s="84"/>
      <c r="R346" s="84"/>
      <c r="S346" s="84"/>
    </row>
    <row r="347" spans="1:23" x14ac:dyDescent="0.25">
      <c r="D347" s="31" t="s">
        <v>164</v>
      </c>
      <c r="E347" s="31" t="s">
        <v>165</v>
      </c>
      <c r="F347" s="31" t="s">
        <v>179</v>
      </c>
      <c r="K347" s="25">
        <f t="shared" si="43"/>
        <v>23.6</v>
      </c>
      <c r="L347" s="25">
        <f t="shared" si="43"/>
        <v>22.7</v>
      </c>
      <c r="M347" s="25">
        <f t="shared" si="43"/>
        <v>21.5</v>
      </c>
      <c r="N347" s="25">
        <f t="shared" si="43"/>
        <v>20.100000000000001</v>
      </c>
      <c r="O347" s="25">
        <f t="shared" si="43"/>
        <v>18.899999999999999</v>
      </c>
      <c r="P347" s="84"/>
      <c r="Q347" s="84"/>
      <c r="R347" s="84"/>
      <c r="S347" s="84"/>
    </row>
    <row r="348" spans="1:23" x14ac:dyDescent="0.25">
      <c r="D348" s="31" t="s">
        <v>166</v>
      </c>
      <c r="E348" s="31" t="s">
        <v>167</v>
      </c>
      <c r="F348" s="31" t="s">
        <v>179</v>
      </c>
      <c r="K348" s="25">
        <f t="shared" si="43"/>
        <v>83.8</v>
      </c>
      <c r="L348" s="25">
        <f t="shared" si="43"/>
        <v>80.2</v>
      </c>
      <c r="M348" s="25">
        <f t="shared" si="43"/>
        <v>76.599999999999994</v>
      </c>
      <c r="N348" s="25">
        <f t="shared" si="43"/>
        <v>72.900000000000006</v>
      </c>
      <c r="O348" s="25">
        <f t="shared" si="43"/>
        <v>69.2</v>
      </c>
      <c r="P348" s="84"/>
      <c r="Q348" s="84"/>
      <c r="R348" s="84"/>
      <c r="S348" s="84"/>
    </row>
    <row r="349" spans="1:23" x14ac:dyDescent="0.25">
      <c r="D349" s="31" t="s">
        <v>168</v>
      </c>
      <c r="E349" s="31" t="s">
        <v>169</v>
      </c>
      <c r="F349" s="31" t="s">
        <v>179</v>
      </c>
      <c r="K349" s="25">
        <f t="shared" si="43"/>
        <v>57.6</v>
      </c>
      <c r="L349" s="25">
        <f t="shared" si="43"/>
        <v>57.6</v>
      </c>
      <c r="M349" s="25">
        <f t="shared" si="43"/>
        <v>57.6</v>
      </c>
      <c r="N349" s="25">
        <f t="shared" si="43"/>
        <v>57.6</v>
      </c>
      <c r="O349" s="25">
        <f t="shared" si="43"/>
        <v>57.6</v>
      </c>
      <c r="P349" s="84"/>
      <c r="Q349" s="84"/>
      <c r="R349" s="84"/>
      <c r="S349" s="84"/>
    </row>
    <row r="350" spans="1:23" x14ac:dyDescent="0.25">
      <c r="D350" s="31" t="s">
        <v>170</v>
      </c>
      <c r="E350" s="31" t="s">
        <v>171</v>
      </c>
      <c r="F350" s="31" t="s">
        <v>179</v>
      </c>
      <c r="K350" s="25">
        <f t="shared" si="43"/>
        <v>152</v>
      </c>
      <c r="L350" s="25">
        <f t="shared" si="43"/>
        <v>152</v>
      </c>
      <c r="M350" s="25">
        <f t="shared" si="43"/>
        <v>152</v>
      </c>
      <c r="N350" s="25">
        <f t="shared" si="43"/>
        <v>152</v>
      </c>
      <c r="O350" s="25">
        <f t="shared" si="43"/>
        <v>152</v>
      </c>
      <c r="P350" s="84"/>
      <c r="Q350" s="84"/>
      <c r="R350" s="84"/>
      <c r="S350" s="84"/>
    </row>
    <row r="351" spans="1:23" x14ac:dyDescent="0.25">
      <c r="D351" s="31"/>
      <c r="E351" s="31"/>
      <c r="F351" s="31"/>
      <c r="K351" s="25"/>
      <c r="L351" s="25"/>
      <c r="M351" s="25"/>
      <c r="N351" s="25"/>
      <c r="O351" s="25"/>
      <c r="P351" s="84"/>
      <c r="Q351" s="84"/>
      <c r="R351" s="84"/>
      <c r="S351" s="84"/>
    </row>
    <row r="352" spans="1:23" x14ac:dyDescent="0.25">
      <c r="D352" s="31"/>
      <c r="E352" s="31"/>
      <c r="F352" s="21"/>
      <c r="K352" s="25"/>
      <c r="L352" s="25"/>
      <c r="M352" s="25"/>
      <c r="N352" s="25"/>
      <c r="O352" s="25"/>
      <c r="P352" s="84"/>
      <c r="Q352" s="84"/>
      <c r="R352" s="84"/>
      <c r="S352" s="84"/>
    </row>
    <row r="353" spans="1:23" ht="15" x14ac:dyDescent="0.35">
      <c r="B353" s="1" t="s">
        <v>400</v>
      </c>
      <c r="F353" s="21"/>
      <c r="K353" s="25"/>
      <c r="L353" s="25"/>
      <c r="M353" s="25"/>
      <c r="N353" s="25"/>
      <c r="O353" s="25"/>
      <c r="P353" s="84"/>
      <c r="Q353" s="84"/>
      <c r="R353" s="84"/>
      <c r="S353" s="84"/>
    </row>
    <row r="354" spans="1:23" x14ac:dyDescent="0.25">
      <c r="C354" s="4" t="s">
        <v>401</v>
      </c>
      <c r="F354" s="21"/>
      <c r="K354" s="25"/>
      <c r="L354" s="25"/>
      <c r="M354" s="25"/>
      <c r="N354" s="25"/>
      <c r="O354" s="25"/>
      <c r="P354" s="74"/>
      <c r="Q354" s="74"/>
      <c r="R354" s="74"/>
      <c r="S354" s="74"/>
    </row>
    <row r="355" spans="1:23" x14ac:dyDescent="0.25">
      <c r="C355" s="4"/>
      <c r="F355" s="21"/>
      <c r="K355" s="25"/>
      <c r="L355" s="25"/>
      <c r="M355" s="25"/>
      <c r="N355" s="25"/>
      <c r="O355" s="25"/>
    </row>
    <row r="356" spans="1:23" x14ac:dyDescent="0.25">
      <c r="C356" s="4"/>
      <c r="D356" s="9" t="s">
        <v>149</v>
      </c>
      <c r="E356" s="9" t="s">
        <v>150</v>
      </c>
      <c r="F356" s="21" t="s">
        <v>151</v>
      </c>
      <c r="K356" s="25" t="s">
        <v>174</v>
      </c>
      <c r="L356" s="25" t="s">
        <v>175</v>
      </c>
      <c r="M356" s="25" t="s">
        <v>176</v>
      </c>
      <c r="N356" s="25" t="s">
        <v>177</v>
      </c>
      <c r="O356" s="25" t="s">
        <v>178</v>
      </c>
      <c r="P356" s="74"/>
      <c r="Q356" s="74"/>
      <c r="R356" s="74"/>
      <c r="S356" s="74"/>
    </row>
    <row r="357" spans="1:23" x14ac:dyDescent="0.25">
      <c r="C357" s="4"/>
      <c r="D357" s="31" t="s">
        <v>156</v>
      </c>
      <c r="E357" s="31" t="s">
        <v>157</v>
      </c>
      <c r="F357" s="31" t="s">
        <v>179</v>
      </c>
      <c r="K357" s="123">
        <f t="shared" ref="K357:O363" si="44">MIN(K344,K302)</f>
        <v>171.39902145708368</v>
      </c>
      <c r="L357" s="123">
        <f t="shared" si="44"/>
        <v>168.5</v>
      </c>
      <c r="M357" s="123">
        <f t="shared" si="44"/>
        <v>163.30000000000001</v>
      </c>
      <c r="N357" s="123">
        <f t="shared" si="44"/>
        <v>156.30000000000001</v>
      </c>
      <c r="O357" s="123">
        <f t="shared" si="44"/>
        <v>149.19999999999999</v>
      </c>
      <c r="P357" s="73"/>
      <c r="Q357" s="73"/>
      <c r="R357" s="73"/>
      <c r="S357" s="74"/>
    </row>
    <row r="358" spans="1:23" x14ac:dyDescent="0.25">
      <c r="C358" s="4"/>
      <c r="D358" s="31" t="s">
        <v>160</v>
      </c>
      <c r="E358" s="31" t="s">
        <v>161</v>
      </c>
      <c r="F358" s="31" t="s">
        <v>179</v>
      </c>
      <c r="K358" s="123">
        <f t="shared" si="44"/>
        <v>84.283171753165064</v>
      </c>
      <c r="L358" s="123">
        <f t="shared" si="44"/>
        <v>83.418463630219179</v>
      </c>
      <c r="M358" s="123">
        <f t="shared" si="44"/>
        <v>82.19127049639917</v>
      </c>
      <c r="N358" s="123">
        <f t="shared" si="44"/>
        <v>80.683650286227504</v>
      </c>
      <c r="O358" s="123">
        <f t="shared" si="44"/>
        <v>78.099999999999994</v>
      </c>
      <c r="P358" s="73"/>
      <c r="Q358" s="73"/>
      <c r="R358" s="73"/>
      <c r="S358" s="74"/>
    </row>
    <row r="359" spans="1:23" x14ac:dyDescent="0.25">
      <c r="D359" s="31" t="s">
        <v>162</v>
      </c>
      <c r="E359" s="31" t="s">
        <v>163</v>
      </c>
      <c r="F359" s="31" t="s">
        <v>179</v>
      </c>
      <c r="K359" s="123">
        <f t="shared" si="44"/>
        <v>50.720956176015477</v>
      </c>
      <c r="L359" s="123">
        <f t="shared" si="44"/>
        <v>50.017993684642136</v>
      </c>
      <c r="M359" s="123">
        <f t="shared" si="44"/>
        <v>49.068744642769872</v>
      </c>
      <c r="N359" s="123">
        <f t="shared" si="44"/>
        <v>47.915191541690177</v>
      </c>
      <c r="O359" s="123">
        <f t="shared" si="44"/>
        <v>46.578181413444227</v>
      </c>
      <c r="P359" s="25"/>
      <c r="Q359" s="25"/>
      <c r="R359" s="25"/>
      <c r="S359" s="84"/>
    </row>
    <row r="360" spans="1:23" x14ac:dyDescent="0.25">
      <c r="D360" s="31" t="s">
        <v>164</v>
      </c>
      <c r="E360" s="31" t="s">
        <v>165</v>
      </c>
      <c r="F360" s="31" t="s">
        <v>179</v>
      </c>
      <c r="K360" s="123">
        <f t="shared" si="44"/>
        <v>18.825258704498768</v>
      </c>
      <c r="L360" s="123">
        <f t="shared" si="44"/>
        <v>18.566576991776692</v>
      </c>
      <c r="M360" s="123">
        <f t="shared" si="44"/>
        <v>18.229499756930728</v>
      </c>
      <c r="N360" s="123">
        <f t="shared" si="44"/>
        <v>17.814129605262934</v>
      </c>
      <c r="O360" s="123">
        <f t="shared" si="44"/>
        <v>17.332410843737442</v>
      </c>
      <c r="P360" s="25"/>
      <c r="Q360" s="25"/>
      <c r="R360" s="25"/>
      <c r="S360" s="84"/>
    </row>
    <row r="361" spans="1:23" x14ac:dyDescent="0.25">
      <c r="D361" s="31" t="s">
        <v>166</v>
      </c>
      <c r="E361" s="31" t="s">
        <v>167</v>
      </c>
      <c r="F361" s="31" t="s">
        <v>179</v>
      </c>
      <c r="K361" s="123">
        <f t="shared" si="44"/>
        <v>80.829725359530357</v>
      </c>
      <c r="L361" s="123">
        <f t="shared" si="44"/>
        <v>79.957077150284675</v>
      </c>
      <c r="M361" s="123">
        <f t="shared" si="44"/>
        <v>76.599999999999994</v>
      </c>
      <c r="N361" s="123">
        <f t="shared" si="44"/>
        <v>72.900000000000006</v>
      </c>
      <c r="O361" s="123">
        <f t="shared" si="44"/>
        <v>69.2</v>
      </c>
      <c r="P361" s="25"/>
      <c r="Q361" s="25"/>
      <c r="R361" s="25"/>
      <c r="S361" s="84"/>
    </row>
    <row r="362" spans="1:23" x14ac:dyDescent="0.25">
      <c r="D362" s="31" t="s">
        <v>168</v>
      </c>
      <c r="E362" s="31" t="s">
        <v>169</v>
      </c>
      <c r="F362" s="31" t="s">
        <v>179</v>
      </c>
      <c r="K362" s="123">
        <f t="shared" si="44"/>
        <v>50.598442586528776</v>
      </c>
      <c r="L362" s="123">
        <f t="shared" si="44"/>
        <v>50.117364219307831</v>
      </c>
      <c r="M362" s="123">
        <f t="shared" si="44"/>
        <v>49.454913792407403</v>
      </c>
      <c r="N362" s="123">
        <f t="shared" si="44"/>
        <v>48.635708370735259</v>
      </c>
      <c r="O362" s="123">
        <f t="shared" si="44"/>
        <v>47.675391745764799</v>
      </c>
      <c r="P362" s="25"/>
      <c r="Q362" s="25"/>
      <c r="R362" s="25"/>
      <c r="S362" s="84"/>
    </row>
    <row r="363" spans="1:23" x14ac:dyDescent="0.25">
      <c r="D363" s="31" t="s">
        <v>170</v>
      </c>
      <c r="E363" s="31" t="s">
        <v>171</v>
      </c>
      <c r="F363" s="31" t="s">
        <v>179</v>
      </c>
      <c r="K363" s="123">
        <f t="shared" si="44"/>
        <v>152</v>
      </c>
      <c r="L363" s="123">
        <f t="shared" si="44"/>
        <v>152</v>
      </c>
      <c r="M363" s="123">
        <f t="shared" si="44"/>
        <v>152</v>
      </c>
      <c r="N363" s="123">
        <f t="shared" si="44"/>
        <v>150.31677189112105</v>
      </c>
      <c r="O363" s="123">
        <f t="shared" si="44"/>
        <v>146.63952688495792</v>
      </c>
      <c r="P363" s="25"/>
      <c r="Q363" s="25"/>
      <c r="R363" s="25"/>
      <c r="S363" s="84"/>
    </row>
    <row r="364" spans="1:23" x14ac:dyDescent="0.25">
      <c r="D364" s="31"/>
      <c r="E364" s="31"/>
      <c r="F364" s="31"/>
      <c r="H364" s="110"/>
      <c r="I364" s="110"/>
      <c r="J364" s="110"/>
      <c r="K364" s="110"/>
      <c r="L364" s="110"/>
      <c r="N364" s="25"/>
      <c r="O364" s="25"/>
      <c r="P364" s="25"/>
      <c r="Q364" s="25"/>
      <c r="R364" s="25"/>
      <c r="S364" s="84"/>
    </row>
    <row r="365" spans="1:23" x14ac:dyDescent="0.25">
      <c r="F365" s="21"/>
      <c r="H365" s="25"/>
      <c r="I365" s="25"/>
      <c r="J365" s="25"/>
      <c r="K365" s="25"/>
      <c r="L365" s="25"/>
      <c r="O365" s="84"/>
      <c r="P365" s="84"/>
      <c r="Q365" s="84"/>
      <c r="R365" s="84"/>
      <c r="S365" s="84"/>
    </row>
    <row r="366" spans="1:23" ht="13.8" x14ac:dyDescent="0.3">
      <c r="A366" s="10" t="s">
        <v>22</v>
      </c>
      <c r="B366" s="10"/>
      <c r="C366" s="10"/>
      <c r="D366" s="10"/>
      <c r="E366" s="10"/>
      <c r="F366" s="10"/>
      <c r="G366" s="10"/>
      <c r="H366" s="109"/>
      <c r="I366" s="109"/>
      <c r="J366" s="109"/>
      <c r="K366" s="109"/>
      <c r="L366" s="109"/>
      <c r="M366" s="10"/>
      <c r="N366" s="10"/>
      <c r="O366" s="10"/>
      <c r="P366" s="10"/>
      <c r="Q366" s="10"/>
      <c r="R366" s="10"/>
      <c r="S366" s="10"/>
      <c r="T366" s="10"/>
      <c r="U366" s="10"/>
      <c r="V366" s="10"/>
      <c r="W366" s="10"/>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sheetPr>
  <dimension ref="A1:Z49"/>
  <sheetViews>
    <sheetView zoomScaleNormal="100" workbookViewId="0">
      <pane ySplit="1" topLeftCell="A2" activePane="bottomLeft" state="frozen"/>
      <selection pane="bottomLeft" activeCell="A2" sqref="A2"/>
    </sheetView>
  </sheetViews>
  <sheetFormatPr defaultRowHeight="13.2" x14ac:dyDescent="0.25"/>
  <cols>
    <col min="1" max="3" width="2.77734375" customWidth="1"/>
    <col min="4" max="4" width="31" bestFit="1" customWidth="1"/>
    <col min="5" max="5" width="21.77734375" bestFit="1" customWidth="1"/>
    <col min="6" max="6" width="11.88671875" bestFit="1" customWidth="1"/>
  </cols>
  <sheetData>
    <row r="1" spans="1:26" ht="30" x14ac:dyDescent="0.5">
      <c r="A1" s="3" t="s">
        <v>432</v>
      </c>
      <c r="B1" s="3"/>
      <c r="C1" s="3"/>
      <c r="D1" s="3"/>
      <c r="E1" s="3"/>
      <c r="F1" s="3"/>
      <c r="G1" s="3"/>
      <c r="H1" s="3"/>
      <c r="I1" s="3"/>
      <c r="J1" s="3"/>
      <c r="K1" s="3"/>
      <c r="L1" s="3"/>
      <c r="M1" s="3"/>
      <c r="N1" s="3"/>
      <c r="O1" s="3"/>
      <c r="P1" s="3"/>
      <c r="Q1" s="3"/>
      <c r="R1" s="3"/>
      <c r="S1" s="3"/>
      <c r="T1" s="3"/>
      <c r="U1" s="3"/>
      <c r="V1" s="3"/>
      <c r="W1" s="3"/>
      <c r="X1" s="3"/>
      <c r="Y1" s="3"/>
      <c r="Z1" s="3"/>
    </row>
    <row r="3" spans="1:26" x14ac:dyDescent="0.25">
      <c r="A3" s="4" t="s">
        <v>433</v>
      </c>
      <c r="B3" s="9"/>
      <c r="C3" s="9"/>
      <c r="D3" s="9"/>
      <c r="E3" s="9"/>
      <c r="F3" s="9"/>
      <c r="G3" s="9"/>
      <c r="H3" s="9"/>
      <c r="I3" s="9"/>
      <c r="J3" s="9"/>
      <c r="K3" s="9"/>
      <c r="L3" s="9"/>
      <c r="M3" s="9"/>
      <c r="N3" s="9"/>
      <c r="O3" s="9"/>
      <c r="P3" s="9"/>
      <c r="Q3" s="9"/>
      <c r="R3" s="9"/>
      <c r="S3" s="9"/>
      <c r="T3" s="9"/>
      <c r="U3" s="9"/>
      <c r="V3" s="9"/>
      <c r="W3" s="9"/>
      <c r="X3" s="9"/>
      <c r="Y3" s="9"/>
      <c r="Z3" s="9"/>
    </row>
    <row r="4" spans="1:26" x14ac:dyDescent="0.25">
      <c r="A4" s="4" t="s">
        <v>434</v>
      </c>
      <c r="B4" s="9"/>
      <c r="C4" s="9"/>
      <c r="D4" s="9"/>
      <c r="E4" s="9"/>
      <c r="F4" s="9"/>
      <c r="G4" s="9"/>
      <c r="H4" s="9"/>
      <c r="I4" s="9"/>
      <c r="J4" s="9"/>
      <c r="K4" s="9"/>
      <c r="L4" s="9"/>
      <c r="M4" s="9"/>
      <c r="N4" s="9"/>
      <c r="O4" s="9"/>
      <c r="P4" s="9"/>
      <c r="Q4" s="9"/>
      <c r="R4" s="9"/>
      <c r="S4" s="9"/>
      <c r="T4" s="9"/>
      <c r="U4" s="9"/>
      <c r="V4" s="9"/>
      <c r="W4" s="9"/>
      <c r="X4" s="9"/>
      <c r="Y4" s="9"/>
      <c r="Z4" s="9"/>
    </row>
    <row r="6" spans="1:26" ht="13.8" x14ac:dyDescent="0.3">
      <c r="A6" s="8" t="s">
        <v>203</v>
      </c>
      <c r="B6" s="8"/>
      <c r="C6" s="8"/>
      <c r="D6" s="8"/>
      <c r="E6" s="8"/>
      <c r="F6" s="8"/>
      <c r="G6" s="8"/>
      <c r="H6" s="8"/>
      <c r="I6" s="8"/>
      <c r="J6" s="8"/>
      <c r="K6" s="8"/>
      <c r="L6" s="8"/>
      <c r="M6" s="8"/>
      <c r="N6" s="8"/>
      <c r="O6" s="8"/>
      <c r="P6" s="8"/>
      <c r="Q6" s="8"/>
      <c r="R6" s="8"/>
      <c r="S6" s="8"/>
      <c r="T6" s="8"/>
      <c r="U6" s="8"/>
      <c r="V6" s="8"/>
      <c r="W6" s="8"/>
      <c r="X6" s="8"/>
      <c r="Y6" s="8"/>
      <c r="Z6" s="8"/>
    </row>
    <row r="7" spans="1:26" x14ac:dyDescent="0.25">
      <c r="A7" s="9"/>
      <c r="B7" s="9"/>
      <c r="C7" s="9"/>
      <c r="D7" s="9"/>
      <c r="E7" s="9"/>
      <c r="F7" s="9"/>
      <c r="G7" s="9"/>
      <c r="H7" s="9"/>
      <c r="I7" s="9"/>
      <c r="J7" s="9"/>
      <c r="K7" s="9"/>
      <c r="L7" s="9"/>
      <c r="M7" s="9"/>
      <c r="N7" s="9"/>
      <c r="O7" s="9"/>
      <c r="P7" s="9"/>
      <c r="Q7" s="9"/>
      <c r="R7" s="9"/>
      <c r="S7" s="9"/>
      <c r="T7" s="9"/>
      <c r="U7" s="9"/>
      <c r="V7" s="9"/>
      <c r="W7" s="9"/>
      <c r="X7" s="9"/>
      <c r="Y7" s="9"/>
      <c r="Z7" s="9"/>
    </row>
    <row r="8" spans="1:26" ht="15" x14ac:dyDescent="0.35">
      <c r="A8" s="1" t="s">
        <v>369</v>
      </c>
      <c r="B8" s="9"/>
      <c r="C8" s="9"/>
      <c r="D8" s="9"/>
      <c r="E8" s="9"/>
      <c r="F8" s="9"/>
      <c r="G8" s="9"/>
      <c r="H8" s="9"/>
      <c r="I8" s="9"/>
      <c r="J8" s="9"/>
      <c r="K8" s="9"/>
      <c r="L8" s="9"/>
      <c r="M8" s="9"/>
      <c r="N8" s="9"/>
      <c r="O8" s="9"/>
      <c r="P8" s="9"/>
      <c r="Q8" s="9"/>
      <c r="R8" s="9"/>
      <c r="S8" s="9"/>
      <c r="T8" s="9"/>
      <c r="U8" s="9"/>
      <c r="V8" s="9"/>
      <c r="W8" s="9"/>
      <c r="X8" s="9"/>
      <c r="Y8" s="9"/>
      <c r="Z8" s="9"/>
    </row>
    <row r="9" spans="1:26" x14ac:dyDescent="0.25">
      <c r="A9" s="9"/>
      <c r="B9" s="9"/>
      <c r="C9" s="9"/>
      <c r="D9" s="9"/>
      <c r="E9" s="9"/>
      <c r="F9" s="9"/>
      <c r="G9" s="9"/>
      <c r="H9" s="9"/>
      <c r="I9" s="9"/>
      <c r="J9" s="9"/>
      <c r="K9" s="9"/>
      <c r="L9" s="9"/>
      <c r="M9" s="9"/>
      <c r="N9" s="9"/>
      <c r="O9" s="9"/>
      <c r="P9" s="9"/>
      <c r="Q9" s="9"/>
      <c r="R9" s="9"/>
      <c r="S9" s="9"/>
      <c r="T9" s="9"/>
      <c r="U9" s="9"/>
      <c r="V9" s="9"/>
      <c r="W9" s="9"/>
      <c r="X9" s="9"/>
      <c r="Y9" s="9"/>
      <c r="Z9" s="9"/>
    </row>
    <row r="10" spans="1:26" x14ac:dyDescent="0.25">
      <c r="A10" s="9"/>
      <c r="B10" s="9"/>
      <c r="C10" s="9"/>
      <c r="D10" s="9" t="s">
        <v>371</v>
      </c>
      <c r="E10" s="9" t="str">
        <f>INDEX(Assumptions!$D$25:$D$29,MATCH(A6,Assumptions!$C$25:$C$29,0))</f>
        <v>April 2019</v>
      </c>
      <c r="F10" s="9"/>
      <c r="G10" s="9"/>
      <c r="H10" s="9"/>
      <c r="I10" s="9"/>
      <c r="J10" s="9"/>
      <c r="K10" s="9"/>
      <c r="L10" s="9"/>
      <c r="M10" s="9"/>
      <c r="N10" s="9"/>
      <c r="O10" s="9"/>
      <c r="P10" s="9"/>
      <c r="Q10" s="9"/>
      <c r="R10" s="9"/>
      <c r="S10" s="9"/>
      <c r="T10" s="9"/>
      <c r="U10" s="9"/>
      <c r="V10" s="9"/>
      <c r="W10" s="9"/>
      <c r="X10" s="9"/>
      <c r="Y10" s="9"/>
      <c r="Z10" s="9"/>
    </row>
    <row r="11" spans="1:26" x14ac:dyDescent="0.25">
      <c r="A11" s="9"/>
      <c r="B11" s="9"/>
      <c r="C11" s="9"/>
      <c r="D11" s="9"/>
      <c r="E11" s="9"/>
      <c r="F11" s="9"/>
      <c r="G11" s="9"/>
      <c r="H11" s="9"/>
      <c r="I11" s="9"/>
      <c r="J11" s="9"/>
      <c r="K11" s="9"/>
      <c r="L11" s="9"/>
      <c r="M11" s="9"/>
      <c r="N11" s="9"/>
      <c r="O11" s="9"/>
      <c r="P11" s="9"/>
      <c r="Q11" s="9"/>
      <c r="R11" s="9"/>
      <c r="S11" s="9"/>
      <c r="T11" s="9"/>
      <c r="U11" s="9"/>
      <c r="V11" s="9"/>
      <c r="W11" s="9"/>
      <c r="X11" s="9"/>
      <c r="Y11" s="9"/>
      <c r="Z11" s="9"/>
    </row>
    <row r="12" spans="1:26" x14ac:dyDescent="0.25">
      <c r="A12" s="9"/>
      <c r="B12" s="9"/>
      <c r="C12" s="9"/>
      <c r="D12" s="9"/>
      <c r="E12" s="9"/>
      <c r="F12" s="9"/>
      <c r="G12" s="9"/>
      <c r="H12" s="9"/>
      <c r="I12" s="9"/>
      <c r="J12" s="9"/>
      <c r="K12" s="9"/>
      <c r="L12" s="9"/>
      <c r="M12" s="9"/>
      <c r="N12" s="9"/>
      <c r="O12" s="9"/>
      <c r="P12" s="9"/>
      <c r="Q12" s="9"/>
      <c r="R12" s="9"/>
      <c r="S12" s="9"/>
      <c r="T12" s="9"/>
      <c r="U12" s="9"/>
      <c r="V12" s="9"/>
      <c r="W12" s="9"/>
      <c r="X12" s="9"/>
      <c r="Y12" s="9"/>
      <c r="Z12" s="9"/>
    </row>
    <row r="13" spans="1:26" x14ac:dyDescent="0.25">
      <c r="A13" s="9"/>
      <c r="B13" s="9"/>
      <c r="C13" s="9"/>
      <c r="D13" s="9"/>
      <c r="E13" s="9"/>
      <c r="F13" s="9"/>
      <c r="G13" s="9"/>
      <c r="H13" s="9" t="s">
        <v>372</v>
      </c>
      <c r="I13" s="9" t="s">
        <v>372</v>
      </c>
      <c r="J13" s="9" t="s">
        <v>373</v>
      </c>
      <c r="K13" s="9" t="s">
        <v>374</v>
      </c>
      <c r="L13" s="9" t="s">
        <v>374</v>
      </c>
      <c r="M13" s="9" t="s">
        <v>374</v>
      </c>
      <c r="N13" s="9" t="s">
        <v>374</v>
      </c>
      <c r="O13" s="9" t="s">
        <v>374</v>
      </c>
      <c r="P13" s="9"/>
      <c r="Q13" s="9"/>
      <c r="R13" s="9"/>
      <c r="S13" s="9"/>
      <c r="T13" s="9"/>
      <c r="U13" s="9"/>
      <c r="V13" s="9"/>
      <c r="W13" s="9"/>
      <c r="X13" s="9"/>
      <c r="Y13" s="9"/>
      <c r="Z13" s="9"/>
    </row>
    <row r="14" spans="1:26" x14ac:dyDescent="0.25">
      <c r="A14" s="9"/>
      <c r="B14" s="9"/>
      <c r="C14" s="9"/>
      <c r="D14" s="9" t="s">
        <v>149</v>
      </c>
      <c r="E14" s="9" t="s">
        <v>150</v>
      </c>
      <c r="F14" s="9" t="s">
        <v>151</v>
      </c>
      <c r="G14" s="9"/>
      <c r="H14" s="9" t="s">
        <v>375</v>
      </c>
      <c r="I14" s="9" t="s">
        <v>376</v>
      </c>
      <c r="J14" s="9" t="s">
        <v>377</v>
      </c>
      <c r="K14" s="9" t="s">
        <v>174</v>
      </c>
      <c r="L14" s="9" t="s">
        <v>175</v>
      </c>
      <c r="M14" s="9" t="s">
        <v>176</v>
      </c>
      <c r="N14" s="9" t="s">
        <v>177</v>
      </c>
      <c r="O14" s="9" t="s">
        <v>178</v>
      </c>
      <c r="P14" s="9"/>
      <c r="Q14" s="9"/>
      <c r="R14" s="9"/>
      <c r="S14" s="9"/>
      <c r="T14" s="9"/>
      <c r="U14" s="9"/>
      <c r="V14" s="9"/>
      <c r="W14" s="9"/>
      <c r="X14" s="9"/>
      <c r="Y14" s="9"/>
      <c r="Z14" s="9"/>
    </row>
    <row r="15" spans="1:26" x14ac:dyDescent="0.25">
      <c r="A15" s="9"/>
      <c r="B15" s="9"/>
      <c r="C15" s="9"/>
      <c r="D15" s="31" t="s">
        <v>272</v>
      </c>
      <c r="E15" s="31" t="s">
        <v>231</v>
      </c>
      <c r="F15" s="31" t="s">
        <v>210</v>
      </c>
      <c r="G15" s="9"/>
      <c r="H15" s="45" t="str">
        <f t="shared" ref="H15:O24" si="0">IF(H$13="Proposed",IF($E$10="September 2018",INDEX(PCLsProposed_Sept,MATCH($D15,PCLsProposed_ID,0),MATCH(H$14,PCLpropsedyears_September,0)),INDEX(PCLsProposed_April,MATCH($D15,PCLsProposed_ID,0),MATCH(H$14,PCLProposedyears_April,0))),IF(INDEX(PCLhistorical_data,MATCH($D15,PCLhistorical_ID,0),MATCH(H$14,PCLhistorical_years,0))="","",INDEX(PCLhistorical_data,MATCH($D15,PCLhistorical_ID,0),MATCH(H$14,PCLhistorical_years,0))))</f>
        <v/>
      </c>
      <c r="I15" s="45">
        <f t="shared" si="0"/>
        <v>161</v>
      </c>
      <c r="J15" s="45">
        <f t="shared" si="0"/>
        <v>151.6</v>
      </c>
      <c r="K15" s="45">
        <f t="shared" si="0"/>
        <v>149</v>
      </c>
      <c r="L15" s="45">
        <f t="shared" si="0"/>
        <v>144.1</v>
      </c>
      <c r="M15" s="45">
        <f t="shared" si="0"/>
        <v>140.5</v>
      </c>
      <c r="N15" s="45">
        <f t="shared" si="0"/>
        <v>136.5</v>
      </c>
      <c r="O15" s="45">
        <f t="shared" si="0"/>
        <v>132.6</v>
      </c>
      <c r="P15" s="52"/>
      <c r="Q15" s="9"/>
      <c r="R15" s="9"/>
      <c r="S15" s="9"/>
      <c r="T15" s="9"/>
      <c r="U15" s="9"/>
      <c r="V15" s="9"/>
      <c r="W15" s="9"/>
      <c r="X15" s="9"/>
      <c r="Y15" s="9"/>
      <c r="Z15" s="9"/>
    </row>
    <row r="16" spans="1:26" x14ac:dyDescent="0.25">
      <c r="A16" s="9"/>
      <c r="B16" s="9"/>
      <c r="C16" s="9"/>
      <c r="D16" s="31" t="s">
        <v>274</v>
      </c>
      <c r="E16" s="31" t="s">
        <v>157</v>
      </c>
      <c r="F16" s="31" t="s">
        <v>210</v>
      </c>
      <c r="G16" s="9"/>
      <c r="H16" s="45">
        <f t="shared" si="0"/>
        <v>136.69999999999999</v>
      </c>
      <c r="I16" s="45">
        <f t="shared" si="0"/>
        <v>135</v>
      </c>
      <c r="J16" s="45">
        <f t="shared" si="0"/>
        <v>136.19999999999999</v>
      </c>
      <c r="K16" s="45">
        <f t="shared" si="0"/>
        <v>135.5</v>
      </c>
      <c r="L16" s="45">
        <f t="shared" si="0"/>
        <v>134.4</v>
      </c>
      <c r="M16" s="45">
        <f t="shared" si="0"/>
        <v>133.1</v>
      </c>
      <c r="N16" s="45">
        <f t="shared" si="0"/>
        <v>131.80000000000001</v>
      </c>
      <c r="O16" s="45">
        <f t="shared" si="0"/>
        <v>130.69999999999999</v>
      </c>
      <c r="P16" s="52"/>
      <c r="Q16" s="9"/>
      <c r="R16" s="9"/>
      <c r="S16" s="9"/>
      <c r="T16" s="9"/>
      <c r="U16" s="9"/>
      <c r="V16" s="9"/>
      <c r="W16" s="9"/>
      <c r="X16" s="9"/>
      <c r="Y16" s="9"/>
      <c r="Z16" s="9"/>
    </row>
    <row r="17" spans="1:26" x14ac:dyDescent="0.25">
      <c r="A17" s="9"/>
      <c r="B17" s="9"/>
      <c r="C17" s="9"/>
      <c r="D17" s="31" t="s">
        <v>275</v>
      </c>
      <c r="E17" s="31" t="s">
        <v>235</v>
      </c>
      <c r="F17" s="31" t="s">
        <v>210</v>
      </c>
      <c r="G17" s="9"/>
      <c r="H17" s="45" t="str">
        <f t="shared" si="0"/>
        <v/>
      </c>
      <c r="I17" s="45">
        <f t="shared" si="0"/>
        <v>148</v>
      </c>
      <c r="J17" s="45">
        <f t="shared" si="0"/>
        <v>142</v>
      </c>
      <c r="K17" s="45">
        <f t="shared" si="0"/>
        <v>140.6</v>
      </c>
      <c r="L17" s="45">
        <f t="shared" si="0"/>
        <v>139.19999999999999</v>
      </c>
      <c r="M17" s="45">
        <f t="shared" si="0"/>
        <v>137.80000000000001</v>
      </c>
      <c r="N17" s="45">
        <f t="shared" si="0"/>
        <v>136.4</v>
      </c>
      <c r="O17" s="45">
        <f t="shared" si="0"/>
        <v>135</v>
      </c>
      <c r="P17" s="52"/>
      <c r="Q17" s="9"/>
      <c r="R17" s="9"/>
      <c r="S17" s="9"/>
      <c r="T17" s="9"/>
      <c r="U17" s="9"/>
      <c r="V17" s="9"/>
      <c r="W17" s="9"/>
      <c r="X17" s="9"/>
      <c r="Y17" s="9"/>
      <c r="Z17" s="9"/>
    </row>
    <row r="18" spans="1:26" x14ac:dyDescent="0.25">
      <c r="A18" s="9"/>
      <c r="B18" s="9"/>
      <c r="C18" s="9"/>
      <c r="D18" s="31" t="s">
        <v>276</v>
      </c>
      <c r="E18" s="31" t="s">
        <v>237</v>
      </c>
      <c r="F18" s="31" t="s">
        <v>210</v>
      </c>
      <c r="G18" s="9"/>
      <c r="H18" s="45">
        <f t="shared" si="0"/>
        <v>156.69999999999999</v>
      </c>
      <c r="I18" s="45">
        <f t="shared" si="0"/>
        <v>143.59659884904573</v>
      </c>
      <c r="J18" s="45">
        <f t="shared" si="0"/>
        <v>141.30000000000001</v>
      </c>
      <c r="K18" s="45">
        <f t="shared" si="0"/>
        <v>140</v>
      </c>
      <c r="L18" s="45">
        <f t="shared" si="0"/>
        <v>138.69999999999999</v>
      </c>
      <c r="M18" s="45">
        <f t="shared" si="0"/>
        <v>137.5</v>
      </c>
      <c r="N18" s="45">
        <f t="shared" si="0"/>
        <v>136.4</v>
      </c>
      <c r="O18" s="45">
        <f t="shared" si="0"/>
        <v>135.30000000000001</v>
      </c>
      <c r="P18" s="52"/>
      <c r="Q18" s="9"/>
      <c r="R18" s="9"/>
      <c r="S18" s="9"/>
      <c r="T18" s="9"/>
      <c r="U18" s="9"/>
      <c r="V18" s="9"/>
      <c r="W18" s="9"/>
      <c r="X18" s="9"/>
      <c r="Y18" s="9"/>
      <c r="Z18" s="9"/>
    </row>
    <row r="19" spans="1:26" x14ac:dyDescent="0.25">
      <c r="A19" s="9"/>
      <c r="B19" s="9"/>
      <c r="C19" s="9"/>
      <c r="D19" s="31" t="s">
        <v>277</v>
      </c>
      <c r="E19" s="31" t="s">
        <v>186</v>
      </c>
      <c r="F19" s="31" t="s">
        <v>210</v>
      </c>
      <c r="G19" s="9"/>
      <c r="H19" s="45" t="str">
        <f t="shared" si="0"/>
        <v/>
      </c>
      <c r="I19" s="45">
        <f t="shared" si="0"/>
        <v>154</v>
      </c>
      <c r="J19" s="45">
        <f t="shared" si="0"/>
        <v>143.6</v>
      </c>
      <c r="K19" s="45">
        <f t="shared" si="0"/>
        <v>142.5</v>
      </c>
      <c r="L19" s="45">
        <f t="shared" si="0"/>
        <v>141</v>
      </c>
      <c r="M19" s="45">
        <f t="shared" si="0"/>
        <v>139.4</v>
      </c>
      <c r="N19" s="45">
        <f t="shared" si="0"/>
        <v>137.69999999999999</v>
      </c>
      <c r="O19" s="45">
        <f t="shared" si="0"/>
        <v>136</v>
      </c>
      <c r="P19" s="52"/>
      <c r="Q19" s="9"/>
      <c r="R19" s="9"/>
      <c r="S19" s="9"/>
      <c r="T19" s="9"/>
      <c r="U19" s="9"/>
      <c r="V19" s="9"/>
      <c r="W19" s="9"/>
      <c r="X19" s="9"/>
      <c r="Y19" s="9"/>
      <c r="Z19" s="9"/>
    </row>
    <row r="20" spans="1:26" x14ac:dyDescent="0.25">
      <c r="A20" s="9"/>
      <c r="B20" s="9"/>
      <c r="C20" s="9"/>
      <c r="D20" s="31" t="s">
        <v>278</v>
      </c>
      <c r="E20" s="31" t="s">
        <v>239</v>
      </c>
      <c r="F20" s="31" t="s">
        <v>210</v>
      </c>
      <c r="G20" s="9"/>
      <c r="H20" s="45">
        <f t="shared" si="0"/>
        <v>141.5</v>
      </c>
      <c r="I20" s="45">
        <f t="shared" si="0"/>
        <v>152.19999999999999</v>
      </c>
      <c r="J20" s="45">
        <f t="shared" si="0"/>
        <v>142</v>
      </c>
      <c r="K20" s="45">
        <f t="shared" si="0"/>
        <v>140.6</v>
      </c>
      <c r="L20" s="45">
        <f t="shared" si="0"/>
        <v>139.19999999999999</v>
      </c>
      <c r="M20" s="45">
        <f t="shared" si="0"/>
        <v>137.80000000000001</v>
      </c>
      <c r="N20" s="45">
        <f t="shared" si="0"/>
        <v>136.4</v>
      </c>
      <c r="O20" s="45">
        <f t="shared" si="0"/>
        <v>135</v>
      </c>
      <c r="P20" s="52"/>
      <c r="Q20" s="9"/>
      <c r="R20" s="9"/>
      <c r="S20" s="9"/>
      <c r="T20" s="9"/>
      <c r="U20" s="9"/>
      <c r="V20" s="9"/>
      <c r="W20" s="9"/>
      <c r="X20" s="9"/>
      <c r="Y20" s="9"/>
      <c r="Z20" s="9"/>
    </row>
    <row r="21" spans="1:26" x14ac:dyDescent="0.25">
      <c r="A21" s="9"/>
      <c r="B21" s="9"/>
      <c r="C21" s="9"/>
      <c r="D21" s="31" t="s">
        <v>279</v>
      </c>
      <c r="E21" s="31" t="s">
        <v>165</v>
      </c>
      <c r="F21" s="31" t="s">
        <v>210</v>
      </c>
      <c r="G21" s="9"/>
      <c r="H21" s="45" t="str">
        <f t="shared" si="0"/>
        <v/>
      </c>
      <c r="I21" s="45">
        <f t="shared" si="0"/>
        <v>155</v>
      </c>
      <c r="J21" s="45">
        <f t="shared" si="0"/>
        <v>145.80000000000001</v>
      </c>
      <c r="K21" s="45">
        <f t="shared" si="0"/>
        <v>142.5</v>
      </c>
      <c r="L21" s="45">
        <f t="shared" si="0"/>
        <v>140.19999999999999</v>
      </c>
      <c r="M21" s="45">
        <f t="shared" si="0"/>
        <v>138.1</v>
      </c>
      <c r="N21" s="45">
        <f t="shared" si="0"/>
        <v>136.19999999999999</v>
      </c>
      <c r="O21" s="45">
        <f t="shared" si="0"/>
        <v>134.30000000000001</v>
      </c>
      <c r="P21" s="52"/>
      <c r="Q21" s="9"/>
      <c r="R21" s="9"/>
      <c r="S21" s="9"/>
      <c r="T21" s="9"/>
      <c r="U21" s="9"/>
      <c r="V21" s="9"/>
      <c r="W21" s="9"/>
      <c r="X21" s="9"/>
      <c r="Y21" s="9"/>
      <c r="Z21" s="9"/>
    </row>
    <row r="22" spans="1:26" x14ac:dyDescent="0.25">
      <c r="A22" s="9"/>
      <c r="B22" s="9"/>
      <c r="C22" s="9"/>
      <c r="D22" s="31" t="s">
        <v>280</v>
      </c>
      <c r="E22" s="31" t="s">
        <v>241</v>
      </c>
      <c r="F22" s="31" t="s">
        <v>210</v>
      </c>
      <c r="G22" s="9"/>
      <c r="H22" s="45">
        <f t="shared" si="0"/>
        <v>154</v>
      </c>
      <c r="I22" s="45">
        <f t="shared" si="0"/>
        <v>152</v>
      </c>
      <c r="J22" s="45">
        <f t="shared" si="0"/>
        <v>149.69999999999999</v>
      </c>
      <c r="K22" s="45">
        <f t="shared" si="0"/>
        <v>148.19999999999999</v>
      </c>
      <c r="L22" s="45">
        <f t="shared" si="0"/>
        <v>145.9</v>
      </c>
      <c r="M22" s="45">
        <f t="shared" si="0"/>
        <v>143.69999999999999</v>
      </c>
      <c r="N22" s="45">
        <f t="shared" si="0"/>
        <v>142</v>
      </c>
      <c r="O22" s="45">
        <f t="shared" si="0"/>
        <v>140.30000000000001</v>
      </c>
      <c r="P22" s="52"/>
      <c r="Q22" s="9"/>
      <c r="R22" s="9"/>
      <c r="S22" s="9"/>
      <c r="T22" s="9"/>
      <c r="U22" s="9"/>
      <c r="V22" s="9"/>
      <c r="W22" s="9"/>
      <c r="X22" s="9"/>
      <c r="Y22" s="9"/>
      <c r="Z22" s="9"/>
    </row>
    <row r="23" spans="1:26" x14ac:dyDescent="0.25">
      <c r="A23" s="9"/>
      <c r="B23" s="9"/>
      <c r="C23" s="9"/>
      <c r="D23" s="31" t="s">
        <v>204</v>
      </c>
      <c r="E23" s="31" t="s">
        <v>205</v>
      </c>
      <c r="F23" s="31" t="s">
        <v>210</v>
      </c>
      <c r="G23" s="9"/>
      <c r="H23" s="45" t="str">
        <f t="shared" si="0"/>
        <v/>
      </c>
      <c r="I23" s="45">
        <f t="shared" si="0"/>
        <v>130</v>
      </c>
      <c r="J23" s="45">
        <f t="shared" si="0"/>
        <v>130.42999999999998</v>
      </c>
      <c r="K23" s="45">
        <f t="shared" si="0"/>
        <v>130.89666666666665</v>
      </c>
      <c r="L23" s="45">
        <f t="shared" si="0"/>
        <v>127.83</v>
      </c>
      <c r="M23" s="45">
        <f t="shared" si="0"/>
        <v>124.80000000000001</v>
      </c>
      <c r="N23" s="45">
        <f t="shared" si="0"/>
        <v>122.66666666666669</v>
      </c>
      <c r="O23" s="45">
        <f t="shared" si="0"/>
        <v>121.00000000000001</v>
      </c>
      <c r="P23" s="52"/>
      <c r="Q23" s="9"/>
      <c r="R23" s="9"/>
      <c r="S23" s="9"/>
      <c r="T23" s="9"/>
      <c r="U23" s="9"/>
      <c r="V23" s="9"/>
      <c r="W23" s="9"/>
      <c r="X23" s="9"/>
      <c r="Y23" s="9"/>
      <c r="Z23" s="9"/>
    </row>
    <row r="24" spans="1:26" x14ac:dyDescent="0.25">
      <c r="A24" s="9"/>
      <c r="B24" s="9"/>
      <c r="C24" s="9"/>
      <c r="D24" s="31" t="s">
        <v>281</v>
      </c>
      <c r="E24" s="31" t="s">
        <v>244</v>
      </c>
      <c r="F24" s="31" t="s">
        <v>210</v>
      </c>
      <c r="G24" s="9"/>
      <c r="H24" s="45">
        <f t="shared" si="0"/>
        <v>128.93</v>
      </c>
      <c r="I24" s="45">
        <f t="shared" si="0"/>
        <v>133.16999999999999</v>
      </c>
      <c r="J24" s="45">
        <f t="shared" si="0"/>
        <v>129.6</v>
      </c>
      <c r="K24" s="45">
        <f t="shared" si="0"/>
        <v>129.13</v>
      </c>
      <c r="L24" s="45">
        <f t="shared" si="0"/>
        <v>128.93</v>
      </c>
      <c r="M24" s="45">
        <f t="shared" si="0"/>
        <v>128.72999999999999</v>
      </c>
      <c r="N24" s="45">
        <f t="shared" si="0"/>
        <v>128.53</v>
      </c>
      <c r="O24" s="45">
        <f t="shared" si="0"/>
        <v>128.33000000000001</v>
      </c>
      <c r="P24" s="52"/>
      <c r="Q24" s="9"/>
      <c r="R24" s="9"/>
      <c r="S24" s="9"/>
      <c r="T24" s="9"/>
      <c r="U24" s="9"/>
      <c r="V24" s="9"/>
      <c r="W24" s="9"/>
      <c r="X24" s="9"/>
      <c r="Y24" s="9"/>
      <c r="Z24" s="9"/>
    </row>
    <row r="25" spans="1:26" x14ac:dyDescent="0.25">
      <c r="A25" s="9"/>
      <c r="B25" s="9"/>
      <c r="C25" s="9"/>
      <c r="D25" s="31" t="s">
        <v>282</v>
      </c>
      <c r="E25" s="31" t="s">
        <v>246</v>
      </c>
      <c r="F25" s="31" t="s">
        <v>210</v>
      </c>
      <c r="G25" s="9"/>
      <c r="H25" s="45" t="str">
        <f t="shared" ref="H25:O32" si="1">IF(H$13="Proposed",IF($E$10="September 2018",INDEX(PCLsProposed_Sept,MATCH($D25,PCLsProposed_ID,0),MATCH(H$14,PCLpropsedyears_September,0)),INDEX(PCLsProposed_April,MATCH($D25,PCLsProposed_ID,0),MATCH(H$14,PCLProposedyears_April,0))),IF(INDEX(PCLhistorical_data,MATCH($D25,PCLhistorical_ID,0),MATCH(H$14,PCLhistorical_years,0))="","",INDEX(PCLhistorical_data,MATCH($D25,PCLhistorical_ID,0),MATCH(H$14,PCLhistorical_years,0))))</f>
        <v/>
      </c>
      <c r="I25" s="45">
        <f t="shared" si="1"/>
        <v>139.08000000000001</v>
      </c>
      <c r="J25" s="45">
        <f t="shared" si="1"/>
        <v>143.66</v>
      </c>
      <c r="K25" s="45">
        <f t="shared" si="1"/>
        <v>142.58000000000001</v>
      </c>
      <c r="L25" s="45">
        <f t="shared" si="1"/>
        <v>141.37</v>
      </c>
      <c r="M25" s="45">
        <f t="shared" si="1"/>
        <v>140.16</v>
      </c>
      <c r="N25" s="45">
        <f t="shared" si="1"/>
        <v>138.94999999999999</v>
      </c>
      <c r="O25" s="45">
        <f t="shared" si="1"/>
        <v>137.74</v>
      </c>
      <c r="P25" s="52"/>
      <c r="Q25" s="9"/>
      <c r="R25" s="9"/>
      <c r="S25" s="9"/>
      <c r="T25" s="9"/>
      <c r="U25" s="9"/>
      <c r="V25" s="9"/>
      <c r="W25" s="9"/>
      <c r="X25" s="9"/>
      <c r="Y25" s="9"/>
      <c r="Z25" s="9"/>
    </row>
    <row r="26" spans="1:26" x14ac:dyDescent="0.25">
      <c r="A26" s="9"/>
      <c r="B26" s="9"/>
      <c r="C26" s="9"/>
      <c r="D26" s="31" t="s">
        <v>283</v>
      </c>
      <c r="E26" s="31" t="s">
        <v>198</v>
      </c>
      <c r="F26" s="31" t="s">
        <v>210</v>
      </c>
      <c r="G26" s="9"/>
      <c r="H26" s="45">
        <f t="shared" si="1"/>
        <v>139.11000000000001</v>
      </c>
      <c r="I26" s="45">
        <f t="shared" si="1"/>
        <v>134.51127636436411</v>
      </c>
      <c r="J26" s="45">
        <f t="shared" si="1"/>
        <v>133.27000000000001</v>
      </c>
      <c r="K26" s="45">
        <f t="shared" si="1"/>
        <v>132.34</v>
      </c>
      <c r="L26" s="45">
        <f t="shared" si="1"/>
        <v>131.4</v>
      </c>
      <c r="M26" s="45">
        <f t="shared" si="1"/>
        <v>130.47</v>
      </c>
      <c r="N26" s="45">
        <f t="shared" si="1"/>
        <v>129.54</v>
      </c>
      <c r="O26" s="45">
        <f t="shared" si="1"/>
        <v>128.61000000000001</v>
      </c>
      <c r="P26" s="52"/>
      <c r="Q26" s="9"/>
      <c r="R26" s="9"/>
      <c r="S26" s="9"/>
      <c r="T26" s="9"/>
      <c r="U26" s="9"/>
      <c r="V26" s="9"/>
      <c r="W26" s="9"/>
      <c r="X26" s="9"/>
      <c r="Y26" s="9"/>
      <c r="Z26" s="9"/>
    </row>
    <row r="27" spans="1:26" x14ac:dyDescent="0.25">
      <c r="A27" s="9"/>
      <c r="B27" s="9"/>
      <c r="C27" s="9"/>
      <c r="D27" s="31" t="s">
        <v>284</v>
      </c>
      <c r="E27" s="31" t="s">
        <v>167</v>
      </c>
      <c r="F27" s="31" t="s">
        <v>210</v>
      </c>
      <c r="G27" s="9"/>
      <c r="H27" s="45">
        <f t="shared" si="1"/>
        <v>134.57</v>
      </c>
      <c r="I27" s="45">
        <f t="shared" si="1"/>
        <v>153.92860393181837</v>
      </c>
      <c r="J27" s="45">
        <f t="shared" si="1"/>
        <v>137.19999999999999</v>
      </c>
      <c r="K27" s="45">
        <f t="shared" si="1"/>
        <v>135.69999999999999</v>
      </c>
      <c r="L27" s="45">
        <f t="shared" si="1"/>
        <v>134.1</v>
      </c>
      <c r="M27" s="45">
        <f t="shared" si="1"/>
        <v>132.19999999999999</v>
      </c>
      <c r="N27" s="45">
        <f t="shared" si="1"/>
        <v>130.4</v>
      </c>
      <c r="O27" s="45">
        <f t="shared" si="1"/>
        <v>128.69999999999999</v>
      </c>
      <c r="P27" s="52"/>
      <c r="Q27" s="9"/>
      <c r="R27" s="9"/>
      <c r="S27" s="9"/>
      <c r="T27" s="9"/>
      <c r="U27" s="9"/>
      <c r="V27" s="9"/>
      <c r="W27" s="9"/>
      <c r="X27" s="9"/>
      <c r="Y27" s="9"/>
      <c r="Z27" s="9"/>
    </row>
    <row r="28" spans="1:26" x14ac:dyDescent="0.25">
      <c r="A28" s="9"/>
      <c r="B28" s="9"/>
      <c r="C28" s="9"/>
      <c r="D28" s="31" t="s">
        <v>285</v>
      </c>
      <c r="E28" s="31" t="s">
        <v>249</v>
      </c>
      <c r="F28" s="31" t="s">
        <v>210</v>
      </c>
      <c r="G28" s="9"/>
      <c r="H28" s="45">
        <f t="shared" si="1"/>
        <v>135.19999999999999</v>
      </c>
      <c r="I28" s="45">
        <f t="shared" si="1"/>
        <v>143.6</v>
      </c>
      <c r="J28" s="45">
        <f t="shared" si="1"/>
        <v>142</v>
      </c>
      <c r="K28" s="45">
        <f t="shared" si="1"/>
        <v>141</v>
      </c>
      <c r="L28" s="45">
        <f t="shared" si="1"/>
        <v>140</v>
      </c>
      <c r="M28" s="45">
        <f t="shared" si="1"/>
        <v>139</v>
      </c>
      <c r="N28" s="45">
        <f t="shared" si="1"/>
        <v>138</v>
      </c>
      <c r="O28" s="45">
        <f t="shared" si="1"/>
        <v>136</v>
      </c>
      <c r="P28" s="52"/>
      <c r="Q28" s="9"/>
      <c r="R28" s="9"/>
      <c r="S28" s="9"/>
      <c r="T28" s="9"/>
      <c r="U28" s="9"/>
      <c r="V28" s="9"/>
      <c r="W28" s="9"/>
      <c r="X28" s="9"/>
      <c r="Y28" s="9"/>
      <c r="Z28" s="9"/>
    </row>
    <row r="29" spans="1:26" x14ac:dyDescent="0.25">
      <c r="A29" s="9"/>
      <c r="B29" s="9"/>
      <c r="C29" s="9"/>
      <c r="D29" s="31" t="s">
        <v>286</v>
      </c>
      <c r="E29" s="31" t="s">
        <v>190</v>
      </c>
      <c r="F29" s="31" t="s">
        <v>210</v>
      </c>
      <c r="G29" s="9"/>
      <c r="H29" s="45">
        <f t="shared" si="1"/>
        <v>146</v>
      </c>
      <c r="I29" s="45">
        <f t="shared" si="1"/>
        <v>144</v>
      </c>
      <c r="J29" s="45">
        <f t="shared" si="1"/>
        <v>141.30000000000001</v>
      </c>
      <c r="K29" s="45">
        <f t="shared" si="1"/>
        <v>140.41999999999999</v>
      </c>
      <c r="L29" s="45">
        <f t="shared" si="1"/>
        <v>139.34</v>
      </c>
      <c r="M29" s="45">
        <f t="shared" si="1"/>
        <v>138.13</v>
      </c>
      <c r="N29" s="45">
        <f t="shared" si="1"/>
        <v>137.13</v>
      </c>
      <c r="O29" s="45">
        <f t="shared" si="1"/>
        <v>136.22999999999999</v>
      </c>
      <c r="P29" s="52"/>
      <c r="Q29" s="9"/>
      <c r="R29" s="9"/>
      <c r="S29" s="9"/>
      <c r="T29" s="9"/>
      <c r="U29" s="9"/>
      <c r="V29" s="9"/>
      <c r="W29" s="9"/>
      <c r="X29" s="9"/>
      <c r="Y29" s="9"/>
      <c r="Z29" s="9"/>
    </row>
    <row r="30" spans="1:26" x14ac:dyDescent="0.25">
      <c r="A30" s="9"/>
      <c r="B30" s="9"/>
      <c r="C30" s="9"/>
      <c r="D30" s="31" t="s">
        <v>287</v>
      </c>
      <c r="E30" s="31" t="s">
        <v>252</v>
      </c>
      <c r="F30" s="31" t="s">
        <v>210</v>
      </c>
      <c r="G30" s="9"/>
      <c r="H30" s="45">
        <f t="shared" si="1"/>
        <v>136.84</v>
      </c>
      <c r="I30" s="45">
        <f t="shared" si="1"/>
        <v>151</v>
      </c>
      <c r="J30" s="45">
        <f t="shared" si="1"/>
        <v>145</v>
      </c>
      <c r="K30" s="45">
        <f t="shared" si="1"/>
        <v>144</v>
      </c>
      <c r="L30" s="45">
        <f t="shared" si="1"/>
        <v>143</v>
      </c>
      <c r="M30" s="45">
        <f t="shared" si="1"/>
        <v>142</v>
      </c>
      <c r="N30" s="45">
        <f t="shared" si="1"/>
        <v>140</v>
      </c>
      <c r="O30" s="45">
        <f t="shared" si="1"/>
        <v>138</v>
      </c>
      <c r="P30" s="52"/>
      <c r="Q30" s="9"/>
      <c r="R30" s="9"/>
      <c r="S30" s="9"/>
      <c r="T30" s="9"/>
      <c r="U30" s="9"/>
      <c r="V30" s="9"/>
      <c r="W30" s="9"/>
      <c r="X30" s="9"/>
      <c r="Y30" s="9"/>
      <c r="Z30" s="9"/>
    </row>
    <row r="31" spans="1:26" x14ac:dyDescent="0.25">
      <c r="A31" s="9"/>
      <c r="B31" s="9"/>
      <c r="C31" s="9"/>
      <c r="D31" s="31" t="s">
        <v>207</v>
      </c>
      <c r="E31" s="31" t="s">
        <v>169</v>
      </c>
      <c r="F31" s="31" t="s">
        <v>210</v>
      </c>
      <c r="G31" s="9"/>
      <c r="H31" s="45">
        <f t="shared" si="1"/>
        <v>144</v>
      </c>
      <c r="I31" s="45">
        <f t="shared" si="1"/>
        <v>136</v>
      </c>
      <c r="J31" s="45">
        <f t="shared" si="1"/>
        <v>129</v>
      </c>
      <c r="K31" s="45">
        <f t="shared" si="1"/>
        <v>130.19999999999999</v>
      </c>
      <c r="L31" s="45">
        <f t="shared" si="1"/>
        <v>129.69999999999999</v>
      </c>
      <c r="M31" s="45">
        <f t="shared" si="1"/>
        <v>129.1</v>
      </c>
      <c r="N31" s="45">
        <f t="shared" si="1"/>
        <v>128.5</v>
      </c>
      <c r="O31" s="45">
        <f t="shared" si="1"/>
        <v>127.9</v>
      </c>
      <c r="P31" s="52"/>
      <c r="Q31" s="9"/>
      <c r="R31" s="9"/>
      <c r="S31" s="9"/>
      <c r="T31" s="9"/>
      <c r="U31" s="9"/>
      <c r="V31" s="9"/>
      <c r="W31" s="9"/>
      <c r="X31" s="9"/>
      <c r="Y31" s="9"/>
      <c r="Z31" s="9"/>
    </row>
    <row r="32" spans="1:26" x14ac:dyDescent="0.25">
      <c r="A32" s="9"/>
      <c r="B32" s="9"/>
      <c r="C32" s="9"/>
      <c r="D32" s="31" t="s">
        <v>208</v>
      </c>
      <c r="E32" s="31" t="s">
        <v>171</v>
      </c>
      <c r="F32" s="31" t="s">
        <v>210</v>
      </c>
      <c r="G32" s="9"/>
      <c r="H32" s="45">
        <f t="shared" si="1"/>
        <v>129.19999999999999</v>
      </c>
      <c r="I32" s="45">
        <f t="shared" si="1"/>
        <v>133</v>
      </c>
      <c r="J32" s="45">
        <f t="shared" si="1"/>
        <v>131.19999999999999</v>
      </c>
      <c r="K32" s="45">
        <f t="shared" si="1"/>
        <v>128.80000000000001</v>
      </c>
      <c r="L32" s="45">
        <f t="shared" si="1"/>
        <v>125.5</v>
      </c>
      <c r="M32" s="45">
        <f t="shared" si="1"/>
        <v>122.2</v>
      </c>
      <c r="N32" s="45">
        <f t="shared" si="1"/>
        <v>121.1</v>
      </c>
      <c r="O32" s="45">
        <f t="shared" si="1"/>
        <v>120.2</v>
      </c>
      <c r="P32" s="52"/>
      <c r="Q32" s="9"/>
      <c r="R32" s="9"/>
      <c r="S32" s="9"/>
      <c r="T32" s="9"/>
      <c r="U32" s="9"/>
      <c r="V32" s="9"/>
      <c r="W32" s="9"/>
      <c r="X32" s="9"/>
      <c r="Y32" s="9"/>
      <c r="Z32" s="9"/>
    </row>
    <row r="33" spans="1:26" x14ac:dyDescent="0.25">
      <c r="A33" s="9"/>
      <c r="B33" s="9"/>
      <c r="C33" s="9"/>
      <c r="D33" s="31"/>
      <c r="E33" s="31"/>
      <c r="F33" s="31"/>
      <c r="G33" s="9"/>
      <c r="H33" s="28"/>
      <c r="I33" s="28"/>
      <c r="J33" s="28"/>
      <c r="K33" s="28"/>
      <c r="L33" s="28"/>
      <c r="M33" s="28"/>
      <c r="N33" s="28"/>
      <c r="O33" s="9"/>
      <c r="P33" s="9"/>
      <c r="Q33" s="9"/>
      <c r="R33" s="9"/>
      <c r="S33" s="9"/>
      <c r="T33" s="9"/>
      <c r="U33" s="9"/>
      <c r="V33" s="9"/>
      <c r="W33" s="9"/>
      <c r="X33" s="9"/>
      <c r="Y33" s="9"/>
      <c r="Z33" s="9"/>
    </row>
    <row r="34" spans="1:26" x14ac:dyDescent="0.25">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ht="13.8" x14ac:dyDescent="0.3">
      <c r="A35" s="9"/>
      <c r="B35" s="2" t="s">
        <v>383</v>
      </c>
      <c r="C35" s="9"/>
      <c r="D35" s="9"/>
      <c r="E35" s="9"/>
      <c r="F35" s="9"/>
      <c r="G35" s="9"/>
      <c r="H35" s="9"/>
      <c r="I35" s="9"/>
      <c r="J35" s="9"/>
      <c r="K35" s="9"/>
      <c r="L35" s="9"/>
      <c r="M35" s="9"/>
      <c r="N35" s="9"/>
      <c r="O35" s="9"/>
      <c r="P35" s="9"/>
      <c r="Q35" s="9"/>
      <c r="R35" s="9"/>
      <c r="S35" s="9"/>
      <c r="T35" s="9"/>
      <c r="U35" s="9"/>
      <c r="V35" s="9"/>
      <c r="W35" s="9"/>
      <c r="X35" s="9"/>
      <c r="Y35" s="9"/>
      <c r="Z35" s="9"/>
    </row>
    <row r="36" spans="1:26" x14ac:dyDescent="0.25">
      <c r="A36" s="9"/>
      <c r="B36" s="9"/>
      <c r="C36" s="4" t="s">
        <v>435</v>
      </c>
      <c r="D36" s="9"/>
      <c r="E36" s="9"/>
      <c r="F36" s="9"/>
      <c r="G36" s="9"/>
      <c r="H36" s="9"/>
      <c r="I36" s="9"/>
      <c r="J36" s="9"/>
      <c r="K36" s="9"/>
      <c r="L36" s="9"/>
      <c r="M36" s="9"/>
      <c r="N36" s="9"/>
      <c r="O36" s="9"/>
      <c r="P36" s="9"/>
      <c r="Q36" s="9"/>
      <c r="R36" s="9"/>
      <c r="S36" s="9"/>
      <c r="T36" s="9"/>
      <c r="U36" s="9"/>
      <c r="V36" s="9"/>
      <c r="W36" s="9"/>
      <c r="X36" s="9"/>
      <c r="Y36" s="9"/>
      <c r="Z36" s="9"/>
    </row>
    <row r="37" spans="1:26" s="9" customFormat="1" x14ac:dyDescent="0.25">
      <c r="C37" s="4"/>
    </row>
    <row r="38" spans="1:26" x14ac:dyDescent="0.25">
      <c r="A38" s="9"/>
      <c r="B38" s="9"/>
      <c r="C38" s="9"/>
      <c r="D38" s="9"/>
      <c r="E38" s="9"/>
      <c r="F38" s="9"/>
      <c r="G38" s="9"/>
      <c r="H38" s="9" t="s">
        <v>372</v>
      </c>
      <c r="I38" s="9" t="s">
        <v>372</v>
      </c>
      <c r="J38" s="9" t="s">
        <v>373</v>
      </c>
      <c r="K38" s="9" t="s">
        <v>374</v>
      </c>
      <c r="L38" s="9" t="s">
        <v>374</v>
      </c>
      <c r="M38" s="9" t="s">
        <v>374</v>
      </c>
      <c r="N38" s="9" t="s">
        <v>374</v>
      </c>
      <c r="O38" s="9" t="s">
        <v>374</v>
      </c>
      <c r="P38" s="9"/>
      <c r="Q38" s="9"/>
      <c r="R38" s="9"/>
      <c r="S38" s="9"/>
      <c r="T38" s="9"/>
      <c r="U38" s="9"/>
      <c r="V38" s="9"/>
      <c r="W38" s="9"/>
      <c r="X38" s="9"/>
      <c r="Y38" s="9"/>
      <c r="Z38" s="9"/>
    </row>
    <row r="39" spans="1:26" x14ac:dyDescent="0.25">
      <c r="A39" s="9"/>
      <c r="B39" s="9"/>
      <c r="C39" s="9"/>
      <c r="D39" s="9"/>
      <c r="E39" s="9" t="s">
        <v>436</v>
      </c>
      <c r="F39" s="9" t="s">
        <v>151</v>
      </c>
      <c r="G39" s="9"/>
      <c r="H39" s="9" t="s">
        <v>375</v>
      </c>
      <c r="I39" s="9" t="s">
        <v>376</v>
      </c>
      <c r="J39" s="9" t="s">
        <v>377</v>
      </c>
      <c r="K39" s="9" t="s">
        <v>174</v>
      </c>
      <c r="L39" s="9" t="s">
        <v>175</v>
      </c>
      <c r="M39" s="9" t="s">
        <v>176</v>
      </c>
      <c r="N39" s="9" t="s">
        <v>177</v>
      </c>
      <c r="O39" s="9" t="s">
        <v>178</v>
      </c>
      <c r="P39" s="9"/>
      <c r="Q39" s="9"/>
      <c r="R39" s="9"/>
      <c r="S39" s="9"/>
      <c r="T39" s="9"/>
      <c r="U39" s="9"/>
      <c r="V39" s="9"/>
      <c r="W39" s="9"/>
      <c r="X39" s="9"/>
      <c r="Y39" s="9"/>
      <c r="Z39" s="9"/>
    </row>
    <row r="40" spans="1:26" x14ac:dyDescent="0.25">
      <c r="A40" s="9"/>
      <c r="B40" s="9"/>
      <c r="C40" s="9"/>
      <c r="D40" s="9"/>
      <c r="E40" s="9" t="s">
        <v>389</v>
      </c>
      <c r="F40" s="31" t="s">
        <v>210</v>
      </c>
      <c r="G40" s="9"/>
      <c r="H40" s="43">
        <f t="shared" ref="H40:I40" si="2">_xlfn.PERCENTILE.INC(H$15:H$32,0.25)</f>
        <v>135.04249999999999</v>
      </c>
      <c r="I40" s="43">
        <f t="shared" si="2"/>
        <v>135.25</v>
      </c>
      <c r="J40" s="43">
        <f>_xlfn.PERCENTILE.INC(J$15:J$32,0.25)</f>
        <v>134.0025</v>
      </c>
      <c r="K40" s="43">
        <f>_xlfn.PERCENTILE.INC(K$15:K$32,0.25)</f>
        <v>133.13</v>
      </c>
      <c r="L40" s="43">
        <f>_xlfn.PERCENTILE.INC(L$15:L$32,0.25)</f>
        <v>132.07499999999999</v>
      </c>
      <c r="M40" s="43">
        <f>_xlfn.PERCENTILE.INC(M$15:M$32,0.25)</f>
        <v>130.9025</v>
      </c>
      <c r="N40" s="43">
        <f t="shared" ref="N40:O40" si="3">_xlfn.PERCENTILE.INC(N$15:N$32,0.25)</f>
        <v>129.755</v>
      </c>
      <c r="O40" s="43">
        <f t="shared" si="3"/>
        <v>128.63249999999999</v>
      </c>
      <c r="P40" s="43"/>
      <c r="Q40" s="9"/>
      <c r="R40" s="9"/>
      <c r="S40" s="9"/>
      <c r="T40" s="9"/>
      <c r="U40" s="9"/>
      <c r="V40" s="9"/>
      <c r="W40" s="9"/>
      <c r="X40" s="9"/>
      <c r="Y40" s="9"/>
      <c r="Z40" s="9"/>
    </row>
    <row r="41" spans="1:26" x14ac:dyDescent="0.25">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x14ac:dyDescent="0.25">
      <c r="A42" s="9"/>
      <c r="B42" s="9"/>
      <c r="C42" s="9"/>
      <c r="D42" s="9"/>
      <c r="E42" s="9" t="s">
        <v>391</v>
      </c>
      <c r="F42" s="9" t="s">
        <v>392</v>
      </c>
      <c r="G42" s="9"/>
      <c r="H42" s="34"/>
      <c r="I42" s="34">
        <f>(I40/H40-1)</f>
        <v>1.5365533072921878E-3</v>
      </c>
      <c r="J42" s="34">
        <f t="shared" ref="J42" si="4">(J40/I40-1)</f>
        <v>-9.2236598890942378E-3</v>
      </c>
      <c r="K42" s="34">
        <f>(K40/J40-1)</f>
        <v>-6.5110725546165815E-3</v>
      </c>
      <c r="L42" s="34">
        <f>(L40/K40-1)</f>
        <v>-7.9245849921130151E-3</v>
      </c>
      <c r="M42" s="34">
        <f>(M40/L40-1)</f>
        <v>-8.8775317054702318E-3</v>
      </c>
      <c r="N42" s="34">
        <f t="shared" ref="N42:O42" si="5">(N40/M40-1)</f>
        <v>-8.7660663470904288E-3</v>
      </c>
      <c r="O42" s="34">
        <f t="shared" si="5"/>
        <v>-8.6509190397286995E-3</v>
      </c>
      <c r="P42" s="9"/>
      <c r="Q42" s="9"/>
      <c r="R42" s="9"/>
      <c r="S42" s="9"/>
      <c r="T42" s="9"/>
      <c r="U42" s="9"/>
      <c r="V42" s="9"/>
      <c r="W42" s="9"/>
      <c r="X42" s="9"/>
      <c r="Y42" s="9"/>
      <c r="Z42" s="9"/>
    </row>
    <row r="43" spans="1:26" x14ac:dyDescent="0.25">
      <c r="A43" s="9"/>
      <c r="B43" s="9"/>
      <c r="C43" s="9"/>
      <c r="D43" s="9"/>
      <c r="E43" s="9"/>
      <c r="F43" s="9"/>
      <c r="G43" s="9"/>
      <c r="H43" s="9"/>
      <c r="I43" s="9"/>
      <c r="J43" s="34"/>
      <c r="K43" s="34"/>
      <c r="L43" s="34"/>
      <c r="M43" s="34"/>
      <c r="N43" s="34"/>
      <c r="O43" s="34"/>
      <c r="P43" s="9"/>
      <c r="Q43" s="9"/>
      <c r="R43" s="9"/>
      <c r="S43" s="9"/>
      <c r="T43" s="9"/>
      <c r="U43" s="9"/>
      <c r="V43" s="9"/>
      <c r="W43" s="9"/>
      <c r="X43" s="9"/>
      <c r="Y43" s="9"/>
      <c r="Z43" s="9"/>
    </row>
    <row r="44" spans="1:26" ht="39.6" x14ac:dyDescent="0.25">
      <c r="A44" s="9"/>
      <c r="B44" s="9"/>
      <c r="C44" s="9"/>
      <c r="D44" s="9"/>
      <c r="E44" s="18" t="s">
        <v>437</v>
      </c>
      <c r="F44" s="138" t="s">
        <v>392</v>
      </c>
      <c r="G44" s="137">
        <f>AVERAGE(I42:O42)</f>
        <v>-6.9167544601172869E-3</v>
      </c>
      <c r="H44" s="9"/>
      <c r="I44" s="4"/>
      <c r="J44" s="9"/>
      <c r="K44" s="9"/>
      <c r="L44" s="9"/>
      <c r="M44" s="9"/>
      <c r="N44" s="9"/>
      <c r="O44" s="9"/>
      <c r="P44" s="9"/>
      <c r="Q44" s="9"/>
      <c r="R44" s="9"/>
      <c r="S44" s="9"/>
      <c r="T44" s="9"/>
      <c r="U44" s="9"/>
      <c r="V44" s="9"/>
      <c r="W44" s="9"/>
      <c r="X44" s="9"/>
      <c r="Y44" s="9"/>
      <c r="Z44" s="9"/>
    </row>
    <row r="45" spans="1:26" x14ac:dyDescent="0.25">
      <c r="A45" s="9"/>
      <c r="B45" s="9"/>
      <c r="C45" s="9"/>
      <c r="D45" s="9"/>
      <c r="E45" s="9"/>
      <c r="F45" s="138"/>
      <c r="G45" s="9"/>
      <c r="H45" s="9"/>
      <c r="I45" s="9"/>
      <c r="J45" s="9"/>
      <c r="K45" s="9"/>
      <c r="L45" s="9"/>
      <c r="M45" s="9"/>
      <c r="N45" s="9"/>
      <c r="O45" s="9"/>
      <c r="P45" s="9"/>
      <c r="Q45" s="9"/>
      <c r="R45" s="9"/>
      <c r="S45" s="9"/>
      <c r="T45" s="9"/>
      <c r="U45" s="9"/>
      <c r="V45" s="9"/>
      <c r="W45" s="9"/>
      <c r="X45" s="9"/>
      <c r="Y45" s="9"/>
      <c r="Z45" s="9"/>
    </row>
    <row r="46" spans="1:26" ht="26.4" x14ac:dyDescent="0.25">
      <c r="A46" s="9"/>
      <c r="B46" s="9"/>
      <c r="C46" s="9"/>
      <c r="D46" s="9"/>
      <c r="E46" s="104" t="s">
        <v>438</v>
      </c>
      <c r="F46" s="139" t="s">
        <v>392</v>
      </c>
      <c r="G46" s="136">
        <f>1-(1-ABS(G44))^2</f>
        <v>1.3785667427973047E-2</v>
      </c>
      <c r="H46" s="140" t="s">
        <v>439</v>
      </c>
      <c r="I46" s="9"/>
      <c r="J46" s="9"/>
      <c r="K46" s="9"/>
      <c r="L46" s="9"/>
      <c r="M46" s="9"/>
      <c r="N46" s="9"/>
      <c r="O46" s="9"/>
      <c r="P46" s="9"/>
      <c r="Q46" s="9"/>
      <c r="R46" s="9"/>
      <c r="S46" s="9"/>
      <c r="T46" s="9"/>
      <c r="U46" s="9"/>
      <c r="V46" s="9"/>
      <c r="W46" s="9"/>
      <c r="X46" s="9"/>
      <c r="Y46" s="9"/>
      <c r="Z46" s="9"/>
    </row>
    <row r="49" spans="1:26" ht="13.8" x14ac:dyDescent="0.3">
      <c r="A49" s="10" t="s">
        <v>22</v>
      </c>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3479"/>
  </sheetPr>
  <dimension ref="A1"/>
  <sheetViews>
    <sheetView showGridLines="0" workbookViewId="0"/>
  </sheetViews>
  <sheetFormatPr defaultRowHeight="13.2" x14ac:dyDescent="0.25"/>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CEABF"/>
  </sheetPr>
  <dimension ref="A1:AA40"/>
  <sheetViews>
    <sheetView zoomScaleNormal="100" workbookViewId="0">
      <pane ySplit="1" topLeftCell="A2" activePane="bottomLeft" state="frozen"/>
      <selection pane="bottomLeft" activeCell="A2" sqref="A2"/>
    </sheetView>
  </sheetViews>
  <sheetFormatPr defaultRowHeight="13.2" x14ac:dyDescent="0.25"/>
  <cols>
    <col min="1" max="1" width="2.77734375" customWidth="1"/>
    <col min="2" max="2" width="2.77734375" style="9" customWidth="1"/>
    <col min="3" max="3" width="35.5546875" bestFit="1" customWidth="1"/>
    <col min="4" max="4" width="16" bestFit="1" customWidth="1"/>
    <col min="5" max="5" width="15.44140625" customWidth="1"/>
  </cols>
  <sheetData>
    <row r="1" spans="1:27" ht="30" x14ac:dyDescent="0.5">
      <c r="A1" s="3" t="s">
        <v>123</v>
      </c>
      <c r="B1" s="3"/>
      <c r="C1" s="3"/>
      <c r="D1" s="3"/>
      <c r="E1" s="3"/>
      <c r="F1" s="3"/>
      <c r="G1" s="3"/>
      <c r="H1" s="3"/>
      <c r="I1" s="3"/>
      <c r="J1" s="3"/>
      <c r="K1" s="3"/>
      <c r="L1" s="3"/>
      <c r="M1" s="3"/>
      <c r="N1" s="3"/>
      <c r="O1" s="3"/>
      <c r="P1" s="3"/>
      <c r="Q1" s="3"/>
      <c r="R1" s="3"/>
      <c r="S1" s="3"/>
      <c r="T1" s="3"/>
      <c r="U1" s="3"/>
      <c r="V1" s="3"/>
      <c r="W1" s="3"/>
      <c r="X1" s="3"/>
      <c r="Y1" s="3"/>
      <c r="Z1" s="3"/>
      <c r="AA1" s="3"/>
    </row>
    <row r="3" spans="1:27" ht="13.8" x14ac:dyDescent="0.3">
      <c r="A3" s="8" t="s">
        <v>440</v>
      </c>
      <c r="B3" s="8"/>
      <c r="C3" s="8"/>
      <c r="D3" s="8"/>
      <c r="E3" s="8"/>
      <c r="F3" s="8"/>
      <c r="G3" s="8"/>
      <c r="H3" s="8"/>
      <c r="I3" s="8"/>
      <c r="J3" s="8"/>
      <c r="K3" s="8"/>
      <c r="L3" s="8"/>
      <c r="M3" s="8"/>
      <c r="N3" s="8"/>
      <c r="O3" s="8"/>
      <c r="P3" s="8"/>
      <c r="Q3" s="8"/>
      <c r="R3" s="8"/>
      <c r="S3" s="8"/>
      <c r="T3" s="8"/>
      <c r="U3" s="8"/>
      <c r="V3" s="8"/>
      <c r="W3" s="8"/>
      <c r="X3" s="8"/>
      <c r="Y3" s="8"/>
      <c r="Z3" s="8"/>
      <c r="AA3" s="8"/>
    </row>
    <row r="5" spans="1:27" x14ac:dyDescent="0.25">
      <c r="A5" s="9"/>
      <c r="C5" s="9" t="s">
        <v>441</v>
      </c>
      <c r="D5" s="9" t="s">
        <v>442</v>
      </c>
      <c r="E5" s="9" t="s">
        <v>443</v>
      </c>
      <c r="F5" s="9"/>
      <c r="G5" s="9"/>
      <c r="H5" s="9"/>
      <c r="I5" s="9"/>
      <c r="J5" s="9"/>
      <c r="K5" s="9"/>
      <c r="L5" s="9"/>
      <c r="M5" s="9"/>
      <c r="N5" s="9"/>
      <c r="O5" s="9"/>
      <c r="P5" s="9"/>
      <c r="Q5" s="9"/>
      <c r="R5" s="9"/>
      <c r="S5" s="9"/>
      <c r="T5" s="9"/>
      <c r="U5" s="9"/>
      <c r="V5" s="9"/>
      <c r="W5" s="9"/>
      <c r="X5" s="9"/>
      <c r="Y5" s="9"/>
      <c r="Z5" s="9"/>
      <c r="AA5" s="9"/>
    </row>
    <row r="6" spans="1:27" x14ac:dyDescent="0.25">
      <c r="A6" s="9"/>
      <c r="C6" s="9" t="s">
        <v>444</v>
      </c>
      <c r="D6" s="103">
        <v>3.5000000000000003E-2</v>
      </c>
      <c r="E6" s="4" t="s">
        <v>445</v>
      </c>
      <c r="F6" s="9"/>
      <c r="G6" s="9"/>
      <c r="H6" s="9"/>
      <c r="I6" s="9"/>
      <c r="J6" s="9"/>
      <c r="K6" s="9"/>
      <c r="L6" s="9"/>
      <c r="M6" s="9"/>
      <c r="N6" s="9"/>
      <c r="O6" s="9"/>
      <c r="P6" s="9"/>
      <c r="Q6" s="9"/>
      <c r="R6" s="9"/>
      <c r="S6" s="9"/>
      <c r="T6" s="9"/>
      <c r="U6" s="9"/>
      <c r="V6" s="9"/>
      <c r="W6" s="9"/>
      <c r="X6" s="9"/>
      <c r="Y6" s="9"/>
      <c r="Z6" s="9"/>
      <c r="AA6" s="9"/>
    </row>
    <row r="7" spans="1:27" x14ac:dyDescent="0.25">
      <c r="A7" s="9"/>
      <c r="C7" s="9" t="s">
        <v>342</v>
      </c>
      <c r="D7" s="47">
        <v>0.5</v>
      </c>
      <c r="E7" s="4" t="s">
        <v>446</v>
      </c>
      <c r="F7" s="9"/>
      <c r="G7" s="9"/>
      <c r="H7" s="9"/>
      <c r="I7" s="9"/>
      <c r="J7" s="9"/>
      <c r="K7" s="9"/>
      <c r="L7" s="9"/>
      <c r="M7" s="9"/>
      <c r="N7" s="9"/>
      <c r="O7" s="9"/>
      <c r="P7" s="9"/>
      <c r="Q7" s="9"/>
      <c r="R7" s="9"/>
      <c r="S7" s="9"/>
      <c r="T7" s="9"/>
      <c r="U7" s="9"/>
      <c r="V7" s="9"/>
      <c r="W7" s="9"/>
      <c r="X7" s="9"/>
      <c r="Y7" s="9"/>
      <c r="Z7" s="9"/>
      <c r="AA7" s="9"/>
    </row>
    <row r="8" spans="1:27" x14ac:dyDescent="0.25">
      <c r="A8" s="9"/>
      <c r="C8" s="9" t="s">
        <v>447</v>
      </c>
      <c r="D8" s="47">
        <v>1</v>
      </c>
      <c r="E8" s="4" t="s">
        <v>446</v>
      </c>
      <c r="F8" s="9"/>
      <c r="G8" s="9"/>
      <c r="H8" s="9"/>
      <c r="I8" s="9"/>
      <c r="J8" s="9"/>
      <c r="K8" s="9"/>
      <c r="L8" s="9"/>
      <c r="M8" s="9"/>
      <c r="N8" s="9"/>
      <c r="O8" s="9"/>
      <c r="P8" s="9"/>
      <c r="Q8" s="9"/>
      <c r="R8" s="9"/>
      <c r="S8" s="9"/>
      <c r="T8" s="9"/>
      <c r="U8" s="9"/>
      <c r="V8" s="9"/>
      <c r="W8" s="9"/>
      <c r="X8" s="9"/>
      <c r="Y8" s="9"/>
      <c r="Z8" s="9"/>
      <c r="AA8" s="9"/>
    </row>
    <row r="9" spans="1:27" x14ac:dyDescent="0.25">
      <c r="A9" s="9"/>
      <c r="C9" s="9" t="s">
        <v>448</v>
      </c>
      <c r="D9" s="50">
        <v>5</v>
      </c>
      <c r="E9" s="9"/>
      <c r="F9" s="9"/>
      <c r="G9" s="9"/>
      <c r="H9" s="9"/>
      <c r="I9" s="9"/>
      <c r="J9" s="9"/>
      <c r="K9" s="9"/>
      <c r="L9" s="9"/>
      <c r="M9" s="9"/>
      <c r="N9" s="9"/>
      <c r="O9" s="9"/>
      <c r="P9" s="9"/>
      <c r="Q9" s="9"/>
      <c r="R9" s="9"/>
      <c r="S9" s="9"/>
      <c r="T9" s="9"/>
      <c r="U9" s="9"/>
      <c r="V9" s="9"/>
      <c r="W9" s="9"/>
      <c r="X9" s="9"/>
      <c r="Y9" s="9"/>
      <c r="Z9" s="9"/>
      <c r="AA9" s="9"/>
    </row>
    <row r="10" spans="1:27" s="9" customFormat="1" x14ac:dyDescent="0.25"/>
    <row r="12" spans="1:27" x14ac:dyDescent="0.25">
      <c r="A12" s="9"/>
      <c r="C12" s="9" t="s">
        <v>220</v>
      </c>
      <c r="D12" s="9" t="s">
        <v>449</v>
      </c>
      <c r="E12" s="9" t="s">
        <v>450</v>
      </c>
      <c r="F12" s="9"/>
      <c r="G12" s="9"/>
      <c r="H12" s="9"/>
      <c r="I12" s="9"/>
      <c r="J12" s="9"/>
      <c r="K12" s="9"/>
      <c r="L12" s="9"/>
      <c r="M12" s="9"/>
      <c r="N12" s="9"/>
      <c r="O12" s="9"/>
      <c r="P12" s="9"/>
      <c r="Q12" s="9"/>
      <c r="R12" s="9"/>
      <c r="S12" s="9"/>
      <c r="T12" s="9"/>
      <c r="U12" s="9"/>
      <c r="V12" s="9"/>
      <c r="W12" s="9"/>
      <c r="X12" s="9"/>
      <c r="Y12" s="9"/>
      <c r="Z12" s="9"/>
      <c r="AA12" s="9"/>
    </row>
    <row r="13" spans="1:27" x14ac:dyDescent="0.25">
      <c r="A13" s="9"/>
      <c r="C13" s="9" t="s">
        <v>147</v>
      </c>
      <c r="D13" s="9" t="s">
        <v>233</v>
      </c>
      <c r="E13" s="6">
        <v>8</v>
      </c>
      <c r="F13" s="9"/>
      <c r="G13" s="9"/>
      <c r="H13" s="9"/>
      <c r="I13" s="9"/>
      <c r="J13" s="9"/>
      <c r="K13" s="9"/>
      <c r="L13" s="9"/>
      <c r="M13" s="9"/>
      <c r="N13" s="9"/>
      <c r="O13" s="9"/>
      <c r="P13" s="9"/>
      <c r="Q13" s="9"/>
      <c r="R13" s="9"/>
      <c r="S13" s="9"/>
      <c r="T13" s="9"/>
      <c r="U13" s="9"/>
      <c r="V13" s="9"/>
      <c r="W13" s="9"/>
      <c r="X13" s="9"/>
      <c r="Y13" s="9"/>
      <c r="Z13" s="9"/>
      <c r="AA13" s="9"/>
    </row>
    <row r="14" spans="1:27" x14ac:dyDescent="0.25">
      <c r="A14" s="9"/>
      <c r="C14" s="9" t="s">
        <v>183</v>
      </c>
      <c r="D14" s="9" t="s">
        <v>256</v>
      </c>
      <c r="E14" s="6">
        <v>5</v>
      </c>
      <c r="F14" s="9"/>
      <c r="G14" s="9"/>
      <c r="H14" s="9"/>
      <c r="I14" s="9"/>
      <c r="J14" s="9"/>
      <c r="K14" s="9"/>
      <c r="L14" s="9"/>
      <c r="M14" s="9"/>
      <c r="N14" s="9"/>
      <c r="O14" s="9"/>
      <c r="P14" s="9"/>
      <c r="Q14" s="9"/>
      <c r="R14" s="9"/>
      <c r="S14" s="9"/>
      <c r="T14" s="9"/>
      <c r="U14" s="9"/>
      <c r="V14" s="9"/>
      <c r="W14" s="9"/>
      <c r="X14" s="9"/>
      <c r="Y14" s="9"/>
      <c r="Z14" s="9"/>
      <c r="AA14" s="9"/>
    </row>
    <row r="15" spans="1:27" x14ac:dyDescent="0.25">
      <c r="A15" s="9"/>
      <c r="C15" s="9" t="s">
        <v>196</v>
      </c>
      <c r="D15" s="9" t="s">
        <v>256</v>
      </c>
      <c r="E15" s="6">
        <v>5</v>
      </c>
      <c r="F15" s="9"/>
      <c r="G15" s="9"/>
      <c r="H15" s="9"/>
      <c r="I15" s="9"/>
      <c r="J15" s="9"/>
      <c r="K15" s="9"/>
      <c r="L15" s="9"/>
      <c r="M15" s="9"/>
      <c r="N15" s="9"/>
      <c r="O15" s="9"/>
      <c r="P15" s="9"/>
      <c r="Q15" s="9"/>
      <c r="R15" s="9"/>
      <c r="S15" s="9"/>
      <c r="T15" s="9"/>
      <c r="U15" s="9"/>
      <c r="V15" s="9"/>
      <c r="W15" s="9"/>
      <c r="X15" s="9"/>
      <c r="Y15" s="9"/>
      <c r="Z15" s="9"/>
      <c r="AA15" s="9"/>
    </row>
    <row r="16" spans="1:27" x14ac:dyDescent="0.25">
      <c r="A16" s="9"/>
      <c r="C16" s="9" t="s">
        <v>203</v>
      </c>
      <c r="D16" s="9" t="s">
        <v>233</v>
      </c>
      <c r="E16" s="6">
        <v>8</v>
      </c>
      <c r="F16" s="9"/>
      <c r="G16" s="9"/>
      <c r="H16" s="9"/>
      <c r="I16" s="9"/>
      <c r="J16" s="9"/>
      <c r="K16" s="9"/>
      <c r="L16" s="9"/>
      <c r="M16" s="9"/>
      <c r="N16" s="9"/>
      <c r="O16" s="9"/>
      <c r="P16" s="9"/>
      <c r="Q16" s="9"/>
      <c r="R16" s="9"/>
      <c r="S16" s="9"/>
      <c r="T16" s="9"/>
      <c r="U16" s="9"/>
      <c r="V16" s="9"/>
      <c r="W16" s="9"/>
      <c r="X16" s="9"/>
      <c r="Y16" s="9"/>
      <c r="Z16" s="9"/>
      <c r="AA16" s="9"/>
    </row>
    <row r="17" spans="1:27" x14ac:dyDescent="0.25">
      <c r="A17" s="9"/>
      <c r="C17" s="9" t="s">
        <v>211</v>
      </c>
      <c r="D17" s="9" t="s">
        <v>233</v>
      </c>
      <c r="E17" s="6">
        <v>8</v>
      </c>
      <c r="F17" s="9"/>
      <c r="G17" s="9"/>
      <c r="H17" s="9"/>
      <c r="I17" s="9"/>
      <c r="J17" s="9"/>
      <c r="K17" s="9"/>
      <c r="L17" s="9"/>
      <c r="M17" s="9"/>
      <c r="N17" s="9"/>
      <c r="O17" s="9"/>
      <c r="P17" s="9"/>
      <c r="Q17" s="9"/>
      <c r="R17" s="9"/>
      <c r="S17" s="9"/>
      <c r="T17" s="9"/>
      <c r="U17" s="9"/>
      <c r="V17" s="9"/>
      <c r="W17" s="9"/>
      <c r="X17" s="9"/>
      <c r="Y17" s="9"/>
      <c r="Z17" s="9"/>
      <c r="AA17" s="9"/>
    </row>
    <row r="19" spans="1:27" ht="13.8" x14ac:dyDescent="0.3">
      <c r="A19" s="8" t="s">
        <v>451</v>
      </c>
      <c r="B19" s="8"/>
      <c r="C19" s="8"/>
      <c r="D19" s="8"/>
      <c r="E19" s="8"/>
      <c r="F19" s="8"/>
      <c r="G19" s="8"/>
      <c r="H19" s="8"/>
      <c r="I19" s="8"/>
      <c r="J19" s="8"/>
      <c r="K19" s="8"/>
      <c r="L19" s="8"/>
      <c r="M19" s="8"/>
      <c r="N19" s="8"/>
      <c r="O19" s="8"/>
      <c r="P19" s="8"/>
      <c r="Q19" s="8"/>
      <c r="R19" s="8"/>
      <c r="S19" s="8"/>
      <c r="T19" s="8"/>
      <c r="U19" s="8"/>
      <c r="V19" s="8"/>
      <c r="W19" s="8"/>
      <c r="X19" s="8"/>
      <c r="Y19" s="8"/>
      <c r="Z19" s="8"/>
      <c r="AA19" s="8"/>
    </row>
    <row r="21" spans="1:27" x14ac:dyDescent="0.25">
      <c r="A21" s="9"/>
      <c r="B21" s="4" t="s">
        <v>452</v>
      </c>
      <c r="C21" s="9"/>
      <c r="D21" s="9"/>
      <c r="E21" s="9"/>
      <c r="F21" s="9"/>
      <c r="G21" s="9"/>
      <c r="H21" s="9"/>
      <c r="I21" s="9"/>
      <c r="J21" s="9"/>
      <c r="K21" s="9"/>
      <c r="L21" s="9"/>
      <c r="M21" s="9"/>
      <c r="N21" s="9"/>
      <c r="O21" s="9"/>
      <c r="P21" s="9"/>
      <c r="Q21" s="9"/>
      <c r="R21" s="9"/>
      <c r="S21" s="9"/>
      <c r="T21" s="9"/>
      <c r="U21" s="9"/>
      <c r="V21" s="9"/>
      <c r="W21" s="9"/>
      <c r="X21" s="9"/>
      <c r="Y21" s="9"/>
      <c r="Z21" s="9"/>
      <c r="AA21" s="9"/>
    </row>
    <row r="22" spans="1:27" x14ac:dyDescent="0.25">
      <c r="A22" s="9"/>
      <c r="B22" s="4" t="s">
        <v>453</v>
      </c>
      <c r="C22" s="9"/>
      <c r="D22" s="9"/>
      <c r="E22" s="9"/>
      <c r="F22" s="9"/>
      <c r="G22" s="9"/>
      <c r="H22" s="9"/>
      <c r="I22" s="9"/>
      <c r="J22" s="9"/>
      <c r="K22" s="9"/>
      <c r="L22" s="9"/>
      <c r="M22" s="9"/>
      <c r="N22" s="9"/>
      <c r="O22" s="9"/>
      <c r="P22" s="9"/>
      <c r="Q22" s="9"/>
      <c r="R22" s="9"/>
      <c r="S22" s="9"/>
      <c r="T22" s="9"/>
      <c r="U22" s="9"/>
      <c r="V22" s="9"/>
      <c r="W22" s="9"/>
      <c r="X22" s="9"/>
      <c r="Y22" s="9"/>
      <c r="Z22" s="9"/>
      <c r="AA22" s="9"/>
    </row>
    <row r="23" spans="1:27" s="9" customFormat="1" x14ac:dyDescent="0.25">
      <c r="B23" s="4"/>
    </row>
    <row r="24" spans="1:27" x14ac:dyDescent="0.25">
      <c r="A24" s="9"/>
      <c r="C24" s="9" t="s">
        <v>454</v>
      </c>
      <c r="D24" s="9" t="s">
        <v>455</v>
      </c>
      <c r="E24" s="9" t="s">
        <v>456</v>
      </c>
      <c r="F24" s="9"/>
      <c r="G24" s="9"/>
      <c r="H24" s="9"/>
      <c r="I24" s="9"/>
      <c r="J24" s="9"/>
      <c r="K24" s="9"/>
      <c r="L24" s="9"/>
      <c r="M24" s="9"/>
      <c r="N24" s="9"/>
      <c r="O24" s="9"/>
      <c r="P24" s="9"/>
      <c r="Q24" s="9"/>
      <c r="R24" s="9"/>
      <c r="S24" s="9"/>
      <c r="T24" s="9"/>
      <c r="U24" s="9"/>
      <c r="V24" s="9"/>
      <c r="W24" s="9"/>
      <c r="X24" s="9"/>
      <c r="Y24" s="9"/>
      <c r="Z24" s="9"/>
      <c r="AA24" s="9"/>
    </row>
    <row r="25" spans="1:27" x14ac:dyDescent="0.25">
      <c r="A25" s="9"/>
      <c r="C25" s="9" t="s">
        <v>147</v>
      </c>
      <c r="D25" s="60" t="s">
        <v>419</v>
      </c>
      <c r="E25" s="9" t="s">
        <v>457</v>
      </c>
      <c r="F25" s="9"/>
      <c r="G25" s="9"/>
      <c r="H25" s="9"/>
      <c r="I25" s="9"/>
      <c r="J25" s="9"/>
      <c r="K25" s="9"/>
      <c r="L25" s="9"/>
      <c r="M25" s="9"/>
      <c r="N25" s="9"/>
      <c r="O25" s="9"/>
      <c r="P25" s="9"/>
      <c r="Q25" s="9"/>
      <c r="R25" s="9"/>
      <c r="S25" s="9"/>
      <c r="T25" s="9"/>
      <c r="U25" s="9"/>
      <c r="V25" s="9"/>
      <c r="W25" s="9"/>
      <c r="X25" s="9"/>
      <c r="Y25" s="9"/>
      <c r="Z25" s="9"/>
      <c r="AA25" s="9"/>
    </row>
    <row r="26" spans="1:27" x14ac:dyDescent="0.25">
      <c r="A26" s="9"/>
      <c r="C26" s="9" t="s">
        <v>183</v>
      </c>
      <c r="D26" s="60" t="s">
        <v>458</v>
      </c>
      <c r="E26" s="9" t="s">
        <v>459</v>
      </c>
      <c r="F26" s="9"/>
      <c r="G26" s="9"/>
      <c r="H26" s="9"/>
      <c r="I26" s="9"/>
      <c r="J26" s="9"/>
      <c r="K26" s="9"/>
      <c r="L26" s="9"/>
      <c r="M26" s="9"/>
      <c r="N26" s="9"/>
      <c r="O26" s="9"/>
      <c r="P26" s="9"/>
      <c r="Q26" s="9"/>
      <c r="R26" s="9"/>
      <c r="S26" s="9"/>
      <c r="T26" s="9"/>
      <c r="U26" s="9"/>
      <c r="V26" s="9"/>
      <c r="W26" s="9"/>
      <c r="X26" s="9"/>
      <c r="Y26" s="9"/>
      <c r="Z26" s="9"/>
      <c r="AA26" s="9"/>
    </row>
    <row r="27" spans="1:27" x14ac:dyDescent="0.25">
      <c r="A27" s="9"/>
      <c r="C27" s="9" t="s">
        <v>196</v>
      </c>
      <c r="D27" s="60" t="s">
        <v>458</v>
      </c>
      <c r="E27" s="9" t="s">
        <v>459</v>
      </c>
      <c r="F27" s="9"/>
      <c r="G27" s="9"/>
      <c r="H27" s="9"/>
      <c r="I27" s="9"/>
      <c r="J27" s="9"/>
      <c r="K27" s="9"/>
      <c r="L27" s="9"/>
      <c r="M27" s="9"/>
      <c r="N27" s="9"/>
      <c r="O27" s="9"/>
      <c r="P27" s="9"/>
      <c r="Q27" s="9"/>
      <c r="R27" s="9"/>
      <c r="S27" s="9"/>
      <c r="T27" s="9"/>
      <c r="U27" s="9"/>
      <c r="V27" s="9"/>
      <c r="W27" s="9"/>
      <c r="X27" s="9"/>
      <c r="Y27" s="9"/>
      <c r="Z27" s="9"/>
      <c r="AA27" s="9"/>
    </row>
    <row r="28" spans="1:27" x14ac:dyDescent="0.25">
      <c r="A28" s="9"/>
      <c r="C28" s="9" t="s">
        <v>203</v>
      </c>
      <c r="D28" s="61" t="s">
        <v>419</v>
      </c>
      <c r="E28" s="9" t="s">
        <v>457</v>
      </c>
      <c r="F28" s="9"/>
      <c r="G28" s="9"/>
      <c r="H28" s="9"/>
      <c r="I28" s="9"/>
      <c r="J28" s="9"/>
      <c r="K28" s="9"/>
      <c r="L28" s="9"/>
      <c r="M28" s="9"/>
      <c r="N28" s="9"/>
      <c r="O28" s="9"/>
      <c r="P28" s="9"/>
      <c r="Q28" s="9"/>
      <c r="R28" s="9"/>
      <c r="S28" s="9"/>
      <c r="T28" s="9"/>
      <c r="U28" s="9"/>
      <c r="V28" s="9"/>
      <c r="W28" s="9"/>
      <c r="X28" s="9"/>
      <c r="Y28" s="9"/>
      <c r="Z28" s="9"/>
      <c r="AA28" s="9"/>
    </row>
    <row r="29" spans="1:27" x14ac:dyDescent="0.25">
      <c r="A29" s="9"/>
      <c r="C29" s="9" t="s">
        <v>211</v>
      </c>
      <c r="D29" s="60" t="s">
        <v>458</v>
      </c>
      <c r="E29" s="9" t="s">
        <v>459</v>
      </c>
      <c r="F29" s="9"/>
      <c r="G29" s="9"/>
      <c r="H29" s="9"/>
      <c r="I29" s="9"/>
      <c r="J29" s="9"/>
      <c r="K29" s="9"/>
      <c r="L29" s="9"/>
      <c r="M29" s="9"/>
      <c r="N29" s="9"/>
      <c r="O29" s="9"/>
      <c r="P29" s="9"/>
      <c r="Q29" s="9"/>
      <c r="R29" s="9"/>
      <c r="S29" s="9"/>
      <c r="T29" s="9"/>
      <c r="U29" s="9"/>
      <c r="V29" s="9"/>
      <c r="W29" s="9"/>
      <c r="X29" s="9"/>
      <c r="Y29" s="9"/>
      <c r="Z29" s="9"/>
      <c r="AA29" s="9"/>
    </row>
    <row r="30" spans="1:27" x14ac:dyDescent="0.25">
      <c r="A30" s="9"/>
      <c r="C30" s="9"/>
      <c r="D30" s="9"/>
      <c r="E30" s="9"/>
      <c r="F30" s="9"/>
      <c r="G30" s="9"/>
      <c r="H30" s="9"/>
      <c r="I30" s="9"/>
      <c r="J30" s="9"/>
      <c r="K30" s="9"/>
      <c r="L30" s="9"/>
      <c r="M30" s="9"/>
      <c r="N30" s="9"/>
      <c r="O30" s="9"/>
      <c r="P30" s="9"/>
      <c r="Q30" s="9"/>
      <c r="R30" s="9"/>
      <c r="S30" s="9"/>
      <c r="T30" s="9"/>
      <c r="U30" s="9"/>
      <c r="V30" s="9"/>
      <c r="W30" s="9"/>
      <c r="X30" s="9"/>
      <c r="Y30" s="9"/>
      <c r="Z30" s="9"/>
      <c r="AA30" s="9"/>
    </row>
    <row r="31" spans="1:27" x14ac:dyDescent="0.25">
      <c r="A31" s="9"/>
      <c r="C31" s="9"/>
      <c r="D31" s="9"/>
      <c r="E31" s="9"/>
      <c r="F31" s="9"/>
      <c r="G31" s="9"/>
      <c r="H31" s="9"/>
      <c r="I31" s="9"/>
      <c r="J31" s="9"/>
      <c r="K31" s="9"/>
      <c r="L31" s="9"/>
      <c r="M31" s="9"/>
      <c r="N31" s="9"/>
      <c r="O31" s="9"/>
      <c r="P31" s="9"/>
      <c r="Q31" s="9"/>
      <c r="R31" s="9"/>
      <c r="S31" s="9"/>
      <c r="T31" s="9"/>
      <c r="U31" s="9"/>
      <c r="V31" s="9"/>
      <c r="W31" s="9"/>
      <c r="X31" s="9"/>
      <c r="Y31" s="9"/>
      <c r="Z31" s="9"/>
      <c r="AA31" s="9"/>
    </row>
    <row r="32" spans="1:27" ht="13.8" x14ac:dyDescent="0.3">
      <c r="A32" s="8" t="s">
        <v>460</v>
      </c>
      <c r="B32" s="8"/>
      <c r="C32" s="8"/>
      <c r="D32" s="8"/>
      <c r="E32" s="8"/>
      <c r="F32" s="8"/>
      <c r="G32" s="8"/>
      <c r="H32" s="8"/>
      <c r="I32" s="8"/>
      <c r="J32" s="8"/>
      <c r="K32" s="8"/>
      <c r="L32" s="8"/>
      <c r="M32" s="8"/>
      <c r="N32" s="8"/>
      <c r="O32" s="8"/>
      <c r="P32" s="8"/>
      <c r="Q32" s="8"/>
      <c r="R32" s="8"/>
      <c r="S32" s="8"/>
      <c r="T32" s="8"/>
      <c r="U32" s="8"/>
      <c r="V32" s="8"/>
      <c r="W32" s="8"/>
      <c r="X32" s="8"/>
      <c r="Y32" s="8"/>
      <c r="Z32" s="8"/>
      <c r="AA32" s="8"/>
    </row>
    <row r="34" spans="1:27" x14ac:dyDescent="0.25">
      <c r="A34" s="9"/>
      <c r="C34" s="9" t="s">
        <v>461</v>
      </c>
      <c r="D34" s="9">
        <v>10</v>
      </c>
      <c r="E34" s="9"/>
      <c r="F34" s="9"/>
      <c r="G34" s="9"/>
      <c r="H34" s="9"/>
      <c r="I34" s="9"/>
      <c r="J34" s="9"/>
      <c r="K34" s="9"/>
      <c r="L34" s="9"/>
      <c r="M34" s="9"/>
      <c r="N34" s="9"/>
      <c r="O34" s="9"/>
      <c r="P34" s="9"/>
      <c r="Q34" s="9"/>
      <c r="R34" s="9"/>
      <c r="S34" s="9"/>
      <c r="T34" s="9"/>
      <c r="U34" s="9"/>
      <c r="V34" s="9"/>
      <c r="W34" s="9"/>
      <c r="X34" s="9"/>
      <c r="Y34" s="9"/>
      <c r="Z34" s="9"/>
      <c r="AA34" s="9"/>
    </row>
    <row r="35" spans="1:27" x14ac:dyDescent="0.25">
      <c r="A35" s="9"/>
      <c r="C35" s="9" t="s">
        <v>462</v>
      </c>
      <c r="D35" s="9">
        <v>100</v>
      </c>
      <c r="E35" s="9"/>
      <c r="F35" s="9"/>
      <c r="G35" s="9"/>
      <c r="H35" s="9"/>
      <c r="I35" s="9"/>
      <c r="J35" s="9"/>
      <c r="K35" s="9"/>
      <c r="L35" s="9"/>
      <c r="M35" s="9"/>
      <c r="N35" s="9"/>
      <c r="O35" s="9"/>
      <c r="P35" s="9"/>
      <c r="Q35" s="9"/>
      <c r="R35" s="9"/>
      <c r="S35" s="9"/>
      <c r="T35" s="9"/>
      <c r="U35" s="9"/>
      <c r="V35" s="9"/>
      <c r="W35" s="9"/>
      <c r="X35" s="9"/>
      <c r="Y35" s="9"/>
      <c r="Z35" s="9"/>
      <c r="AA35" s="9"/>
    </row>
    <row r="36" spans="1:27" x14ac:dyDescent="0.25">
      <c r="A36" s="9"/>
      <c r="C36" s="9" t="s">
        <v>463</v>
      </c>
      <c r="D36" s="9">
        <v>1000</v>
      </c>
      <c r="E36" s="9"/>
      <c r="F36" s="9"/>
      <c r="G36" s="9"/>
      <c r="H36" s="9"/>
      <c r="I36" s="9"/>
      <c r="J36" s="9"/>
      <c r="K36" s="9"/>
      <c r="L36" s="9"/>
      <c r="M36" s="9"/>
      <c r="N36" s="9"/>
      <c r="O36" s="9"/>
      <c r="P36" s="9"/>
      <c r="Q36" s="9"/>
      <c r="R36" s="9"/>
      <c r="S36" s="9"/>
      <c r="T36" s="9"/>
      <c r="U36" s="9"/>
      <c r="V36" s="9"/>
      <c r="W36" s="9"/>
      <c r="X36" s="9"/>
      <c r="Y36" s="9"/>
      <c r="Z36" s="9"/>
      <c r="AA36" s="9"/>
    </row>
    <row r="37" spans="1:27" x14ac:dyDescent="0.25">
      <c r="A37" s="9"/>
      <c r="C37" s="9" t="s">
        <v>464</v>
      </c>
      <c r="D37" s="9">
        <v>10000</v>
      </c>
      <c r="E37" s="9"/>
      <c r="F37" s="9"/>
      <c r="G37" s="9"/>
      <c r="H37" s="9"/>
      <c r="I37" s="9"/>
      <c r="J37" s="9"/>
      <c r="K37" s="9"/>
      <c r="L37" s="9"/>
      <c r="M37" s="9"/>
      <c r="N37" s="9"/>
      <c r="O37" s="9"/>
      <c r="P37" s="9"/>
      <c r="Q37" s="9"/>
      <c r="R37" s="9"/>
      <c r="S37" s="9"/>
      <c r="T37" s="9"/>
      <c r="U37" s="9"/>
      <c r="V37" s="9"/>
      <c r="W37" s="9"/>
      <c r="X37" s="9"/>
      <c r="Y37" s="9"/>
      <c r="Z37" s="9"/>
      <c r="AA37" s="9"/>
    </row>
    <row r="38" spans="1:27" x14ac:dyDescent="0.25">
      <c r="A38" s="9"/>
      <c r="C38" s="9" t="s">
        <v>465</v>
      </c>
      <c r="D38" s="9">
        <v>1000000</v>
      </c>
      <c r="E38" s="9"/>
      <c r="F38" s="9"/>
      <c r="G38" s="9"/>
      <c r="H38" s="9"/>
      <c r="I38" s="9"/>
      <c r="J38" s="9"/>
      <c r="K38" s="9"/>
      <c r="L38" s="9"/>
      <c r="M38" s="9"/>
      <c r="N38" s="9"/>
      <c r="O38" s="9"/>
      <c r="P38" s="9"/>
      <c r="Q38" s="9"/>
      <c r="R38" s="9"/>
      <c r="S38" s="9"/>
      <c r="T38" s="9"/>
      <c r="U38" s="9"/>
      <c r="V38" s="9"/>
      <c r="W38" s="9"/>
      <c r="X38" s="9"/>
      <c r="Y38" s="9"/>
      <c r="Z38" s="9"/>
      <c r="AA38" s="9"/>
    </row>
    <row r="40" spans="1:27" ht="13.8" x14ac:dyDescent="0.3">
      <c r="A40" s="10" t="s">
        <v>22</v>
      </c>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sheetPr>
  <dimension ref="A1:X241"/>
  <sheetViews>
    <sheetView zoomScaleNormal="100" workbookViewId="0">
      <pane ySplit="1" topLeftCell="A2" activePane="bottomLeft" state="frozen"/>
      <selection pane="bottomLeft" activeCell="A2" sqref="A2"/>
    </sheetView>
  </sheetViews>
  <sheetFormatPr defaultRowHeight="13.2" x14ac:dyDescent="0.25"/>
  <cols>
    <col min="1" max="2" width="2.77734375" customWidth="1"/>
    <col min="3" max="3" width="23.21875" bestFit="1" customWidth="1"/>
    <col min="4" max="5" width="16.109375" bestFit="1" customWidth="1"/>
    <col min="7" max="14" width="12.5546875" bestFit="1" customWidth="1"/>
    <col min="16" max="16" width="10" bestFit="1" customWidth="1"/>
  </cols>
  <sheetData>
    <row r="1" spans="1:24" ht="30" x14ac:dyDescent="0.5">
      <c r="A1" s="30" t="s">
        <v>466</v>
      </c>
      <c r="B1" s="30"/>
      <c r="C1" s="30"/>
      <c r="D1" s="30"/>
      <c r="E1" s="30"/>
      <c r="F1" s="30"/>
      <c r="G1" s="30"/>
      <c r="H1" s="30"/>
      <c r="I1" s="30"/>
      <c r="J1" s="30"/>
      <c r="K1" s="30"/>
      <c r="L1" s="30"/>
      <c r="M1" s="30"/>
      <c r="N1" s="30"/>
      <c r="O1" s="30"/>
      <c r="P1" s="30"/>
      <c r="Q1" s="30"/>
      <c r="R1" s="30"/>
      <c r="S1" s="30"/>
      <c r="T1" s="30"/>
      <c r="U1" s="30"/>
      <c r="V1" s="30"/>
      <c r="W1" s="30"/>
      <c r="X1" s="30"/>
    </row>
    <row r="3" spans="1:24" x14ac:dyDescent="0.25">
      <c r="A3" s="9"/>
      <c r="B3" s="4" t="s">
        <v>467</v>
      </c>
      <c r="C3" s="9"/>
      <c r="D3" s="9"/>
      <c r="E3" s="9"/>
      <c r="F3" s="9"/>
      <c r="G3" s="9"/>
      <c r="H3" s="9"/>
      <c r="I3" s="9"/>
      <c r="J3" s="9"/>
      <c r="K3" s="9"/>
      <c r="L3" s="9"/>
      <c r="M3" s="9"/>
      <c r="N3" s="9"/>
      <c r="O3" s="9"/>
      <c r="P3" s="9"/>
      <c r="Q3" s="9"/>
      <c r="R3" s="9"/>
      <c r="S3" s="9"/>
      <c r="T3" s="9"/>
      <c r="U3" s="9"/>
      <c r="V3" s="9"/>
      <c r="W3" s="9"/>
      <c r="X3" s="9"/>
    </row>
    <row r="4" spans="1:24" x14ac:dyDescent="0.25">
      <c r="A4" s="9"/>
      <c r="B4" s="4" t="s">
        <v>468</v>
      </c>
      <c r="C4" s="9"/>
      <c r="D4" s="9"/>
      <c r="E4" s="9"/>
      <c r="F4" s="9"/>
      <c r="G4" s="9"/>
      <c r="H4" s="9"/>
      <c r="I4" s="9"/>
      <c r="J4" s="9"/>
      <c r="K4" s="9"/>
      <c r="L4" s="9"/>
      <c r="M4" s="9"/>
      <c r="N4" s="9"/>
      <c r="O4" s="9"/>
      <c r="P4" s="9"/>
      <c r="Q4" s="9"/>
      <c r="R4" s="9"/>
      <c r="S4" s="9"/>
      <c r="T4" s="9"/>
      <c r="U4" s="9"/>
      <c r="V4" s="9"/>
      <c r="W4" s="9"/>
      <c r="X4" s="9"/>
    </row>
    <row r="5" spans="1:24" x14ac:dyDescent="0.25">
      <c r="A5" s="31"/>
      <c r="B5" s="31"/>
      <c r="C5" s="31"/>
      <c r="D5" s="31"/>
      <c r="E5" s="31"/>
      <c r="F5" s="31"/>
      <c r="G5" s="31"/>
      <c r="H5" s="31"/>
      <c r="I5" s="31"/>
      <c r="J5" s="31"/>
      <c r="K5" s="31"/>
      <c r="L5" s="31"/>
      <c r="M5" s="31"/>
      <c r="N5" s="31"/>
      <c r="O5" s="31"/>
      <c r="P5" s="31"/>
      <c r="Q5" s="31"/>
      <c r="R5" s="31"/>
      <c r="S5" s="31"/>
      <c r="T5" s="31"/>
      <c r="U5" s="31"/>
      <c r="V5" s="31"/>
      <c r="W5" s="31"/>
      <c r="X5" s="31"/>
    </row>
    <row r="6" spans="1:24" ht="13.8" x14ac:dyDescent="0.3">
      <c r="A6" s="32" t="s">
        <v>469</v>
      </c>
      <c r="B6" s="32"/>
      <c r="C6" s="32"/>
      <c r="D6" s="32"/>
      <c r="E6" s="32"/>
      <c r="F6" s="32"/>
      <c r="G6" s="32"/>
      <c r="H6" s="32"/>
      <c r="I6" s="32"/>
      <c r="J6" s="32"/>
      <c r="K6" s="32"/>
      <c r="L6" s="32"/>
      <c r="M6" s="32"/>
      <c r="N6" s="32"/>
      <c r="O6" s="32"/>
      <c r="P6" s="32"/>
      <c r="Q6" s="32"/>
      <c r="R6" s="32"/>
      <c r="S6" s="32"/>
      <c r="T6" s="32"/>
      <c r="U6" s="32"/>
      <c r="V6" s="32"/>
      <c r="W6" s="32"/>
      <c r="X6" s="32"/>
    </row>
    <row r="7" spans="1:24" x14ac:dyDescent="0.25">
      <c r="A7" s="31"/>
      <c r="B7" s="31"/>
      <c r="C7" s="31"/>
      <c r="D7" s="31"/>
      <c r="E7" s="31"/>
      <c r="F7" s="31"/>
      <c r="G7" s="31"/>
      <c r="H7" s="31"/>
      <c r="I7" s="31"/>
      <c r="J7" s="31"/>
      <c r="K7" s="31"/>
      <c r="L7" s="31"/>
      <c r="M7" s="31"/>
      <c r="N7" s="31"/>
      <c r="O7" s="31"/>
      <c r="P7" s="31"/>
      <c r="Q7" s="31"/>
      <c r="R7" s="31"/>
      <c r="S7" s="31"/>
      <c r="T7" s="31"/>
      <c r="U7" s="31"/>
      <c r="V7" s="31"/>
      <c r="W7" s="31"/>
      <c r="X7" s="31"/>
    </row>
    <row r="8" spans="1:24" x14ac:dyDescent="0.25">
      <c r="A8" s="31"/>
      <c r="B8" s="31"/>
      <c r="C8" s="31" t="s">
        <v>470</v>
      </c>
      <c r="D8" s="31" t="s">
        <v>106</v>
      </c>
      <c r="E8" s="31"/>
      <c r="F8" s="31"/>
      <c r="G8" s="31"/>
      <c r="H8" s="31"/>
      <c r="I8" s="31"/>
      <c r="J8" s="31"/>
      <c r="K8" s="31"/>
      <c r="L8" s="31"/>
      <c r="M8" s="31"/>
      <c r="N8" s="31"/>
      <c r="O8" s="31"/>
      <c r="P8" s="31"/>
      <c r="Q8" s="31"/>
      <c r="R8" s="31"/>
      <c r="S8" s="31"/>
      <c r="T8" s="31"/>
      <c r="U8" s="31"/>
      <c r="V8" s="31"/>
      <c r="W8" s="31"/>
      <c r="X8" s="31"/>
    </row>
    <row r="9" spans="1:24" x14ac:dyDescent="0.25">
      <c r="A9" s="31"/>
      <c r="B9" s="31"/>
      <c r="C9" s="9" t="s">
        <v>471</v>
      </c>
      <c r="D9" s="9" t="s">
        <v>472</v>
      </c>
      <c r="E9" s="31"/>
      <c r="F9" s="31"/>
      <c r="G9" s="31"/>
      <c r="H9" s="31"/>
      <c r="I9" s="31"/>
      <c r="J9" s="31"/>
      <c r="K9" s="31"/>
      <c r="L9" s="31"/>
      <c r="M9" s="31"/>
      <c r="N9" s="31"/>
      <c r="O9" s="31"/>
      <c r="P9" s="31"/>
      <c r="Q9" s="31"/>
      <c r="R9" s="31"/>
      <c r="S9" s="31"/>
      <c r="T9" s="31"/>
      <c r="U9" s="31"/>
      <c r="V9" s="31"/>
      <c r="W9" s="31"/>
      <c r="X9" s="31"/>
    </row>
    <row r="10" spans="1:24" x14ac:dyDescent="0.25">
      <c r="A10" s="31"/>
      <c r="B10" s="31"/>
      <c r="C10" s="9" t="s">
        <v>473</v>
      </c>
      <c r="D10" s="9" t="s">
        <v>474</v>
      </c>
      <c r="E10" s="31"/>
      <c r="F10" s="31"/>
      <c r="G10" s="31"/>
      <c r="H10" s="31"/>
      <c r="I10" s="31"/>
      <c r="J10" s="31"/>
      <c r="K10" s="31"/>
      <c r="L10" s="31"/>
      <c r="M10" s="31"/>
      <c r="N10" s="31"/>
      <c r="O10" s="31"/>
      <c r="P10" s="31"/>
      <c r="Q10" s="31"/>
      <c r="R10" s="31"/>
      <c r="S10" s="31"/>
      <c r="T10" s="31"/>
      <c r="U10" s="31"/>
      <c r="V10" s="31"/>
      <c r="W10" s="31"/>
      <c r="X10" s="31"/>
    </row>
    <row r="11" spans="1:24" x14ac:dyDescent="0.25">
      <c r="A11" s="31"/>
      <c r="B11" s="31"/>
      <c r="C11" s="9" t="s">
        <v>475</v>
      </c>
      <c r="D11" s="9" t="s">
        <v>476</v>
      </c>
      <c r="E11" s="31"/>
      <c r="F11" s="31"/>
      <c r="G11" s="31"/>
      <c r="H11" s="31"/>
      <c r="I11" s="31"/>
      <c r="J11" s="31"/>
      <c r="K11" s="31"/>
      <c r="L11" s="31"/>
      <c r="M11" s="31"/>
      <c r="N11" s="31"/>
      <c r="O11" s="31"/>
      <c r="P11" s="31"/>
      <c r="Q11" s="31"/>
      <c r="R11" s="31"/>
      <c r="S11" s="31"/>
      <c r="T11" s="31"/>
      <c r="U11" s="31"/>
      <c r="V11" s="31"/>
      <c r="W11" s="31"/>
      <c r="X11" s="31"/>
    </row>
    <row r="12" spans="1:24" x14ac:dyDescent="0.25">
      <c r="A12" s="31"/>
      <c r="B12" s="31"/>
      <c r="C12" s="9" t="s">
        <v>477</v>
      </c>
      <c r="D12" s="9" t="s">
        <v>478</v>
      </c>
      <c r="E12" s="31"/>
      <c r="F12" s="31"/>
      <c r="G12" s="31"/>
      <c r="H12" s="31"/>
      <c r="I12" s="31"/>
      <c r="J12" s="31"/>
      <c r="K12" s="31"/>
      <c r="L12" s="31"/>
      <c r="M12" s="31"/>
      <c r="N12" s="31"/>
      <c r="O12" s="31"/>
      <c r="P12" s="31"/>
      <c r="Q12" s="31"/>
      <c r="R12" s="31"/>
      <c r="S12" s="31"/>
      <c r="T12" s="31"/>
      <c r="U12" s="31"/>
      <c r="V12" s="31"/>
      <c r="W12" s="31"/>
      <c r="X12" s="31"/>
    </row>
    <row r="13" spans="1:24" x14ac:dyDescent="0.25">
      <c r="A13" s="31"/>
      <c r="B13" s="31"/>
      <c r="C13" s="9" t="s">
        <v>479</v>
      </c>
      <c r="D13" s="9" t="s">
        <v>480</v>
      </c>
      <c r="E13" s="31"/>
      <c r="F13" s="31"/>
      <c r="G13" s="31"/>
      <c r="H13" s="31"/>
      <c r="I13" s="31"/>
      <c r="J13" s="31"/>
      <c r="K13" s="31"/>
      <c r="L13" s="31"/>
      <c r="M13" s="31"/>
      <c r="N13" s="31"/>
      <c r="O13" s="31"/>
      <c r="P13" s="31"/>
      <c r="Q13" s="31"/>
      <c r="R13" s="31"/>
      <c r="S13" s="31"/>
      <c r="T13" s="31"/>
      <c r="U13" s="31"/>
      <c r="V13" s="31"/>
      <c r="W13" s="31"/>
      <c r="X13" s="31"/>
    </row>
    <row r="14" spans="1:24" x14ac:dyDescent="0.25">
      <c r="A14" s="31"/>
      <c r="B14" s="31"/>
      <c r="C14" s="9" t="s">
        <v>481</v>
      </c>
      <c r="D14" s="9" t="s">
        <v>482</v>
      </c>
      <c r="E14" s="31"/>
      <c r="F14" s="31"/>
      <c r="G14" s="31"/>
      <c r="H14" s="31"/>
      <c r="I14" s="31"/>
      <c r="J14" s="31"/>
      <c r="K14" s="31"/>
      <c r="L14" s="31"/>
      <c r="M14" s="31"/>
      <c r="N14" s="31"/>
      <c r="O14" s="31"/>
      <c r="P14" s="31"/>
      <c r="Q14" s="31"/>
      <c r="R14" s="31"/>
      <c r="S14" s="31"/>
      <c r="T14" s="31"/>
      <c r="U14" s="31"/>
      <c r="V14" s="31"/>
      <c r="W14" s="31"/>
      <c r="X14" s="31"/>
    </row>
    <row r="15" spans="1:24" x14ac:dyDescent="0.25">
      <c r="A15" s="31"/>
      <c r="B15" s="31"/>
      <c r="C15" s="9" t="s">
        <v>483</v>
      </c>
      <c r="D15" s="9" t="s">
        <v>484</v>
      </c>
      <c r="E15" s="31"/>
      <c r="F15" s="31"/>
      <c r="G15" s="31"/>
      <c r="H15" s="31"/>
      <c r="I15" s="31"/>
      <c r="J15" s="31"/>
      <c r="K15" s="31"/>
      <c r="L15" s="31"/>
      <c r="M15" s="31"/>
      <c r="N15" s="31"/>
      <c r="O15" s="31"/>
      <c r="P15" s="31"/>
      <c r="Q15" s="31"/>
      <c r="R15" s="31"/>
      <c r="S15" s="31"/>
      <c r="T15" s="31"/>
      <c r="U15" s="31"/>
      <c r="V15" s="31"/>
      <c r="W15" s="31"/>
      <c r="X15" s="31"/>
    </row>
    <row r="16" spans="1:24" x14ac:dyDescent="0.25">
      <c r="A16" s="31"/>
      <c r="B16" s="31"/>
      <c r="C16" s="9" t="s">
        <v>485</v>
      </c>
      <c r="D16" s="9" t="s">
        <v>486</v>
      </c>
      <c r="E16" s="31"/>
      <c r="F16" s="31"/>
      <c r="G16" s="31"/>
      <c r="H16" s="31"/>
      <c r="I16" s="31"/>
      <c r="J16" s="31"/>
      <c r="K16" s="31"/>
      <c r="L16" s="31"/>
      <c r="M16" s="31"/>
      <c r="N16" s="31"/>
      <c r="O16" s="31"/>
      <c r="P16" s="31"/>
      <c r="Q16" s="31"/>
      <c r="R16" s="31"/>
      <c r="S16" s="31"/>
      <c r="T16" s="31"/>
      <c r="U16" s="31"/>
      <c r="V16" s="31"/>
      <c r="W16" s="31"/>
      <c r="X16" s="31"/>
    </row>
    <row r="17" spans="1:24" x14ac:dyDescent="0.25">
      <c r="A17" s="31"/>
      <c r="B17" s="31"/>
      <c r="C17" s="9" t="s">
        <v>487</v>
      </c>
      <c r="D17" s="9" t="s">
        <v>488</v>
      </c>
      <c r="E17" s="31"/>
      <c r="F17" s="31"/>
      <c r="G17" s="31"/>
      <c r="H17" s="31"/>
      <c r="I17" s="31"/>
      <c r="J17" s="31"/>
      <c r="K17" s="31"/>
      <c r="L17" s="31"/>
      <c r="M17" s="31"/>
      <c r="N17" s="31"/>
      <c r="O17" s="31"/>
      <c r="P17" s="31"/>
      <c r="Q17" s="31"/>
      <c r="R17" s="31"/>
      <c r="S17" s="31"/>
      <c r="T17" s="31"/>
      <c r="U17" s="31"/>
      <c r="V17" s="31"/>
      <c r="W17" s="31"/>
      <c r="X17" s="31"/>
    </row>
    <row r="18" spans="1:24" x14ac:dyDescent="0.25">
      <c r="A18" s="31"/>
      <c r="B18" s="31"/>
      <c r="C18" s="9" t="s">
        <v>489</v>
      </c>
      <c r="D18" s="9" t="s">
        <v>490</v>
      </c>
      <c r="E18" s="31"/>
      <c r="F18" s="31"/>
      <c r="G18" s="31"/>
      <c r="H18" s="31"/>
      <c r="I18" s="31"/>
      <c r="J18" s="31"/>
      <c r="K18" s="31"/>
      <c r="L18" s="31"/>
      <c r="M18" s="31"/>
      <c r="N18" s="31"/>
      <c r="O18" s="31"/>
      <c r="P18" s="31"/>
      <c r="Q18" s="31"/>
      <c r="R18" s="31"/>
      <c r="S18" s="31"/>
      <c r="T18" s="31"/>
      <c r="U18" s="31"/>
      <c r="V18" s="31"/>
      <c r="W18" s="31"/>
      <c r="X18" s="31"/>
    </row>
    <row r="19" spans="1:24" x14ac:dyDescent="0.25">
      <c r="A19" s="31"/>
      <c r="B19" s="31"/>
      <c r="C19" s="31"/>
      <c r="D19" s="31"/>
      <c r="E19" s="31"/>
      <c r="F19" s="31"/>
      <c r="G19" s="31"/>
      <c r="H19" s="31"/>
      <c r="I19" s="31"/>
      <c r="J19" s="31"/>
      <c r="K19" s="31"/>
      <c r="L19" s="31"/>
      <c r="M19" s="31"/>
      <c r="N19" s="31"/>
      <c r="O19" s="31"/>
      <c r="P19" s="31"/>
      <c r="Q19" s="31"/>
      <c r="R19" s="31"/>
      <c r="S19" s="31"/>
      <c r="T19" s="31"/>
      <c r="U19" s="31"/>
      <c r="V19" s="31"/>
      <c r="W19" s="31"/>
      <c r="X19" s="31"/>
    </row>
    <row r="20" spans="1:24" x14ac:dyDescent="0.25">
      <c r="A20" s="31"/>
      <c r="B20" s="31"/>
      <c r="C20" s="31" t="s">
        <v>491</v>
      </c>
      <c r="D20" s="31" t="s">
        <v>106</v>
      </c>
      <c r="E20" s="31"/>
      <c r="F20" s="31"/>
      <c r="G20" s="31"/>
      <c r="H20" s="31"/>
      <c r="I20" s="31"/>
      <c r="J20" s="31"/>
      <c r="K20" s="31"/>
      <c r="L20" s="31"/>
      <c r="M20" s="31"/>
      <c r="N20" s="31"/>
      <c r="O20" s="31"/>
      <c r="P20" s="31"/>
      <c r="Q20" s="31"/>
      <c r="R20" s="31"/>
      <c r="S20" s="31"/>
      <c r="T20" s="31"/>
      <c r="U20" s="31"/>
      <c r="V20" s="31"/>
      <c r="W20" s="31"/>
      <c r="X20" s="31"/>
    </row>
    <row r="21" spans="1:24" x14ac:dyDescent="0.25">
      <c r="A21" s="31"/>
      <c r="B21" s="31"/>
      <c r="C21" s="31" t="s">
        <v>492</v>
      </c>
      <c r="D21" s="31" t="s">
        <v>493</v>
      </c>
      <c r="E21" s="31"/>
      <c r="F21" s="31"/>
      <c r="G21" s="31"/>
      <c r="H21" s="31"/>
      <c r="I21" s="31"/>
      <c r="J21" s="31"/>
      <c r="K21" s="31"/>
      <c r="L21" s="31"/>
      <c r="M21" s="31"/>
      <c r="N21" s="31"/>
      <c r="O21" s="31"/>
      <c r="P21" s="31"/>
      <c r="Q21" s="31"/>
      <c r="R21" s="31"/>
      <c r="S21" s="31"/>
      <c r="T21" s="31"/>
      <c r="U21" s="31"/>
      <c r="V21" s="31"/>
      <c r="W21" s="31"/>
      <c r="X21" s="31"/>
    </row>
    <row r="22" spans="1:24" x14ac:dyDescent="0.25">
      <c r="A22" s="31"/>
      <c r="B22" s="31"/>
      <c r="C22" s="31" t="s">
        <v>494</v>
      </c>
      <c r="D22" s="31" t="s">
        <v>495</v>
      </c>
      <c r="E22" s="31"/>
      <c r="F22" s="31"/>
      <c r="G22" s="31"/>
      <c r="H22" s="31"/>
      <c r="I22" s="31"/>
      <c r="J22" s="31"/>
      <c r="K22" s="31"/>
      <c r="L22" s="31"/>
      <c r="M22" s="31"/>
      <c r="N22" s="31"/>
      <c r="O22" s="31"/>
      <c r="P22" s="31"/>
      <c r="Q22" s="31"/>
      <c r="R22" s="31"/>
      <c r="S22" s="31"/>
      <c r="T22" s="31"/>
      <c r="U22" s="31"/>
      <c r="V22" s="31"/>
      <c r="W22" s="31"/>
      <c r="X22" s="31"/>
    </row>
    <row r="23" spans="1:24" x14ac:dyDescent="0.25">
      <c r="A23" s="31"/>
      <c r="B23" s="31"/>
      <c r="C23" s="31"/>
      <c r="D23" s="31"/>
      <c r="E23" s="31"/>
      <c r="F23" s="31"/>
      <c r="G23" s="31"/>
      <c r="H23" s="31"/>
      <c r="I23" s="31"/>
      <c r="J23" s="31"/>
      <c r="K23" s="31"/>
      <c r="L23" s="31"/>
      <c r="M23" s="31"/>
      <c r="N23" s="31"/>
      <c r="O23" s="31"/>
      <c r="P23" s="31"/>
      <c r="Q23" s="31"/>
      <c r="R23" s="31"/>
      <c r="S23" s="31"/>
      <c r="T23" s="31"/>
      <c r="U23" s="31"/>
      <c r="V23" s="31"/>
      <c r="W23" s="31"/>
      <c r="X23" s="31"/>
    </row>
    <row r="24" spans="1:24" x14ac:dyDescent="0.25">
      <c r="A24" s="31"/>
      <c r="B24" s="31"/>
      <c r="C24" s="31"/>
      <c r="D24" s="31"/>
      <c r="E24" s="31"/>
      <c r="F24" s="31"/>
      <c r="G24" s="31"/>
      <c r="H24" s="31"/>
      <c r="I24" s="31"/>
      <c r="J24" s="31"/>
      <c r="K24" s="31"/>
      <c r="L24" s="31"/>
      <c r="M24" s="31"/>
      <c r="N24" s="31"/>
      <c r="O24" s="31"/>
      <c r="P24" s="31"/>
      <c r="Q24" s="31"/>
      <c r="R24" s="31"/>
      <c r="S24" s="31"/>
      <c r="T24" s="31"/>
      <c r="U24" s="31"/>
      <c r="V24" s="31"/>
      <c r="W24" s="31"/>
      <c r="X24" s="31"/>
    </row>
    <row r="25" spans="1:24" ht="13.8" x14ac:dyDescent="0.3">
      <c r="A25" s="32" t="s">
        <v>496</v>
      </c>
      <c r="B25" s="32"/>
      <c r="C25" s="32"/>
      <c r="D25" s="32"/>
      <c r="E25" s="32"/>
      <c r="F25" s="32"/>
      <c r="G25" s="32"/>
      <c r="H25" s="32"/>
      <c r="I25" s="32"/>
      <c r="J25" s="32"/>
      <c r="K25" s="32"/>
      <c r="L25" s="32"/>
      <c r="M25" s="32"/>
      <c r="N25" s="32"/>
      <c r="O25" s="32"/>
      <c r="P25" s="32"/>
      <c r="Q25" s="32"/>
      <c r="R25" s="32"/>
      <c r="S25" s="32"/>
      <c r="T25" s="32"/>
      <c r="U25" s="32"/>
      <c r="V25" s="32"/>
      <c r="W25" s="32"/>
      <c r="X25" s="32"/>
    </row>
    <row r="27" spans="1:24" ht="15" x14ac:dyDescent="0.35">
      <c r="A27" s="9"/>
      <c r="B27" s="1" t="s">
        <v>497</v>
      </c>
      <c r="C27" s="9"/>
      <c r="D27" s="9"/>
      <c r="E27" s="9"/>
      <c r="F27" s="9"/>
      <c r="G27" s="9"/>
      <c r="H27" s="9"/>
      <c r="I27" s="9"/>
      <c r="J27" s="9"/>
      <c r="K27" s="9"/>
      <c r="L27" s="9"/>
      <c r="M27" s="9"/>
      <c r="N27" s="9"/>
      <c r="O27" s="9"/>
      <c r="P27" s="9"/>
      <c r="Q27" s="9"/>
      <c r="R27" s="9"/>
      <c r="S27" s="9"/>
      <c r="T27" s="9"/>
      <c r="U27" s="9"/>
      <c r="V27" s="9"/>
      <c r="W27" s="9"/>
      <c r="X27" s="9"/>
    </row>
    <row r="29" spans="1:24" x14ac:dyDescent="0.25">
      <c r="A29" s="31"/>
      <c r="B29" s="31"/>
      <c r="C29" s="31" t="s">
        <v>498</v>
      </c>
      <c r="D29" s="31" t="s">
        <v>150</v>
      </c>
      <c r="E29" s="31" t="s">
        <v>499</v>
      </c>
      <c r="F29" s="31" t="s">
        <v>151</v>
      </c>
      <c r="G29" s="21" t="s">
        <v>375</v>
      </c>
      <c r="H29" s="21" t="s">
        <v>376</v>
      </c>
      <c r="I29" s="21" t="s">
        <v>377</v>
      </c>
      <c r="J29" s="21" t="s">
        <v>174</v>
      </c>
      <c r="K29" s="21" t="s">
        <v>175</v>
      </c>
      <c r="L29" s="21" t="s">
        <v>176</v>
      </c>
      <c r="M29" s="21" t="s">
        <v>177</v>
      </c>
      <c r="N29" s="21" t="s">
        <v>178</v>
      </c>
      <c r="O29" s="31"/>
      <c r="P29" s="31"/>
      <c r="Q29" s="31"/>
      <c r="R29" s="31"/>
      <c r="S29" s="31"/>
      <c r="T29" s="31"/>
      <c r="U29" s="31"/>
      <c r="V29" s="31"/>
      <c r="W29" s="31"/>
      <c r="X29" s="31"/>
    </row>
    <row r="30" spans="1:24" x14ac:dyDescent="0.25">
      <c r="A30" s="31"/>
      <c r="B30" s="31"/>
      <c r="C30" s="9" t="s">
        <v>483</v>
      </c>
      <c r="D30" s="31" t="s">
        <v>231</v>
      </c>
      <c r="E30" s="31" t="s">
        <v>231</v>
      </c>
      <c r="F30" s="31" t="s">
        <v>500</v>
      </c>
      <c r="G30" s="115">
        <f>SUMIFS(F_Inputs!F:F,F_inputs_ID,'Company data'!$C30,F_inputs_company,'Company data'!$E30)*thousand</f>
        <v>1500196</v>
      </c>
      <c r="H30" s="115">
        <f>SUMIFS(F_Inputs!G:G,F_inputs_ID,'Company data'!$C30,F_inputs_company,'Company data'!$E30)*thousand</f>
        <v>1517019</v>
      </c>
      <c r="I30" s="115">
        <f>SUMIFS(F_Inputs!H:H,F_inputs_ID,'Company data'!$C30,F_inputs_company,'Company data'!$E30)*thousand</f>
        <v>1526126</v>
      </c>
      <c r="J30" s="115">
        <f>SUMIFS(F_Inputs!I:I,F_inputs_ID,'Company data'!$C30,F_inputs_company,'Company data'!$E30)*thousand</f>
        <v>1546736</v>
      </c>
      <c r="K30" s="115">
        <f>SUMIFS(F_Inputs!J:J,F_inputs_ID,'Company data'!$C30,F_inputs_company,'Company data'!$E30)*thousand</f>
        <v>1563168</v>
      </c>
      <c r="L30" s="115">
        <f>SUMIFS(F_Inputs!K:K,F_inputs_ID,'Company data'!$C30,F_inputs_company,'Company data'!$E30)*thousand</f>
        <v>1579609</v>
      </c>
      <c r="M30" s="115">
        <f>SUMIFS(F_Inputs!L:L,F_inputs_ID,'Company data'!$C30,F_inputs_company,'Company data'!$E30)*thousand</f>
        <v>1596059</v>
      </c>
      <c r="N30" s="115">
        <f>SUMIFS(F_Inputs!M:M,F_inputs_ID,'Company data'!$C30,F_inputs_company,'Company data'!$E30)*thousand</f>
        <v>1612517</v>
      </c>
      <c r="O30" s="31"/>
      <c r="P30" s="31"/>
      <c r="Q30" s="31"/>
      <c r="R30" s="31"/>
      <c r="S30" s="31"/>
      <c r="T30" s="31"/>
      <c r="U30" s="31"/>
      <c r="V30" s="31"/>
      <c r="W30" s="31"/>
      <c r="X30" s="31"/>
    </row>
    <row r="31" spans="1:24" x14ac:dyDescent="0.25">
      <c r="A31" s="31"/>
      <c r="B31" s="31"/>
      <c r="C31" s="9" t="s">
        <v>483</v>
      </c>
      <c r="D31" s="31" t="s">
        <v>157</v>
      </c>
      <c r="E31" s="31" t="s">
        <v>157</v>
      </c>
      <c r="F31" s="31" t="s">
        <v>500</v>
      </c>
      <c r="G31" s="115">
        <f>SUMIFS(F_Inputs!F:F,F_inputs_ID,'Company data'!$C31,F_inputs_company,'Company data'!$E31)*thousand</f>
        <v>2195719</v>
      </c>
      <c r="H31" s="115">
        <f>SUMIFS(F_Inputs!G:G,F_inputs_ID,'Company data'!$C31,F_inputs_company,'Company data'!$E31)*thousand</f>
        <v>2215017</v>
      </c>
      <c r="I31" s="115">
        <f>SUMIFS(F_Inputs!H:H,F_inputs_ID,'Company data'!$C31,F_inputs_company,'Company data'!$E31)*thousand</f>
        <v>2238029</v>
      </c>
      <c r="J31" s="115">
        <f>SUMIFS(F_Inputs!I:I,F_inputs_ID,'Company data'!$C31,F_inputs_company,'Company data'!$E31)*thousand</f>
        <v>2270271</v>
      </c>
      <c r="K31" s="115">
        <f>SUMIFS(F_Inputs!J:J,F_inputs_ID,'Company data'!$C31,F_inputs_company,'Company data'!$E31)*thousand</f>
        <v>2306347</v>
      </c>
      <c r="L31" s="115">
        <f>SUMIFS(F_Inputs!K:K,F_inputs_ID,'Company data'!$C31,F_inputs_company,'Company data'!$E31)*thousand</f>
        <v>2344165</v>
      </c>
      <c r="M31" s="115">
        <f>SUMIFS(F_Inputs!L:L,F_inputs_ID,'Company data'!$C31,F_inputs_company,'Company data'!$E31)*thousand</f>
        <v>2381817</v>
      </c>
      <c r="N31" s="115">
        <f>SUMIFS(F_Inputs!M:M,F_inputs_ID,'Company data'!$C31,F_inputs_company,'Company data'!$E31)*thousand</f>
        <v>2416460</v>
      </c>
      <c r="O31" s="31"/>
      <c r="P31" s="31"/>
      <c r="Q31" s="31"/>
      <c r="R31" s="31"/>
      <c r="S31" s="31"/>
      <c r="T31" s="31"/>
      <c r="U31" s="31"/>
      <c r="V31" s="31"/>
      <c r="W31" s="31"/>
      <c r="X31" s="31"/>
    </row>
    <row r="32" spans="1:24" x14ac:dyDescent="0.25">
      <c r="A32" s="31"/>
      <c r="B32" s="31"/>
      <c r="C32" s="9" t="s">
        <v>483</v>
      </c>
      <c r="D32" s="31" t="s">
        <v>235</v>
      </c>
      <c r="E32" s="31" t="s">
        <v>235</v>
      </c>
      <c r="F32" s="31" t="s">
        <v>500</v>
      </c>
      <c r="G32" s="115">
        <f>SUMIFS(F_Inputs!F:F,F_inputs_ID,'Company data'!$C32,F_inputs_company,'Company data'!$E32)*thousand</f>
        <v>536138</v>
      </c>
      <c r="H32" s="115">
        <f>SUMIFS(F_Inputs!G:G,F_inputs_ID,'Company data'!$C32,F_inputs_company,'Company data'!$E32)*thousand</f>
        <v>542029</v>
      </c>
      <c r="I32" s="115">
        <f>SUMIFS(F_Inputs!H:H,F_inputs_ID,'Company data'!$C32,F_inputs_company,'Company data'!$E32)*thousand</f>
        <v>548095</v>
      </c>
      <c r="J32" s="115">
        <f>SUMIFS(F_Inputs!I:I,F_inputs_ID,'Company data'!$C32,F_inputs_company,'Company data'!$E32)*thousand</f>
        <v>554744</v>
      </c>
      <c r="K32" s="115">
        <f>SUMIFS(F_Inputs!J:J,F_inputs_ID,'Company data'!$C32,F_inputs_company,'Company data'!$E32)*thousand</f>
        <v>560504</v>
      </c>
      <c r="L32" s="115">
        <f>SUMIFS(F_Inputs!K:K,F_inputs_ID,'Company data'!$C32,F_inputs_company,'Company data'!$E32)*thousand</f>
        <v>566196</v>
      </c>
      <c r="M32" s="115">
        <f>SUMIFS(F_Inputs!L:L,F_inputs_ID,'Company data'!$C32,F_inputs_company,'Company data'!$E32)*thousand</f>
        <v>571773</v>
      </c>
      <c r="N32" s="115">
        <f>SUMIFS(F_Inputs!M:M,F_inputs_ID,'Company data'!$C32,F_inputs_company,'Company data'!$E32)*thousand</f>
        <v>577233</v>
      </c>
      <c r="O32" s="31"/>
      <c r="P32" s="31"/>
      <c r="Q32" s="31"/>
      <c r="R32" s="31"/>
      <c r="S32" s="31"/>
      <c r="T32" s="31"/>
      <c r="U32" s="31"/>
      <c r="V32" s="31"/>
      <c r="W32" s="31"/>
      <c r="X32" s="31"/>
    </row>
    <row r="33" spans="1:24" x14ac:dyDescent="0.25">
      <c r="A33" s="31"/>
      <c r="B33" s="31"/>
      <c r="C33" s="9" t="s">
        <v>483</v>
      </c>
      <c r="D33" s="31" t="s">
        <v>237</v>
      </c>
      <c r="E33" s="31" t="s">
        <v>237</v>
      </c>
      <c r="F33" s="31" t="s">
        <v>500</v>
      </c>
      <c r="G33" s="115">
        <f>SUMIFS(F_Inputs!F:F,F_inputs_ID,'Company data'!$C33,F_inputs_company,'Company data'!$E33)*thousand</f>
        <v>104868</v>
      </c>
      <c r="H33" s="115">
        <f>SUMIFS(F_Inputs!G:G,F_inputs_ID,'Company data'!$C33,F_inputs_company,'Company data'!$E33)*thousand</f>
        <v>105503</v>
      </c>
      <c r="I33" s="115">
        <f>SUMIFS(F_Inputs!H:H,F_inputs_ID,'Company data'!$C33,F_inputs_company,'Company data'!$E33)*thousand</f>
        <v>106200</v>
      </c>
      <c r="J33" s="115">
        <f>SUMIFS(F_Inputs!I:I,F_inputs_ID,'Company data'!$C33,F_inputs_company,'Company data'!$E33)*thousand</f>
        <v>106909</v>
      </c>
      <c r="K33" s="115">
        <f>SUMIFS(F_Inputs!J:J,F_inputs_ID,'Company data'!$C33,F_inputs_company,'Company data'!$E33)*thousand</f>
        <v>107673</v>
      </c>
      <c r="L33" s="115">
        <f>SUMIFS(F_Inputs!K:K,F_inputs_ID,'Company data'!$C33,F_inputs_company,'Company data'!$E33)*thousand</f>
        <v>108485</v>
      </c>
      <c r="M33" s="115">
        <f>SUMIFS(F_Inputs!L:L,F_inputs_ID,'Company data'!$C33,F_inputs_company,'Company data'!$E33)*thousand</f>
        <v>109311</v>
      </c>
      <c r="N33" s="115">
        <f>SUMIFS(F_Inputs!M:M,F_inputs_ID,'Company data'!$C33,F_inputs_company,'Company data'!$E33)*thousand</f>
        <v>110153</v>
      </c>
      <c r="O33" s="31"/>
      <c r="P33" s="31"/>
      <c r="Q33" s="31"/>
      <c r="R33" s="31"/>
      <c r="S33" s="31"/>
      <c r="T33" s="31"/>
      <c r="U33" s="31"/>
      <c r="V33" s="31"/>
      <c r="W33" s="31"/>
      <c r="X33" s="31"/>
    </row>
    <row r="34" spans="1:24" x14ac:dyDescent="0.25">
      <c r="A34" s="31"/>
      <c r="B34" s="31"/>
      <c r="C34" s="9" t="s">
        <v>483</v>
      </c>
      <c r="D34" s="31" t="s">
        <v>161</v>
      </c>
      <c r="E34" s="31" t="s">
        <v>186</v>
      </c>
      <c r="F34" s="31" t="s">
        <v>500</v>
      </c>
      <c r="G34" s="115">
        <f>SUMIFS(F_Inputs!F:F,F_inputs_ID,'Company data'!$C34,F_inputs_company,'Company data'!$E34)*thousand</f>
        <v>1211259</v>
      </c>
      <c r="H34" s="115">
        <f>SUMIFS(F_Inputs!G:G,F_inputs_ID,'Company data'!$C34,F_inputs_company,'Company data'!$E34)*thousand</f>
        <v>1214724.6882873101</v>
      </c>
      <c r="I34" s="115">
        <f>SUMIFS(F_Inputs!H:H,F_inputs_ID,'Company data'!$C34,F_inputs_company,'Company data'!$E34)*thousand</f>
        <v>1222491.8911627999</v>
      </c>
      <c r="J34" s="115">
        <f>SUMIFS(F_Inputs!I:I,F_inputs_ID,'Company data'!$C34,F_inputs_company,'Company data'!$E34)*thousand</f>
        <v>1231008.75781866</v>
      </c>
      <c r="K34" s="115">
        <f>SUMIFS(F_Inputs!J:J,F_inputs_ID,'Company data'!$C34,F_inputs_company,'Company data'!$E34)*thousand</f>
        <v>1239898.0796308499</v>
      </c>
      <c r="L34" s="115">
        <f>SUMIFS(F_Inputs!K:K,F_inputs_ID,'Company data'!$C34,F_inputs_company,'Company data'!$E34)*thousand</f>
        <v>1248322.10929712</v>
      </c>
      <c r="M34" s="115">
        <f>SUMIFS(F_Inputs!L:L,F_inputs_ID,'Company data'!$C34,F_inputs_company,'Company data'!$E34)*thousand</f>
        <v>1256547.7477721099</v>
      </c>
      <c r="N34" s="115">
        <f>SUMIFS(F_Inputs!M:M,F_inputs_ID,'Company data'!$C34,F_inputs_company,'Company data'!$E34)*thousand</f>
        <v>1264677.7233966</v>
      </c>
      <c r="O34" s="31"/>
      <c r="P34" s="31"/>
      <c r="Q34" s="31"/>
      <c r="R34" s="31"/>
      <c r="S34" s="31"/>
      <c r="T34" s="31"/>
      <c r="U34" s="31"/>
      <c r="V34" s="31"/>
      <c r="W34" s="31"/>
      <c r="X34" s="31"/>
    </row>
    <row r="35" spans="1:24" x14ac:dyDescent="0.25">
      <c r="A35" s="31"/>
      <c r="B35" s="31"/>
      <c r="C35" s="9" t="s">
        <v>487</v>
      </c>
      <c r="D35" s="31" t="s">
        <v>163</v>
      </c>
      <c r="E35" s="31" t="s">
        <v>186</v>
      </c>
      <c r="F35" s="31" t="s">
        <v>500</v>
      </c>
      <c r="G35" s="115">
        <f>SUMIFS(F_Inputs!F:F,F_inputs_ID,'Company data'!$C35,F_inputs_company,'Company data'!$E35)*thousand</f>
        <v>807414</v>
      </c>
      <c r="H35" s="115">
        <f>SUMIFS(F_Inputs!G:G,F_inputs_ID,'Company data'!$C35,F_inputs_company,'Company data'!$E35)*thousand</f>
        <v>829311.31171268993</v>
      </c>
      <c r="I35" s="115">
        <f>SUMIFS(F_Inputs!H:H,F_inputs_ID,'Company data'!$C35,F_inputs_company,'Company data'!$E35)*thousand</f>
        <v>838575.10883719707</v>
      </c>
      <c r="J35" s="115">
        <f>SUMIFS(F_Inputs!I:I,F_inputs_ID,'Company data'!$C35,F_inputs_company,'Company data'!$E35)*thousand</f>
        <v>847638.24218133593</v>
      </c>
      <c r="K35" s="115">
        <f>SUMIFS(F_Inputs!J:J,F_inputs_ID,'Company data'!$C35,F_inputs_company,'Company data'!$E35)*thousand</f>
        <v>856116.92036915093</v>
      </c>
      <c r="L35" s="115">
        <f>SUMIFS(F_Inputs!K:K,F_inputs_ID,'Company data'!$C35,F_inputs_company,'Company data'!$E35)*thousand</f>
        <v>864516.89070287708</v>
      </c>
      <c r="M35" s="115">
        <f>SUMIFS(F_Inputs!L:L,F_inputs_ID,'Company data'!$C35,F_inputs_company,'Company data'!$E35)*thousand</f>
        <v>872477.25222788902</v>
      </c>
      <c r="N35" s="115">
        <f>SUMIFS(F_Inputs!M:M,F_inputs_ID,'Company data'!$C35,F_inputs_company,'Company data'!$E35)*thousand</f>
        <v>880701.27660340408</v>
      </c>
      <c r="O35" s="31"/>
      <c r="P35" s="31"/>
      <c r="Q35" s="31"/>
      <c r="R35" s="31"/>
      <c r="S35" s="31"/>
      <c r="T35" s="31"/>
      <c r="U35" s="31"/>
      <c r="V35" s="31"/>
      <c r="W35" s="31"/>
      <c r="X35" s="31"/>
    </row>
    <row r="36" spans="1:24" x14ac:dyDescent="0.25">
      <c r="A36" s="31"/>
      <c r="B36" s="31"/>
      <c r="C36" s="9" t="s">
        <v>483</v>
      </c>
      <c r="D36" s="31" t="s">
        <v>239</v>
      </c>
      <c r="E36" s="31" t="s">
        <v>239</v>
      </c>
      <c r="F36" s="31" t="s">
        <v>500</v>
      </c>
      <c r="G36" s="115">
        <f>SUMIFS(F_Inputs!F:F,F_inputs_ID,'Company data'!$C36,F_inputs_company,'Company data'!$E36)*thousand</f>
        <v>319806</v>
      </c>
      <c r="H36" s="115">
        <f>SUMIFS(F_Inputs!G:G,F_inputs_ID,'Company data'!$C36,F_inputs_company,'Company data'!$E36)*thousand</f>
        <v>322371</v>
      </c>
      <c r="I36" s="115">
        <f>SUMIFS(F_Inputs!H:H,F_inputs_ID,'Company data'!$C36,F_inputs_company,'Company data'!$E36)*thousand</f>
        <v>324871</v>
      </c>
      <c r="J36" s="115">
        <f>SUMIFS(F_Inputs!I:I,F_inputs_ID,'Company data'!$C36,F_inputs_company,'Company data'!$E36)*thousand</f>
        <v>326787</v>
      </c>
      <c r="K36" s="115">
        <f>SUMIFS(F_Inputs!J:J,F_inputs_ID,'Company data'!$C36,F_inputs_company,'Company data'!$E36)*thousand</f>
        <v>328671</v>
      </c>
      <c r="L36" s="115">
        <f>SUMIFS(F_Inputs!K:K,F_inputs_ID,'Company data'!$C36,F_inputs_company,'Company data'!$E36)*thousand</f>
        <v>303568</v>
      </c>
      <c r="M36" s="115">
        <f>SUMIFS(F_Inputs!L:L,F_inputs_ID,'Company data'!$C36,F_inputs_company,'Company data'!$E36)*thousand</f>
        <v>332502</v>
      </c>
      <c r="N36" s="115">
        <f>SUMIFS(F_Inputs!M:M,F_inputs_ID,'Company data'!$C36,F_inputs_company,'Company data'!$E36)*thousand</f>
        <v>334500</v>
      </c>
      <c r="O36" s="31"/>
      <c r="P36" s="31"/>
      <c r="Q36" s="31"/>
      <c r="R36" s="31"/>
      <c r="S36" s="31"/>
      <c r="T36" s="31"/>
      <c r="U36" s="31"/>
      <c r="V36" s="31"/>
      <c r="W36" s="31"/>
      <c r="X36" s="31"/>
    </row>
    <row r="37" spans="1:24" x14ac:dyDescent="0.25">
      <c r="A37" s="31"/>
      <c r="B37" s="31"/>
      <c r="C37" s="9" t="s">
        <v>483</v>
      </c>
      <c r="D37" s="31" t="s">
        <v>165</v>
      </c>
      <c r="E37" s="31" t="s">
        <v>165</v>
      </c>
      <c r="F37" s="31" t="s">
        <v>500</v>
      </c>
      <c r="G37" s="115">
        <f>SUMIFS(F_Inputs!F:F,F_inputs_ID,'Company data'!$C37,F_inputs_company,'Company data'!$E37)*thousand</f>
        <v>291352</v>
      </c>
      <c r="H37" s="115">
        <f>SUMIFS(F_Inputs!G:G,F_inputs_ID,'Company data'!$C37,F_inputs_company,'Company data'!$E37)*thousand</f>
        <v>295036</v>
      </c>
      <c r="I37" s="115">
        <f>SUMIFS(F_Inputs!H:H,F_inputs_ID,'Company data'!$C37,F_inputs_company,'Company data'!$E37)*thousand</f>
        <v>297091.5</v>
      </c>
      <c r="J37" s="115">
        <f>SUMIFS(F_Inputs!I:I,F_inputs_ID,'Company data'!$C37,F_inputs_company,'Company data'!$E37)*thousand</f>
        <v>299074</v>
      </c>
      <c r="K37" s="115">
        <f>SUMIFS(F_Inputs!J:J,F_inputs_ID,'Company data'!$C37,F_inputs_company,'Company data'!$E37)*thousand</f>
        <v>301150.5</v>
      </c>
      <c r="L37" s="115">
        <f>SUMIFS(F_Inputs!K:K,F_inputs_ID,'Company data'!$C37,F_inputs_company,'Company data'!$E37)*thousand</f>
        <v>303337.5</v>
      </c>
      <c r="M37" s="115">
        <f>SUMIFS(F_Inputs!L:L,F_inputs_ID,'Company data'!$C37,F_inputs_company,'Company data'!$E37)*thousand</f>
        <v>305583.5</v>
      </c>
      <c r="N37" s="115">
        <f>SUMIFS(F_Inputs!M:M,F_inputs_ID,'Company data'!$C37,F_inputs_company,'Company data'!$E37)*thousand</f>
        <v>308044.5</v>
      </c>
      <c r="O37" s="31"/>
      <c r="P37" s="31"/>
      <c r="Q37" s="31"/>
      <c r="R37" s="31"/>
      <c r="S37" s="31"/>
      <c r="T37" s="31"/>
      <c r="U37" s="31"/>
      <c r="V37" s="31"/>
      <c r="W37" s="31"/>
      <c r="X37" s="31"/>
    </row>
    <row r="38" spans="1:24" x14ac:dyDescent="0.25">
      <c r="A38" s="31"/>
      <c r="B38" s="31"/>
      <c r="C38" s="9" t="s">
        <v>483</v>
      </c>
      <c r="D38" s="31" t="s">
        <v>241</v>
      </c>
      <c r="E38" s="31" t="s">
        <v>241</v>
      </c>
      <c r="F38" s="31" t="s">
        <v>500</v>
      </c>
      <c r="G38" s="115">
        <f>SUMIFS(F_Inputs!F:F,F_inputs_ID,'Company data'!$C38,F_inputs_company,'Company data'!$E38)*thousand</f>
        <v>1013178</v>
      </c>
      <c r="H38" s="115">
        <f>SUMIFS(F_Inputs!G:G,F_inputs_ID,'Company data'!$C38,F_inputs_company,'Company data'!$E38)*thousand</f>
        <v>1017451.0776439101</v>
      </c>
      <c r="I38" s="115">
        <f>SUMIFS(F_Inputs!H:H,F_inputs_ID,'Company data'!$C38,F_inputs_company,'Company data'!$E38)*thousand</f>
        <v>1027222.4966532799</v>
      </c>
      <c r="J38" s="115">
        <f>SUMIFS(F_Inputs!I:I,F_inputs_ID,'Company data'!$C38,F_inputs_company,'Company data'!$E38)*thousand</f>
        <v>1037273.09906292</v>
      </c>
      <c r="K38" s="115">
        <f>SUMIFS(F_Inputs!J:J,F_inputs_ID,'Company data'!$C38,F_inputs_company,'Company data'!$E38)*thousand</f>
        <v>1047474.4511378799</v>
      </c>
      <c r="L38" s="115">
        <f>SUMIFS(F_Inputs!K:K,F_inputs_ID,'Company data'!$C38,F_inputs_company,'Company data'!$E38)*thousand</f>
        <v>1057828.7751004</v>
      </c>
      <c r="M38" s="115">
        <f>SUMIFS(F_Inputs!L:L,F_inputs_ID,'Company data'!$C38,F_inputs_company,'Company data'!$E38)*thousand</f>
        <v>1068338.38688086</v>
      </c>
      <c r="N38" s="115">
        <f>SUMIFS(F_Inputs!M:M,F_inputs_ID,'Company data'!$C38,F_inputs_company,'Company data'!$E38)*thousand</f>
        <v>1079005.4149933101</v>
      </c>
      <c r="O38" s="31"/>
      <c r="P38" s="31"/>
      <c r="Q38" s="31"/>
      <c r="R38" s="31"/>
      <c r="S38" s="31"/>
      <c r="T38" s="31"/>
      <c r="U38" s="31"/>
      <c r="V38" s="31"/>
      <c r="W38" s="31"/>
      <c r="X38" s="31"/>
    </row>
    <row r="39" spans="1:24" x14ac:dyDescent="0.25">
      <c r="A39" s="31"/>
      <c r="B39" s="31"/>
      <c r="C39" s="9" t="s">
        <v>483</v>
      </c>
      <c r="D39" s="31" t="s">
        <v>205</v>
      </c>
      <c r="E39" s="31" t="s">
        <v>205</v>
      </c>
      <c r="F39" s="31" t="s">
        <v>500</v>
      </c>
      <c r="G39" s="115">
        <f>SUMIFS(F_Inputs!F:F,F_inputs_ID,'Company data'!$C39,F_inputs_company,'Company data'!$E39)*thousand</f>
        <v>1114160</v>
      </c>
      <c r="H39" s="115">
        <f>SUMIFS(F_Inputs!G:G,F_inputs_ID,'Company data'!$C39,F_inputs_company,'Company data'!$E39)*thousand</f>
        <v>1121889</v>
      </c>
      <c r="I39" s="115">
        <f>SUMIFS(F_Inputs!H:H,F_inputs_ID,'Company data'!$C39,F_inputs_company,'Company data'!$E39)*thousand</f>
        <v>1129319</v>
      </c>
      <c r="J39" s="115">
        <f>SUMIFS(F_Inputs!I:I,F_inputs_ID,'Company data'!$C39,F_inputs_company,'Company data'!$E39)*thousand</f>
        <v>1143215</v>
      </c>
      <c r="K39" s="115">
        <f>SUMIFS(F_Inputs!J:J,F_inputs_ID,'Company data'!$C39,F_inputs_company,'Company data'!$E39)*thousand</f>
        <v>1156473</v>
      </c>
      <c r="L39" s="115">
        <f>SUMIFS(F_Inputs!K:K,F_inputs_ID,'Company data'!$C39,F_inputs_company,'Company data'!$E39)*thousand</f>
        <v>1169369</v>
      </c>
      <c r="M39" s="115">
        <f>SUMIFS(F_Inputs!L:L,F_inputs_ID,'Company data'!$C39,F_inputs_company,'Company data'!$E39)*thousand</f>
        <v>1182151</v>
      </c>
      <c r="N39" s="115">
        <f>SUMIFS(F_Inputs!M:M,F_inputs_ID,'Company data'!$C39,F_inputs_company,'Company data'!$E39)*thousand</f>
        <v>1194283</v>
      </c>
      <c r="O39" s="31"/>
      <c r="P39" s="31"/>
      <c r="Q39" s="31"/>
      <c r="R39" s="31"/>
      <c r="S39" s="31"/>
      <c r="T39" s="31"/>
      <c r="U39" s="31"/>
      <c r="V39" s="31"/>
      <c r="W39" s="31"/>
      <c r="X39" s="31"/>
    </row>
    <row r="40" spans="1:24" x14ac:dyDescent="0.25">
      <c r="A40" s="31"/>
      <c r="B40" s="31"/>
      <c r="C40" s="9" t="s">
        <v>483</v>
      </c>
      <c r="D40" s="31" t="s">
        <v>244</v>
      </c>
      <c r="E40" s="31" t="s">
        <v>297</v>
      </c>
      <c r="F40" s="31" t="s">
        <v>500</v>
      </c>
      <c r="G40" s="115">
        <f>SUMIFS(F_Inputs!F:F,F_inputs_ID,'Company data'!$C40,F_inputs_company,'Company data'!$E40)*thousand</f>
        <v>591235</v>
      </c>
      <c r="H40" s="115">
        <f>SUMIFS(F_Inputs!G:G,F_inputs_ID,'Company data'!$C40,F_inputs_company,'Company data'!$E40)*thousand</f>
        <v>597540</v>
      </c>
      <c r="I40" s="115">
        <f>SUMIFS(F_Inputs!H:H,F_inputs_ID,'Company data'!$C40,F_inputs_company,'Company data'!$E40)*thousand</f>
        <v>603973</v>
      </c>
      <c r="J40" s="115">
        <f>SUMIFS(F_Inputs!I:I,F_inputs_ID,'Company data'!$C40,F_inputs_company,'Company data'!$E40)*thousand</f>
        <v>610210</v>
      </c>
      <c r="K40" s="115">
        <f>SUMIFS(F_Inputs!J:J,F_inputs_ID,'Company data'!$C40,F_inputs_company,'Company data'!$E40)*thousand</f>
        <v>616098</v>
      </c>
      <c r="L40" s="115">
        <f>SUMIFS(F_Inputs!K:K,F_inputs_ID,'Company data'!$C40,F_inputs_company,'Company data'!$E40)*thousand</f>
        <v>621983</v>
      </c>
      <c r="M40" s="115">
        <f>SUMIFS(F_Inputs!L:L,F_inputs_ID,'Company data'!$C40,F_inputs_company,'Company data'!$E40)*thousand</f>
        <v>627644</v>
      </c>
      <c r="N40" s="115">
        <f>SUMIFS(F_Inputs!M:M,F_inputs_ID,'Company data'!$C40,F_inputs_company,'Company data'!$E40)*thousand</f>
        <v>633097</v>
      </c>
      <c r="O40" s="31"/>
      <c r="P40" s="31"/>
      <c r="Q40" s="31"/>
      <c r="R40" s="31"/>
      <c r="S40" s="31"/>
      <c r="T40" s="31"/>
      <c r="U40" s="31"/>
      <c r="V40" s="31"/>
      <c r="W40" s="31"/>
      <c r="X40" s="31"/>
    </row>
    <row r="41" spans="1:24" x14ac:dyDescent="0.25">
      <c r="A41" s="31"/>
      <c r="B41" s="31"/>
      <c r="C41" s="9" t="s">
        <v>487</v>
      </c>
      <c r="D41" s="31" t="s">
        <v>246</v>
      </c>
      <c r="E41" s="31" t="s">
        <v>297</v>
      </c>
      <c r="F41" s="31" t="s">
        <v>500</v>
      </c>
      <c r="G41" s="115">
        <f>SUMIFS(F_Inputs!F:F,F_inputs_ID,'Company data'!$C41,F_inputs_company,'Company data'!$E41)*thousand</f>
        <v>144623</v>
      </c>
      <c r="H41" s="115">
        <f>SUMIFS(F_Inputs!G:G,F_inputs_ID,'Company data'!$C41,F_inputs_company,'Company data'!$E41)*thousand</f>
        <v>147304</v>
      </c>
      <c r="I41" s="115">
        <f>SUMIFS(F_Inputs!H:H,F_inputs_ID,'Company data'!$C41,F_inputs_company,'Company data'!$E41)*thousand</f>
        <v>149975</v>
      </c>
      <c r="J41" s="115">
        <f>SUMIFS(F_Inputs!I:I,F_inputs_ID,'Company data'!$C41,F_inputs_company,'Company data'!$E41)*thousand</f>
        <v>152647</v>
      </c>
      <c r="K41" s="115">
        <f>SUMIFS(F_Inputs!J:J,F_inputs_ID,'Company data'!$C41,F_inputs_company,'Company data'!$E41)*thousand</f>
        <v>155198</v>
      </c>
      <c r="L41" s="115">
        <f>SUMIFS(F_Inputs!K:K,F_inputs_ID,'Company data'!$C41,F_inputs_company,'Company data'!$E41)*thousand</f>
        <v>157367</v>
      </c>
      <c r="M41" s="115">
        <f>SUMIFS(F_Inputs!L:L,F_inputs_ID,'Company data'!$C41,F_inputs_company,'Company data'!$E41)*thousand</f>
        <v>159526</v>
      </c>
      <c r="N41" s="115">
        <f>SUMIFS(F_Inputs!M:M,F_inputs_ID,'Company data'!$C41,F_inputs_company,'Company data'!$E41)*thousand</f>
        <v>161695</v>
      </c>
      <c r="O41" s="31"/>
      <c r="P41" s="31"/>
      <c r="Q41" s="31"/>
      <c r="R41" s="31"/>
      <c r="S41" s="31"/>
      <c r="T41" s="31"/>
      <c r="U41" s="31"/>
      <c r="V41" s="31"/>
      <c r="W41" s="31"/>
      <c r="X41" s="31"/>
    </row>
    <row r="42" spans="1:24" x14ac:dyDescent="0.25">
      <c r="A42" s="31"/>
      <c r="B42" s="31"/>
      <c r="C42" s="9" t="s">
        <v>483</v>
      </c>
      <c r="D42" s="31" t="s">
        <v>198</v>
      </c>
      <c r="E42" s="31" t="s">
        <v>198</v>
      </c>
      <c r="F42" s="31" t="s">
        <v>500</v>
      </c>
      <c r="G42" s="115">
        <f>SUMIFS(F_Inputs!F:F,F_inputs_ID,'Company data'!$C42,F_inputs_company,'Company data'!$E42)*thousand</f>
        <v>3612193</v>
      </c>
      <c r="H42" s="115">
        <f>SUMIFS(F_Inputs!G:G,F_inputs_ID,'Company data'!$C42,F_inputs_company,'Company data'!$E42)*thousand</f>
        <v>3635718</v>
      </c>
      <c r="I42" s="115">
        <f>SUMIFS(F_Inputs!H:H,F_inputs_ID,'Company data'!$C42,F_inputs_company,'Company data'!$E42)*thousand</f>
        <v>3655568</v>
      </c>
      <c r="J42" s="115">
        <f>SUMIFS(F_Inputs!I:I,F_inputs_ID,'Company data'!$C42,F_inputs_company,'Company data'!$E42)*thousand</f>
        <v>3675808</v>
      </c>
      <c r="K42" s="115">
        <f>SUMIFS(F_Inputs!J:J,F_inputs_ID,'Company data'!$C42,F_inputs_company,'Company data'!$E42)*thousand</f>
        <v>3697557</v>
      </c>
      <c r="L42" s="115">
        <f>SUMIFS(F_Inputs!K:K,F_inputs_ID,'Company data'!$C42,F_inputs_company,'Company data'!$E42)*thousand</f>
        <v>3720721</v>
      </c>
      <c r="M42" s="115">
        <f>SUMIFS(F_Inputs!L:L,F_inputs_ID,'Company data'!$C42,F_inputs_company,'Company data'!$E42)*thousand</f>
        <v>3744301</v>
      </c>
      <c r="N42" s="115">
        <f>SUMIFS(F_Inputs!M:M,F_inputs_ID,'Company data'!$C42,F_inputs_company,'Company data'!$E42)*thousand</f>
        <v>3768295</v>
      </c>
      <c r="O42" s="31"/>
      <c r="P42" s="31"/>
      <c r="Q42" s="31"/>
      <c r="R42" s="31"/>
      <c r="S42" s="31"/>
      <c r="T42" s="31"/>
      <c r="U42" s="31"/>
      <c r="V42" s="31"/>
      <c r="W42" s="31"/>
      <c r="X42" s="31"/>
    </row>
    <row r="43" spans="1:24" x14ac:dyDescent="0.25">
      <c r="A43" s="31"/>
      <c r="B43" s="31"/>
      <c r="C43" s="9" t="s">
        <v>483</v>
      </c>
      <c r="D43" s="31" t="s">
        <v>167</v>
      </c>
      <c r="E43" s="31" t="s">
        <v>167</v>
      </c>
      <c r="F43" s="31" t="s">
        <v>500</v>
      </c>
      <c r="G43" s="115">
        <f>SUMIFS(F_Inputs!F:F,F_inputs_ID,'Company data'!$C43,F_inputs_company,'Company data'!$E43)*thousand</f>
        <v>1044365</v>
      </c>
      <c r="H43" s="115">
        <f>SUMIFS(F_Inputs!G:G,F_inputs_ID,'Company data'!$C43,F_inputs_company,'Company data'!$E43)*thousand</f>
        <v>1054403.1361593599</v>
      </c>
      <c r="I43" s="115">
        <f>SUMIFS(F_Inputs!H:H,F_inputs_ID,'Company data'!$C43,F_inputs_company,'Company data'!$E43)*thousand</f>
        <v>1063810.81262999</v>
      </c>
      <c r="J43" s="115">
        <f>SUMIFS(F_Inputs!I:I,F_inputs_ID,'Company data'!$C43,F_inputs_company,'Company data'!$E43)*thousand</f>
        <v>1073170.55233572</v>
      </c>
      <c r="K43" s="115">
        <f>SUMIFS(F_Inputs!J:J,F_inputs_ID,'Company data'!$C43,F_inputs_company,'Company data'!$E43)*thousand</f>
        <v>1082443.0438330502</v>
      </c>
      <c r="L43" s="115">
        <f>SUMIFS(F_Inputs!K:K,F_inputs_ID,'Company data'!$C43,F_inputs_company,'Company data'!$E43)*thousand</f>
        <v>1091662.1181744998</v>
      </c>
      <c r="M43" s="115">
        <f>SUMIFS(F_Inputs!L:L,F_inputs_ID,'Company data'!$C43,F_inputs_company,'Company data'!$E43)*thousand</f>
        <v>1100864.00360347</v>
      </c>
      <c r="N43" s="115">
        <f>SUMIFS(F_Inputs!M:M,F_inputs_ID,'Company data'!$C43,F_inputs_company,'Company data'!$E43)*thousand</f>
        <v>1109942.7233026898</v>
      </c>
      <c r="O43" s="31"/>
      <c r="P43" s="31"/>
      <c r="Q43" s="31"/>
      <c r="R43" s="31"/>
      <c r="S43" s="31"/>
      <c r="T43" s="31"/>
      <c r="U43" s="31"/>
      <c r="V43" s="31"/>
      <c r="W43" s="31"/>
      <c r="X43" s="31"/>
    </row>
    <row r="44" spans="1:24" x14ac:dyDescent="0.25">
      <c r="A44" s="31"/>
      <c r="B44" s="31"/>
      <c r="C44" s="9" t="s">
        <v>483</v>
      </c>
      <c r="D44" s="31" t="s">
        <v>249</v>
      </c>
      <c r="E44" s="31" t="s">
        <v>249</v>
      </c>
      <c r="F44" s="31" t="s">
        <v>500</v>
      </c>
      <c r="G44" s="115">
        <f>SUMIFS(F_Inputs!F:F,F_inputs_ID,'Company data'!$C44,F_inputs_company,'Company data'!$E44)*thousand</f>
        <v>3826422</v>
      </c>
      <c r="H44" s="115">
        <f>SUMIFS(F_Inputs!G:G,F_inputs_ID,'Company data'!$C44,F_inputs_company,'Company data'!$E44)*thousand</f>
        <v>3998468.5708761397</v>
      </c>
      <c r="I44" s="115">
        <f>SUMIFS(F_Inputs!H:H,F_inputs_ID,'Company data'!$C44,F_inputs_company,'Company data'!$E44)*thousand</f>
        <v>4047030.9935697201</v>
      </c>
      <c r="J44" s="115">
        <f>SUMIFS(F_Inputs!I:I,F_inputs_ID,'Company data'!$C44,F_inputs_company,'Company data'!$E44)*thousand</f>
        <v>4094735.0357331201</v>
      </c>
      <c r="K44" s="115">
        <f>SUMIFS(F_Inputs!J:J,F_inputs_ID,'Company data'!$C44,F_inputs_company,'Company data'!$E44)*thousand</f>
        <v>4139874.2539067599</v>
      </c>
      <c r="L44" s="115">
        <f>SUMIFS(F_Inputs!K:K,F_inputs_ID,'Company data'!$C44,F_inputs_company,'Company data'!$E44)*thousand</f>
        <v>4181830.5665547694</v>
      </c>
      <c r="M44" s="115">
        <f>SUMIFS(F_Inputs!L:L,F_inputs_ID,'Company data'!$C44,F_inputs_company,'Company data'!$E44)*thousand</f>
        <v>4222598.8756330395</v>
      </c>
      <c r="N44" s="115">
        <f>SUMIFS(F_Inputs!M:M,F_inputs_ID,'Company data'!$C44,F_inputs_company,'Company data'!$E44)*thousand</f>
        <v>4262568.2979499493</v>
      </c>
      <c r="O44" s="31"/>
      <c r="P44" s="31"/>
      <c r="Q44" s="31"/>
      <c r="R44" s="31"/>
      <c r="S44" s="31"/>
      <c r="T44" s="31"/>
      <c r="U44" s="31"/>
      <c r="V44" s="31"/>
      <c r="W44" s="31"/>
      <c r="X44" s="31"/>
    </row>
    <row r="45" spans="1:24" x14ac:dyDescent="0.25">
      <c r="A45" s="31"/>
      <c r="B45" s="31"/>
      <c r="C45" s="9" t="s">
        <v>483</v>
      </c>
      <c r="D45" s="31" t="s">
        <v>190</v>
      </c>
      <c r="E45" s="31" t="s">
        <v>501</v>
      </c>
      <c r="F45" s="31" t="s">
        <v>500</v>
      </c>
      <c r="G45" s="115">
        <f>SUMIFS(F_Inputs!F:F,F_inputs_ID,'Company data'!$C45,F_inputs_company,'Company data'!$E45)*thousand</f>
        <v>3313187</v>
      </c>
      <c r="H45" s="115">
        <f>SUMIFS(F_Inputs!G:G,F_inputs_ID,'Company data'!$C45,F_inputs_company,'Company data'!$E45)*thousand</f>
        <v>3333582.9862270597</v>
      </c>
      <c r="I45" s="115">
        <f>SUMIFS(F_Inputs!H:H,F_inputs_ID,'Company data'!$C45,F_inputs_company,'Company data'!$E45)*thousand</f>
        <v>3353758.9060355397</v>
      </c>
      <c r="J45" s="115">
        <f>SUMIFS(F_Inputs!I:I,F_inputs_ID,'Company data'!$C45,F_inputs_company,'Company data'!$E45)*thousand</f>
        <v>3375882.7119435598</v>
      </c>
      <c r="K45" s="115">
        <f>SUMIFS(F_Inputs!J:J,F_inputs_ID,'Company data'!$C45,F_inputs_company,'Company data'!$E45)*thousand</f>
        <v>3399566.0846273801</v>
      </c>
      <c r="L45" s="115">
        <f>SUMIFS(F_Inputs!K:K,F_inputs_ID,'Company data'!$C45,F_inputs_company,'Company data'!$E45)*thousand</f>
        <v>3423795.0089276503</v>
      </c>
      <c r="M45" s="115">
        <f>SUMIFS(F_Inputs!L:L,F_inputs_ID,'Company data'!$C45,F_inputs_company,'Company data'!$E45)*thousand</f>
        <v>3449110.4073376101</v>
      </c>
      <c r="N45" s="115">
        <f>SUMIFS(F_Inputs!M:M,F_inputs_ID,'Company data'!$C45,F_inputs_company,'Company data'!$E45)*thousand</f>
        <v>3475502.3599735498</v>
      </c>
      <c r="O45" s="31"/>
      <c r="P45" s="31"/>
      <c r="Q45" s="31"/>
      <c r="R45" s="31"/>
      <c r="S45" s="31"/>
      <c r="T45" s="31"/>
      <c r="U45" s="31"/>
      <c r="V45" s="31"/>
      <c r="W45" s="31"/>
      <c r="X45" s="31"/>
    </row>
    <row r="46" spans="1:24" x14ac:dyDescent="0.25">
      <c r="A46" s="31"/>
      <c r="B46" s="31"/>
      <c r="C46" s="9" t="s">
        <v>483</v>
      </c>
      <c r="D46" s="31" t="s">
        <v>252</v>
      </c>
      <c r="E46" s="31" t="s">
        <v>252</v>
      </c>
      <c r="F46" s="31" t="s">
        <v>500</v>
      </c>
      <c r="G46" s="115">
        <f>SUMIFS(F_Inputs!F:F,F_inputs_ID,'Company data'!$C46,F_inputs_company,'Company data'!$E46)*thousand</f>
        <v>1433501</v>
      </c>
      <c r="H46" s="115">
        <f>SUMIFS(F_Inputs!G:G,F_inputs_ID,'Company data'!$C46,F_inputs_company,'Company data'!$E46)*thousand</f>
        <v>1438892</v>
      </c>
      <c r="I46" s="115">
        <f>SUMIFS(F_Inputs!H:H,F_inputs_ID,'Company data'!$C46,F_inputs_company,'Company data'!$E46)*thousand</f>
        <v>1447454</v>
      </c>
      <c r="J46" s="115">
        <f>SUMIFS(F_Inputs!I:I,F_inputs_ID,'Company data'!$C46,F_inputs_company,'Company data'!$E46)*thousand</f>
        <v>1456235</v>
      </c>
      <c r="K46" s="115">
        <f>SUMIFS(F_Inputs!J:J,F_inputs_ID,'Company data'!$C46,F_inputs_company,'Company data'!$E46)*thousand</f>
        <v>1465168</v>
      </c>
      <c r="L46" s="115">
        <f>SUMIFS(F_Inputs!K:K,F_inputs_ID,'Company data'!$C46,F_inputs_company,'Company data'!$E46)*thousand</f>
        <v>1474250</v>
      </c>
      <c r="M46" s="115">
        <f>SUMIFS(F_Inputs!L:L,F_inputs_ID,'Company data'!$C46,F_inputs_company,'Company data'!$E46)*thousand</f>
        <v>1483370</v>
      </c>
      <c r="N46" s="115">
        <f>SUMIFS(F_Inputs!M:M,F_inputs_ID,'Company data'!$C46,F_inputs_company,'Company data'!$E46)*thousand</f>
        <v>1492524</v>
      </c>
      <c r="O46" s="31"/>
      <c r="P46" s="31"/>
      <c r="Q46" s="31"/>
      <c r="R46" s="31"/>
      <c r="S46" s="31"/>
      <c r="T46" s="31"/>
      <c r="U46" s="31"/>
      <c r="V46" s="31"/>
      <c r="W46" s="31"/>
      <c r="X46" s="31"/>
    </row>
    <row r="47" spans="1:24" x14ac:dyDescent="0.25">
      <c r="A47" s="31"/>
      <c r="B47" s="31"/>
      <c r="C47" s="9" t="s">
        <v>483</v>
      </c>
      <c r="D47" s="31" t="s">
        <v>169</v>
      </c>
      <c r="E47" s="31" t="s">
        <v>169</v>
      </c>
      <c r="F47" s="31" t="s">
        <v>500</v>
      </c>
      <c r="G47" s="115">
        <f>SUMIFS(F_Inputs!F:F,F_inputs_ID,'Company data'!$C47,F_inputs_company,'Company data'!$E47)*thousand</f>
        <v>615408</v>
      </c>
      <c r="H47" s="115">
        <f>SUMIFS(F_Inputs!G:G,F_inputs_ID,'Company data'!$C47,F_inputs_company,'Company data'!$E47)*thousand</f>
        <v>623314</v>
      </c>
      <c r="I47" s="115">
        <f>SUMIFS(F_Inputs!H:H,F_inputs_ID,'Company data'!$C47,F_inputs_company,'Company data'!$E47)*thousand</f>
        <v>629671</v>
      </c>
      <c r="J47" s="115">
        <f>SUMIFS(F_Inputs!I:I,F_inputs_ID,'Company data'!$C47,F_inputs_company,'Company data'!$E47)*thousand</f>
        <v>636075</v>
      </c>
      <c r="K47" s="115">
        <f>SUMIFS(F_Inputs!J:J,F_inputs_ID,'Company data'!$C47,F_inputs_company,'Company data'!$E47)*thousand</f>
        <v>642428</v>
      </c>
      <c r="L47" s="115">
        <f>SUMIFS(F_Inputs!K:K,F_inputs_ID,'Company data'!$C47,F_inputs_company,'Company data'!$E47)*thousand</f>
        <v>648560</v>
      </c>
      <c r="M47" s="115">
        <f>SUMIFS(F_Inputs!L:L,F_inputs_ID,'Company data'!$C47,F_inputs_company,'Company data'!$E47)*thousand</f>
        <v>654467</v>
      </c>
      <c r="N47" s="115">
        <f>SUMIFS(F_Inputs!M:M,F_inputs_ID,'Company data'!$C47,F_inputs_company,'Company data'!$E47)*thousand</f>
        <v>660203</v>
      </c>
      <c r="O47" s="31"/>
      <c r="P47" s="31"/>
      <c r="Q47" s="31"/>
      <c r="R47" s="31"/>
      <c r="S47" s="31"/>
      <c r="T47" s="31"/>
      <c r="U47" s="31"/>
      <c r="V47" s="31"/>
      <c r="W47" s="31"/>
      <c r="X47" s="31"/>
    </row>
    <row r="48" spans="1:24" x14ac:dyDescent="0.25">
      <c r="A48" s="31"/>
      <c r="B48" s="31"/>
      <c r="C48" s="9" t="s">
        <v>483</v>
      </c>
      <c r="D48" s="31" t="s">
        <v>171</v>
      </c>
      <c r="E48" s="31" t="s">
        <v>171</v>
      </c>
      <c r="F48" s="31" t="s">
        <v>500</v>
      </c>
      <c r="G48" s="115">
        <f>SUMIFS(F_Inputs!F:F,F_inputs_ID,'Company data'!$C48,F_inputs_company,'Company data'!$E48)*thousand</f>
        <v>2305318</v>
      </c>
      <c r="H48" s="115">
        <f>SUMIFS(F_Inputs!G:G,F_inputs_ID,'Company data'!$C48,F_inputs_company,'Company data'!$E48)*thousand</f>
        <v>2311352.28615813</v>
      </c>
      <c r="I48" s="115">
        <f>SUMIFS(F_Inputs!H:H,F_inputs_ID,'Company data'!$C48,F_inputs_company,'Company data'!$E48)*thousand</f>
        <v>2325421.35409036</v>
      </c>
      <c r="J48" s="115">
        <f>SUMIFS(F_Inputs!I:I,F_inputs_ID,'Company data'!$C48,F_inputs_company,'Company data'!$E48)*thousand</f>
        <v>2347407.7730576801</v>
      </c>
      <c r="K48" s="115">
        <f>SUMIFS(F_Inputs!J:J,F_inputs_ID,'Company data'!$C48,F_inputs_company,'Company data'!$E48)*thousand</f>
        <v>2367792.5834623501</v>
      </c>
      <c r="L48" s="115">
        <f>SUMIFS(F_Inputs!K:K,F_inputs_ID,'Company data'!$C48,F_inputs_company,'Company data'!$E48)*thousand</f>
        <v>2388277.9908109</v>
      </c>
      <c r="M48" s="115">
        <f>SUMIFS(F_Inputs!L:L,F_inputs_ID,'Company data'!$C48,F_inputs_company,'Company data'!$E48)*thousand</f>
        <v>2408727.37654704</v>
      </c>
      <c r="N48" s="115">
        <f>SUMIFS(F_Inputs!M:M,F_inputs_ID,'Company data'!$C48,F_inputs_company,'Company data'!$E48)*thousand</f>
        <v>2429219.4492581002</v>
      </c>
      <c r="O48" s="31"/>
      <c r="P48" s="31"/>
      <c r="Q48" s="31"/>
      <c r="R48" s="31"/>
      <c r="S48" s="31"/>
      <c r="T48" s="31"/>
      <c r="U48" s="31"/>
      <c r="V48" s="31"/>
      <c r="W48" s="31"/>
      <c r="X48" s="31"/>
    </row>
    <row r="49" spans="1:24" x14ac:dyDescent="0.25">
      <c r="A49" s="9"/>
      <c r="B49" s="9"/>
      <c r="C49" s="9"/>
      <c r="D49" s="9"/>
      <c r="E49" s="9"/>
      <c r="F49" s="9"/>
      <c r="G49" s="31"/>
      <c r="H49" s="31"/>
      <c r="I49" s="31"/>
      <c r="J49" s="31"/>
      <c r="K49" s="31"/>
      <c r="L49" s="31"/>
      <c r="M49" s="31"/>
      <c r="N49" s="31"/>
      <c r="O49" s="9"/>
      <c r="P49" s="9"/>
      <c r="Q49" s="9"/>
      <c r="R49" s="9"/>
      <c r="S49" s="9"/>
      <c r="T49" s="9"/>
      <c r="U49" s="9"/>
      <c r="V49" s="9"/>
      <c r="W49" s="9"/>
      <c r="X49" s="9"/>
    </row>
    <row r="50" spans="1:24" ht="13.8" x14ac:dyDescent="0.3">
      <c r="A50" s="32" t="s">
        <v>502</v>
      </c>
      <c r="B50" s="32"/>
      <c r="C50" s="32"/>
      <c r="D50" s="32"/>
      <c r="E50" s="32"/>
      <c r="F50" s="32"/>
      <c r="G50" s="32"/>
      <c r="H50" s="32"/>
      <c r="I50" s="32"/>
      <c r="J50" s="32"/>
      <c r="K50" s="32"/>
      <c r="L50" s="32"/>
      <c r="M50" s="32"/>
      <c r="N50" s="32"/>
      <c r="O50" s="32"/>
      <c r="P50" s="32"/>
      <c r="Q50" s="32"/>
      <c r="R50" s="32"/>
      <c r="S50" s="32"/>
      <c r="T50" s="32"/>
      <c r="U50" s="32"/>
      <c r="V50" s="32"/>
      <c r="W50" s="32"/>
      <c r="X50" s="32"/>
    </row>
    <row r="52" spans="1:24" ht="15" x14ac:dyDescent="0.35">
      <c r="A52" s="9"/>
      <c r="B52" s="1" t="s">
        <v>503</v>
      </c>
      <c r="C52" s="9"/>
      <c r="D52" s="9"/>
      <c r="E52" s="9"/>
      <c r="F52" s="9"/>
      <c r="G52" s="9"/>
      <c r="H52" s="9"/>
      <c r="I52" s="9"/>
      <c r="J52" s="9"/>
      <c r="K52" s="9"/>
      <c r="L52" s="9"/>
      <c r="M52" s="9"/>
      <c r="N52" s="9"/>
      <c r="O52" s="9"/>
      <c r="P52" s="9"/>
      <c r="Q52" s="9"/>
      <c r="R52" s="9"/>
      <c r="S52" s="9"/>
      <c r="T52" s="9"/>
      <c r="U52" s="9"/>
      <c r="V52" s="9"/>
      <c r="W52" s="9"/>
      <c r="X52" s="9"/>
    </row>
    <row r="53" spans="1:24" x14ac:dyDescent="0.25">
      <c r="A53" s="9"/>
      <c r="B53" s="9"/>
      <c r="C53" s="9"/>
      <c r="D53" s="9"/>
      <c r="E53" s="9"/>
      <c r="F53" s="9"/>
      <c r="G53" s="9"/>
      <c r="H53" s="9"/>
      <c r="I53" s="9"/>
      <c r="J53" s="9"/>
      <c r="K53" s="9"/>
      <c r="L53" s="9"/>
      <c r="M53" s="9"/>
      <c r="N53" s="9"/>
      <c r="O53" s="9"/>
      <c r="P53" s="9"/>
      <c r="Q53" s="9"/>
      <c r="R53" s="9"/>
      <c r="S53" s="9"/>
      <c r="T53" s="9"/>
      <c r="U53" s="9"/>
      <c r="V53" s="9"/>
      <c r="W53" s="9"/>
      <c r="X53" s="9"/>
    </row>
    <row r="54" spans="1:24" x14ac:dyDescent="0.25">
      <c r="A54" s="31"/>
      <c r="B54" s="31"/>
      <c r="C54" s="31" t="s">
        <v>498</v>
      </c>
      <c r="D54" s="31" t="s">
        <v>150</v>
      </c>
      <c r="E54" s="31" t="s">
        <v>499</v>
      </c>
      <c r="F54" s="31" t="s">
        <v>151</v>
      </c>
      <c r="G54" s="9" t="s">
        <v>375</v>
      </c>
      <c r="H54" s="9" t="s">
        <v>376</v>
      </c>
      <c r="I54" s="9" t="s">
        <v>377</v>
      </c>
      <c r="J54" s="9" t="s">
        <v>174</v>
      </c>
      <c r="K54" s="9" t="s">
        <v>175</v>
      </c>
      <c r="L54" s="9" t="s">
        <v>176</v>
      </c>
      <c r="M54" s="9" t="s">
        <v>177</v>
      </c>
      <c r="N54" s="9" t="s">
        <v>178</v>
      </c>
      <c r="O54" s="31"/>
      <c r="P54" s="31"/>
      <c r="Q54" s="31"/>
      <c r="R54" s="31"/>
      <c r="S54" s="31"/>
      <c r="T54" s="31"/>
      <c r="U54" s="31"/>
      <c r="V54" s="31"/>
      <c r="W54" s="31"/>
      <c r="X54" s="31"/>
    </row>
    <row r="55" spans="1:24" x14ac:dyDescent="0.25">
      <c r="A55" s="31"/>
      <c r="B55" s="31"/>
      <c r="C55" s="9" t="s">
        <v>485</v>
      </c>
      <c r="D55" s="31" t="s">
        <v>231</v>
      </c>
      <c r="E55" s="31" t="s">
        <v>231</v>
      </c>
      <c r="F55" s="31" t="s">
        <v>504</v>
      </c>
      <c r="G55" s="115">
        <f>SUMIFS(F_Inputs!F:F,F_inputs_ID,'Company data'!$C55,F_inputs_company,'Company data'!$E55)</f>
        <v>16683</v>
      </c>
      <c r="H55" s="115">
        <f>SUMIFS(F_Inputs!G:G,F_inputs_ID,'Company data'!$C55,F_inputs_company,'Company data'!$E55)</f>
        <v>16730</v>
      </c>
      <c r="I55" s="115">
        <f>SUMIFS(F_Inputs!H:H,F_inputs_ID,'Company data'!$C55,F_inputs_company,'Company data'!$E55)</f>
        <v>16770</v>
      </c>
      <c r="J55" s="115">
        <f>SUMIFS(F_Inputs!I:I,F_inputs_ID,'Company data'!$C55,F_inputs_company,'Company data'!$E55)</f>
        <v>16819</v>
      </c>
      <c r="K55" s="115">
        <f>SUMIFS(F_Inputs!J:J,F_inputs_ID,'Company data'!$C55,F_inputs_company,'Company data'!$E55)</f>
        <v>16868</v>
      </c>
      <c r="L55" s="115">
        <f>SUMIFS(F_Inputs!K:K,F_inputs_ID,'Company data'!$C55,F_inputs_company,'Company data'!$E55)</f>
        <v>16917</v>
      </c>
      <c r="M55" s="115">
        <f>SUMIFS(F_Inputs!L:L,F_inputs_ID,'Company data'!$C55,F_inputs_company,'Company data'!$E55)</f>
        <v>16979</v>
      </c>
      <c r="N55" s="115">
        <f>SUMIFS(F_Inputs!M:M,F_inputs_ID,'Company data'!$C55,F_inputs_company,'Company data'!$E55)</f>
        <v>17028</v>
      </c>
      <c r="O55" s="31"/>
      <c r="P55" s="31"/>
      <c r="Q55" s="31"/>
      <c r="R55" s="31"/>
      <c r="S55" s="31"/>
      <c r="T55" s="31"/>
      <c r="U55" s="31"/>
      <c r="V55" s="31"/>
      <c r="W55" s="31"/>
      <c r="X55" s="31"/>
    </row>
    <row r="56" spans="1:24" x14ac:dyDescent="0.25">
      <c r="A56" s="31"/>
      <c r="B56" s="31"/>
      <c r="C56" s="9" t="s">
        <v>485</v>
      </c>
      <c r="D56" s="31" t="s">
        <v>157</v>
      </c>
      <c r="E56" s="31" t="s">
        <v>157</v>
      </c>
      <c r="F56" s="31" t="s">
        <v>504</v>
      </c>
      <c r="G56" s="115">
        <f>SUMIFS(F_Inputs!F:F,F_inputs_ID,'Company data'!$C56,F_inputs_company,'Company data'!$E56)</f>
        <v>38420</v>
      </c>
      <c r="H56" s="115">
        <f>SUMIFS(F_Inputs!G:G,F_inputs_ID,'Company data'!$C56,F_inputs_company,'Company data'!$E56)</f>
        <v>38631</v>
      </c>
      <c r="I56" s="115">
        <f>SUMIFS(F_Inputs!H:H,F_inputs_ID,'Company data'!$C56,F_inputs_company,'Company data'!$E56)</f>
        <v>38853</v>
      </c>
      <c r="J56" s="115">
        <f>SUMIFS(F_Inputs!I:I,F_inputs_ID,'Company data'!$C56,F_inputs_company,'Company data'!$E56)</f>
        <v>39072</v>
      </c>
      <c r="K56" s="115">
        <f>SUMIFS(F_Inputs!J:J,F_inputs_ID,'Company data'!$C56,F_inputs_company,'Company data'!$E56)</f>
        <v>39272</v>
      </c>
      <c r="L56" s="115">
        <f>SUMIFS(F_Inputs!K:K,F_inputs_ID,'Company data'!$C56,F_inputs_company,'Company data'!$E56)</f>
        <v>39449</v>
      </c>
      <c r="M56" s="115">
        <f>SUMIFS(F_Inputs!L:L,F_inputs_ID,'Company data'!$C56,F_inputs_company,'Company data'!$E56)</f>
        <v>39619</v>
      </c>
      <c r="N56" s="115">
        <f>SUMIFS(F_Inputs!M:M,F_inputs_ID,'Company data'!$C56,F_inputs_company,'Company data'!$E56)</f>
        <v>40161</v>
      </c>
      <c r="O56" s="31"/>
      <c r="P56" s="31"/>
      <c r="Q56" s="31"/>
      <c r="R56" s="31"/>
      <c r="S56" s="31"/>
      <c r="T56" s="31"/>
      <c r="U56" s="31"/>
      <c r="V56" s="31"/>
      <c r="W56" s="31"/>
      <c r="X56" s="31"/>
    </row>
    <row r="57" spans="1:24" x14ac:dyDescent="0.25">
      <c r="A57" s="31"/>
      <c r="B57" s="31"/>
      <c r="C57" s="9" t="s">
        <v>485</v>
      </c>
      <c r="D57" s="31" t="s">
        <v>235</v>
      </c>
      <c r="E57" s="31" t="s">
        <v>235</v>
      </c>
      <c r="F57" s="31" t="s">
        <v>504</v>
      </c>
      <c r="G57" s="115">
        <f>SUMIFS(F_Inputs!F:F,F_inputs_ID,'Company data'!$C57,F_inputs_company,'Company data'!$E57)</f>
        <v>6828</v>
      </c>
      <c r="H57" s="115">
        <f>SUMIFS(F_Inputs!G:G,F_inputs_ID,'Company data'!$C57,F_inputs_company,'Company data'!$E57)</f>
        <v>6854</v>
      </c>
      <c r="I57" s="115">
        <f>SUMIFS(F_Inputs!H:H,F_inputs_ID,'Company data'!$C57,F_inputs_company,'Company data'!$E57)</f>
        <v>6880</v>
      </c>
      <c r="J57" s="115">
        <f>SUMIFS(F_Inputs!I:I,F_inputs_ID,'Company data'!$C57,F_inputs_company,'Company data'!$E57)</f>
        <v>6906</v>
      </c>
      <c r="K57" s="115">
        <f>SUMIFS(F_Inputs!J:J,F_inputs_ID,'Company data'!$C57,F_inputs_company,'Company data'!$E57)</f>
        <v>6932</v>
      </c>
      <c r="L57" s="115">
        <f>SUMIFS(F_Inputs!K:K,F_inputs_ID,'Company data'!$C57,F_inputs_company,'Company data'!$E57)</f>
        <v>6958</v>
      </c>
      <c r="M57" s="115">
        <f>SUMIFS(F_Inputs!L:L,F_inputs_ID,'Company data'!$C57,F_inputs_company,'Company data'!$E57)</f>
        <v>6984</v>
      </c>
      <c r="N57" s="115">
        <f>SUMIFS(F_Inputs!M:M,F_inputs_ID,'Company data'!$C57,F_inputs_company,'Company data'!$E57)</f>
        <v>7010</v>
      </c>
      <c r="O57" s="31"/>
      <c r="P57" s="31"/>
      <c r="Q57" s="31"/>
      <c r="R57" s="31"/>
      <c r="S57" s="31"/>
      <c r="T57" s="31"/>
      <c r="U57" s="31"/>
      <c r="V57" s="31"/>
      <c r="W57" s="31"/>
      <c r="X57" s="31"/>
    </row>
    <row r="58" spans="1:24" x14ac:dyDescent="0.25">
      <c r="A58" s="31"/>
      <c r="B58" s="31"/>
      <c r="C58" s="9" t="s">
        <v>485</v>
      </c>
      <c r="D58" s="31" t="s">
        <v>237</v>
      </c>
      <c r="E58" s="31" t="s">
        <v>237</v>
      </c>
      <c r="F58" s="31" t="s">
        <v>504</v>
      </c>
      <c r="G58" s="115">
        <f>SUMIFS(F_Inputs!F:F,F_inputs_ID,'Company data'!$C58,F_inputs_company,'Company data'!$E58)</f>
        <v>2626.6137800000001</v>
      </c>
      <c r="H58" s="115">
        <f>SUMIFS(F_Inputs!G:G,F_inputs_ID,'Company data'!$C58,F_inputs_company,'Company data'!$E58)</f>
        <v>2637.31378</v>
      </c>
      <c r="I58" s="115">
        <f>SUMIFS(F_Inputs!H:H,F_inputs_ID,'Company data'!$C58,F_inputs_company,'Company data'!$E58)</f>
        <v>2648.0137800000002</v>
      </c>
      <c r="J58" s="115">
        <f>SUMIFS(F_Inputs!I:I,F_inputs_ID,'Company data'!$C58,F_inputs_company,'Company data'!$E58)</f>
        <v>2658.71378</v>
      </c>
      <c r="K58" s="115">
        <f>SUMIFS(F_Inputs!J:J,F_inputs_ID,'Company data'!$C58,F_inputs_company,'Company data'!$E58)</f>
        <v>2669.4137799999999</v>
      </c>
      <c r="L58" s="115">
        <f>SUMIFS(F_Inputs!K:K,F_inputs_ID,'Company data'!$C58,F_inputs_company,'Company data'!$E58)</f>
        <v>2680.1137800000001</v>
      </c>
      <c r="M58" s="115">
        <f>SUMIFS(F_Inputs!L:L,F_inputs_ID,'Company data'!$C58,F_inputs_company,'Company data'!$E58)</f>
        <v>2690.81378</v>
      </c>
      <c r="N58" s="115">
        <f>SUMIFS(F_Inputs!M:M,F_inputs_ID,'Company data'!$C58,F_inputs_company,'Company data'!$E58)</f>
        <v>2701.5137800000002</v>
      </c>
      <c r="O58" s="31"/>
      <c r="P58" s="31"/>
      <c r="Q58" s="31"/>
      <c r="R58" s="31"/>
      <c r="S58" s="31"/>
      <c r="T58" s="31"/>
      <c r="U58" s="31"/>
      <c r="V58" s="31"/>
      <c r="W58" s="31"/>
      <c r="X58" s="31"/>
    </row>
    <row r="59" spans="1:24" x14ac:dyDescent="0.25">
      <c r="A59" s="31"/>
      <c r="B59" s="31"/>
      <c r="C59" s="9" t="s">
        <v>485</v>
      </c>
      <c r="D59" s="31" t="s">
        <v>161</v>
      </c>
      <c r="E59" s="31" t="s">
        <v>186</v>
      </c>
      <c r="F59" s="31" t="s">
        <v>504</v>
      </c>
      <c r="G59" s="115">
        <f>SUMIFS(F_Inputs!F:F,F_inputs_ID,'Company data'!$C59,F_inputs_company,'Company data'!$E59)</f>
        <v>17184</v>
      </c>
      <c r="H59" s="115">
        <f>SUMIFS(F_Inputs!G:G,F_inputs_ID,'Company data'!$C59,F_inputs_company,'Company data'!$E59)</f>
        <v>17267</v>
      </c>
      <c r="I59" s="115">
        <f>SUMIFS(F_Inputs!H:H,F_inputs_ID,'Company data'!$C59,F_inputs_company,'Company data'!$E59)</f>
        <v>17356</v>
      </c>
      <c r="J59" s="115">
        <f>SUMIFS(F_Inputs!I:I,F_inputs_ID,'Company data'!$C59,F_inputs_company,'Company data'!$E59)</f>
        <v>17414</v>
      </c>
      <c r="K59" s="115">
        <f>SUMIFS(F_Inputs!J:J,F_inputs_ID,'Company data'!$C59,F_inputs_company,'Company data'!$E59)</f>
        <v>17530</v>
      </c>
      <c r="L59" s="115">
        <f>SUMIFS(F_Inputs!K:K,F_inputs_ID,'Company data'!$C59,F_inputs_company,'Company data'!$E59)</f>
        <v>17641</v>
      </c>
      <c r="M59" s="115">
        <f>SUMIFS(F_Inputs!L:L,F_inputs_ID,'Company data'!$C59,F_inputs_company,'Company data'!$E59)</f>
        <v>17762</v>
      </c>
      <c r="N59" s="115">
        <f>SUMIFS(F_Inputs!M:M,F_inputs_ID,'Company data'!$C59,F_inputs_company,'Company data'!$E59)</f>
        <v>17885</v>
      </c>
      <c r="O59" s="31"/>
      <c r="P59" s="31"/>
      <c r="Q59" s="31"/>
      <c r="R59" s="31"/>
      <c r="S59" s="31"/>
      <c r="T59" s="31"/>
      <c r="U59" s="31"/>
      <c r="V59" s="31"/>
      <c r="W59" s="31"/>
      <c r="X59" s="31"/>
    </row>
    <row r="60" spans="1:24" x14ac:dyDescent="0.25">
      <c r="A60" s="31"/>
      <c r="B60" s="31"/>
      <c r="C60" s="9" t="s">
        <v>489</v>
      </c>
      <c r="D60" s="31" t="s">
        <v>163</v>
      </c>
      <c r="E60" s="31" t="s">
        <v>186</v>
      </c>
      <c r="F60" s="31" t="s">
        <v>504</v>
      </c>
      <c r="G60" s="115">
        <f>SUMIFS(F_Inputs!F:F,F_inputs_ID,'Company data'!$C60,F_inputs_company,'Company data'!$E60)</f>
        <v>8728</v>
      </c>
      <c r="H60" s="115">
        <f>SUMIFS(F_Inputs!G:G,F_inputs_ID,'Company data'!$C60,F_inputs_company,'Company data'!$E60)</f>
        <v>8751</v>
      </c>
      <c r="I60" s="115">
        <f>SUMIFS(F_Inputs!H:H,F_inputs_ID,'Company data'!$C60,F_inputs_company,'Company data'!$E60)</f>
        <v>8776</v>
      </c>
      <c r="J60" s="115">
        <f>SUMIFS(F_Inputs!I:I,F_inputs_ID,'Company data'!$C60,F_inputs_company,'Company data'!$E60)</f>
        <v>8803</v>
      </c>
      <c r="K60" s="115">
        <f>SUMIFS(F_Inputs!J:J,F_inputs_ID,'Company data'!$C60,F_inputs_company,'Company data'!$E60)</f>
        <v>8836</v>
      </c>
      <c r="L60" s="115">
        <f>SUMIFS(F_Inputs!K:K,F_inputs_ID,'Company data'!$C60,F_inputs_company,'Company data'!$E60)</f>
        <v>8867</v>
      </c>
      <c r="M60" s="115">
        <f>SUMIFS(F_Inputs!L:L,F_inputs_ID,'Company data'!$C60,F_inputs_company,'Company data'!$E60)</f>
        <v>8900</v>
      </c>
      <c r="N60" s="115">
        <f>SUMIFS(F_Inputs!M:M,F_inputs_ID,'Company data'!$C60,F_inputs_company,'Company data'!$E60)</f>
        <v>8935</v>
      </c>
      <c r="O60" s="31"/>
      <c r="P60" s="31"/>
      <c r="Q60" s="31"/>
      <c r="R60" s="31"/>
      <c r="S60" s="31"/>
      <c r="T60" s="31"/>
      <c r="U60" s="31"/>
      <c r="V60" s="31"/>
      <c r="W60" s="31"/>
      <c r="X60" s="31"/>
    </row>
    <row r="61" spans="1:24" x14ac:dyDescent="0.25">
      <c r="A61" s="31"/>
      <c r="B61" s="31"/>
      <c r="C61" s="9" t="s">
        <v>485</v>
      </c>
      <c r="D61" s="31" t="s">
        <v>239</v>
      </c>
      <c r="E61" s="31" t="s">
        <v>239</v>
      </c>
      <c r="F61" s="31" t="s">
        <v>504</v>
      </c>
      <c r="G61" s="115">
        <f>SUMIFS(F_Inputs!F:F,F_inputs_ID,'Company data'!$C61,F_inputs_company,'Company data'!$E61)</f>
        <v>3337</v>
      </c>
      <c r="H61" s="115">
        <f>SUMIFS(F_Inputs!G:G,F_inputs_ID,'Company data'!$C61,F_inputs_company,'Company data'!$E61)</f>
        <v>3347</v>
      </c>
      <c r="I61" s="115">
        <f>SUMIFS(F_Inputs!H:H,F_inputs_ID,'Company data'!$C61,F_inputs_company,'Company data'!$E61)</f>
        <v>3357</v>
      </c>
      <c r="J61" s="115">
        <f>SUMIFS(F_Inputs!I:I,F_inputs_ID,'Company data'!$C61,F_inputs_company,'Company data'!$E61)</f>
        <v>3369</v>
      </c>
      <c r="K61" s="115">
        <f>SUMIFS(F_Inputs!J:J,F_inputs_ID,'Company data'!$C61,F_inputs_company,'Company data'!$E61)</f>
        <v>3380</v>
      </c>
      <c r="L61" s="115">
        <f>SUMIFS(F_Inputs!K:K,F_inputs_ID,'Company data'!$C61,F_inputs_company,'Company data'!$E61)</f>
        <v>3392</v>
      </c>
      <c r="M61" s="115">
        <f>SUMIFS(F_Inputs!L:L,F_inputs_ID,'Company data'!$C61,F_inputs_company,'Company data'!$E61)</f>
        <v>3404</v>
      </c>
      <c r="N61" s="115">
        <f>SUMIFS(F_Inputs!M:M,F_inputs_ID,'Company data'!$C61,F_inputs_company,'Company data'!$E61)</f>
        <v>3416</v>
      </c>
      <c r="O61" s="31"/>
      <c r="P61" s="31"/>
      <c r="Q61" s="31"/>
      <c r="R61" s="31"/>
      <c r="S61" s="31"/>
      <c r="T61" s="31"/>
      <c r="U61" s="31"/>
      <c r="V61" s="31"/>
      <c r="W61" s="31"/>
      <c r="X61" s="31"/>
    </row>
    <row r="62" spans="1:24" x14ac:dyDescent="0.25">
      <c r="A62" s="31"/>
      <c r="B62" s="31"/>
      <c r="C62" s="9" t="s">
        <v>485</v>
      </c>
      <c r="D62" s="31" t="s">
        <v>165</v>
      </c>
      <c r="E62" s="31" t="s">
        <v>165</v>
      </c>
      <c r="F62" s="31" t="s">
        <v>504</v>
      </c>
      <c r="G62" s="115">
        <f>SUMIFS(F_Inputs!F:F,F_inputs_ID,'Company data'!$C62,F_inputs_company,'Company data'!$E62)</f>
        <v>3481</v>
      </c>
      <c r="H62" s="115">
        <f>SUMIFS(F_Inputs!G:G,F_inputs_ID,'Company data'!$C62,F_inputs_company,'Company data'!$E62)</f>
        <v>3497</v>
      </c>
      <c r="I62" s="115">
        <f>SUMIFS(F_Inputs!H:H,F_inputs_ID,'Company data'!$C62,F_inputs_company,'Company data'!$E62)</f>
        <v>3504</v>
      </c>
      <c r="J62" s="115">
        <f>SUMIFS(F_Inputs!I:I,F_inputs_ID,'Company data'!$C62,F_inputs_company,'Company data'!$E62)</f>
        <v>3511</v>
      </c>
      <c r="K62" s="115">
        <f>SUMIFS(F_Inputs!J:J,F_inputs_ID,'Company data'!$C62,F_inputs_company,'Company data'!$E62)</f>
        <v>3518</v>
      </c>
      <c r="L62" s="115">
        <f>SUMIFS(F_Inputs!K:K,F_inputs_ID,'Company data'!$C62,F_inputs_company,'Company data'!$E62)</f>
        <v>3528</v>
      </c>
      <c r="M62" s="115">
        <f>SUMIFS(F_Inputs!L:L,F_inputs_ID,'Company data'!$C62,F_inputs_company,'Company data'!$E62)</f>
        <v>3536</v>
      </c>
      <c r="N62" s="115">
        <f>SUMIFS(F_Inputs!M:M,F_inputs_ID,'Company data'!$C62,F_inputs_company,'Company data'!$E62)</f>
        <v>3544</v>
      </c>
      <c r="O62" s="31"/>
      <c r="P62" s="31"/>
      <c r="Q62" s="31"/>
      <c r="R62" s="31"/>
      <c r="S62" s="31"/>
      <c r="T62" s="31"/>
      <c r="U62" s="31"/>
      <c r="V62" s="31"/>
      <c r="W62" s="31"/>
      <c r="X62" s="31"/>
    </row>
    <row r="63" spans="1:24" x14ac:dyDescent="0.25">
      <c r="A63" s="31"/>
      <c r="B63" s="31"/>
      <c r="C63" s="9" t="s">
        <v>485</v>
      </c>
      <c r="D63" s="31" t="s">
        <v>241</v>
      </c>
      <c r="E63" s="31" t="s">
        <v>241</v>
      </c>
      <c r="F63" s="31" t="s">
        <v>504</v>
      </c>
      <c r="G63" s="115">
        <f>SUMIFS(F_Inputs!F:F,F_inputs_ID,'Company data'!$C63,F_inputs_company,'Company data'!$E63)</f>
        <v>14620.74</v>
      </c>
      <c r="H63" s="115">
        <f>SUMIFS(F_Inputs!G:G,F_inputs_ID,'Company data'!$C63,F_inputs_company,'Company data'!$E63)</f>
        <v>14732.050631341201</v>
      </c>
      <c r="I63" s="115">
        <f>SUMIFS(F_Inputs!H:H,F_inputs_ID,'Company data'!$C63,F_inputs_company,'Company data'!$E63)</f>
        <v>14841.3904574847</v>
      </c>
      <c r="J63" s="115">
        <f>SUMIFS(F_Inputs!I:I,F_inputs_ID,'Company data'!$C63,F_inputs_company,'Company data'!$E63)</f>
        <v>14941.896551138299</v>
      </c>
      <c r="K63" s="115">
        <f>SUMIFS(F_Inputs!J:J,F_inputs_ID,'Company data'!$C63,F_inputs_company,'Company data'!$E63)</f>
        <v>15032.1834129903</v>
      </c>
      <c r="L63" s="115">
        <f>SUMIFS(F_Inputs!K:K,F_inputs_ID,'Company data'!$C63,F_inputs_company,'Company data'!$E63)</f>
        <v>15128.099786786201</v>
      </c>
      <c r="M63" s="115">
        <f>SUMIFS(F_Inputs!L:L,F_inputs_ID,'Company data'!$C63,F_inputs_company,'Company data'!$E63)</f>
        <v>15216.215672525899</v>
      </c>
      <c r="N63" s="115">
        <f>SUMIFS(F_Inputs!M:M,F_inputs_ID,'Company data'!$C63,F_inputs_company,'Company data'!$E63)</f>
        <v>15382.7868570254</v>
      </c>
      <c r="O63" s="31"/>
      <c r="P63" s="31"/>
      <c r="Q63" s="31"/>
      <c r="R63" s="31"/>
      <c r="S63" s="31"/>
      <c r="T63" s="31"/>
      <c r="U63" s="31"/>
      <c r="V63" s="31"/>
      <c r="W63" s="31"/>
      <c r="X63" s="31"/>
    </row>
    <row r="64" spans="1:24" x14ac:dyDescent="0.25">
      <c r="A64" s="31"/>
      <c r="B64" s="31"/>
      <c r="C64" s="9" t="s">
        <v>485</v>
      </c>
      <c r="D64" s="31" t="s">
        <v>205</v>
      </c>
      <c r="E64" s="31" t="s">
        <v>205</v>
      </c>
      <c r="F64" s="31" t="s">
        <v>504</v>
      </c>
      <c r="G64" s="115">
        <f>SUMIFS(F_Inputs!F:F,F_inputs_ID,'Company data'!$C64,F_inputs_company,'Company data'!$E64)</f>
        <v>13905</v>
      </c>
      <c r="H64" s="115">
        <f>SUMIFS(F_Inputs!G:G,F_inputs_ID,'Company data'!$C64,F_inputs_company,'Company data'!$E64)</f>
        <v>13940</v>
      </c>
      <c r="I64" s="115">
        <f>SUMIFS(F_Inputs!H:H,F_inputs_ID,'Company data'!$C64,F_inputs_company,'Company data'!$E64)</f>
        <v>13975</v>
      </c>
      <c r="J64" s="115">
        <f>SUMIFS(F_Inputs!I:I,F_inputs_ID,'Company data'!$C64,F_inputs_company,'Company data'!$E64)</f>
        <v>14017</v>
      </c>
      <c r="K64" s="115">
        <f>SUMIFS(F_Inputs!J:J,F_inputs_ID,'Company data'!$C64,F_inputs_company,'Company data'!$E64)</f>
        <v>14059</v>
      </c>
      <c r="L64" s="115">
        <f>SUMIFS(F_Inputs!K:K,F_inputs_ID,'Company data'!$C64,F_inputs_company,'Company data'!$E64)</f>
        <v>14101</v>
      </c>
      <c r="M64" s="115">
        <f>SUMIFS(F_Inputs!L:L,F_inputs_ID,'Company data'!$C64,F_inputs_company,'Company data'!$E64)</f>
        <v>14143</v>
      </c>
      <c r="N64" s="115">
        <f>SUMIFS(F_Inputs!M:M,F_inputs_ID,'Company data'!$C64,F_inputs_company,'Company data'!$E64)</f>
        <v>14185</v>
      </c>
      <c r="O64" s="31"/>
      <c r="P64" s="31"/>
      <c r="Q64" s="31"/>
      <c r="R64" s="31"/>
      <c r="S64" s="31"/>
      <c r="T64" s="31"/>
      <c r="U64" s="31"/>
      <c r="V64" s="31"/>
      <c r="W64" s="31"/>
      <c r="X64" s="31"/>
    </row>
    <row r="65" spans="1:24" x14ac:dyDescent="0.25">
      <c r="A65" s="31"/>
      <c r="B65" s="31"/>
      <c r="C65" s="9" t="s">
        <v>485</v>
      </c>
      <c r="D65" s="31" t="s">
        <v>244</v>
      </c>
      <c r="E65" s="31" t="s">
        <v>297</v>
      </c>
      <c r="F65" s="31" t="s">
        <v>504</v>
      </c>
      <c r="G65" s="115">
        <f>SUMIFS(F_Inputs!F:F,F_inputs_ID,'Company data'!$C65,F_inputs_company,'Company data'!$E65)</f>
        <v>6078.4</v>
      </c>
      <c r="H65" s="115">
        <f>SUMIFS(F_Inputs!G:G,F_inputs_ID,'Company data'!$C65,F_inputs_company,'Company data'!$E65)</f>
        <v>6141.79</v>
      </c>
      <c r="I65" s="115">
        <f>SUMIFS(F_Inputs!H:H,F_inputs_ID,'Company data'!$C65,F_inputs_company,'Company data'!$E65)</f>
        <v>6206.38</v>
      </c>
      <c r="J65" s="115">
        <f>SUMIFS(F_Inputs!I:I,F_inputs_ID,'Company data'!$C65,F_inputs_company,'Company data'!$E65)</f>
        <v>6269.03</v>
      </c>
      <c r="K65" s="115">
        <f>SUMIFS(F_Inputs!J:J,F_inputs_ID,'Company data'!$C65,F_inputs_company,'Company data'!$E65)</f>
        <v>6328.16</v>
      </c>
      <c r="L65" s="115">
        <f>SUMIFS(F_Inputs!K:K,F_inputs_ID,'Company data'!$C65,F_inputs_company,'Company data'!$E65)</f>
        <v>6387.25</v>
      </c>
      <c r="M65" s="115">
        <f>SUMIFS(F_Inputs!L:L,F_inputs_ID,'Company data'!$C65,F_inputs_company,'Company data'!$E65)</f>
        <v>6444.11</v>
      </c>
      <c r="N65" s="115">
        <f>SUMIFS(F_Inputs!M:M,F_inputs_ID,'Company data'!$C65,F_inputs_company,'Company data'!$E65)</f>
        <v>6498.88</v>
      </c>
      <c r="O65" s="31"/>
      <c r="P65" s="31"/>
      <c r="Q65" s="31"/>
      <c r="R65" s="31"/>
      <c r="S65" s="31"/>
      <c r="T65" s="31"/>
      <c r="U65" s="31"/>
      <c r="V65" s="31"/>
      <c r="W65" s="31"/>
      <c r="X65" s="31"/>
    </row>
    <row r="66" spans="1:24" x14ac:dyDescent="0.25">
      <c r="A66" s="31"/>
      <c r="B66" s="31"/>
      <c r="C66" s="9" t="s">
        <v>489</v>
      </c>
      <c r="D66" s="31" t="s">
        <v>246</v>
      </c>
      <c r="E66" s="31" t="s">
        <v>297</v>
      </c>
      <c r="F66" s="31" t="s">
        <v>504</v>
      </c>
      <c r="G66" s="115">
        <f>SUMIFS(F_Inputs!F:F,F_inputs_ID,'Company data'!$C66,F_inputs_company,'Company data'!$E66)</f>
        <v>2412.5</v>
      </c>
      <c r="H66" s="115">
        <f>SUMIFS(F_Inputs!G:G,F_inputs_ID,'Company data'!$C66,F_inputs_company,'Company data'!$E66)</f>
        <v>2429.0100000000002</v>
      </c>
      <c r="I66" s="115">
        <f>SUMIFS(F_Inputs!H:H,F_inputs_ID,'Company data'!$C66,F_inputs_company,'Company data'!$E66)</f>
        <v>2445.52</v>
      </c>
      <c r="J66" s="115">
        <f>SUMIFS(F_Inputs!I:I,F_inputs_ID,'Company data'!$C66,F_inputs_company,'Company data'!$E66)</f>
        <v>2462.0300000000002</v>
      </c>
      <c r="K66" s="115">
        <f>SUMIFS(F_Inputs!J:J,F_inputs_ID,'Company data'!$C66,F_inputs_company,'Company data'!$E66)</f>
        <v>2477.71</v>
      </c>
      <c r="L66" s="115">
        <f>SUMIFS(F_Inputs!K:K,F_inputs_ID,'Company data'!$C66,F_inputs_company,'Company data'!$E66)</f>
        <v>2490.91</v>
      </c>
      <c r="M66" s="115">
        <f>SUMIFS(F_Inputs!L:L,F_inputs_ID,'Company data'!$C66,F_inputs_company,'Company data'!$E66)</f>
        <v>2504.11</v>
      </c>
      <c r="N66" s="115">
        <f>SUMIFS(F_Inputs!M:M,F_inputs_ID,'Company data'!$C66,F_inputs_company,'Company data'!$E66)</f>
        <v>2517.31</v>
      </c>
      <c r="O66" s="31"/>
      <c r="P66" s="31"/>
      <c r="Q66" s="31"/>
      <c r="R66" s="31"/>
      <c r="S66" s="31"/>
      <c r="T66" s="31"/>
      <c r="U66" s="31"/>
      <c r="V66" s="31"/>
      <c r="W66" s="31"/>
      <c r="X66" s="31"/>
    </row>
    <row r="67" spans="1:24" x14ac:dyDescent="0.25">
      <c r="A67" s="31"/>
      <c r="B67" s="31"/>
      <c r="C67" s="9" t="s">
        <v>485</v>
      </c>
      <c r="D67" s="31" t="s">
        <v>198</v>
      </c>
      <c r="E67" s="31" t="s">
        <v>198</v>
      </c>
      <c r="F67" s="31" t="s">
        <v>504</v>
      </c>
      <c r="G67" s="115">
        <f>SUMIFS(F_Inputs!F:F,F_inputs_ID,'Company data'!$C67,F_inputs_company,'Company data'!$E67)</f>
        <v>46540</v>
      </c>
      <c r="H67" s="115">
        <f>SUMIFS(F_Inputs!G:G,F_inputs_ID,'Company data'!$C67,F_inputs_company,'Company data'!$E67)</f>
        <v>46659</v>
      </c>
      <c r="I67" s="115">
        <f>SUMIFS(F_Inputs!H:H,F_inputs_ID,'Company data'!$C67,F_inputs_company,'Company data'!$E67)</f>
        <v>46778</v>
      </c>
      <c r="J67" s="115">
        <f>SUMIFS(F_Inputs!I:I,F_inputs_ID,'Company data'!$C67,F_inputs_company,'Company data'!$E67)</f>
        <v>46897</v>
      </c>
      <c r="K67" s="115">
        <f>SUMIFS(F_Inputs!J:J,F_inputs_ID,'Company data'!$C67,F_inputs_company,'Company data'!$E67)</f>
        <v>47016</v>
      </c>
      <c r="L67" s="115">
        <f>SUMIFS(F_Inputs!K:K,F_inputs_ID,'Company data'!$C67,F_inputs_company,'Company data'!$E67)</f>
        <v>47135</v>
      </c>
      <c r="M67" s="115">
        <f>SUMIFS(F_Inputs!L:L,F_inputs_ID,'Company data'!$C67,F_inputs_company,'Company data'!$E67)</f>
        <v>47254</v>
      </c>
      <c r="N67" s="115">
        <f>SUMIFS(F_Inputs!M:M,F_inputs_ID,'Company data'!$C67,F_inputs_company,'Company data'!$E67)</f>
        <v>47373</v>
      </c>
      <c r="O67" s="31"/>
      <c r="P67" s="31"/>
      <c r="Q67" s="31"/>
      <c r="R67" s="31"/>
      <c r="S67" s="31"/>
      <c r="T67" s="31"/>
      <c r="U67" s="31"/>
      <c r="V67" s="31"/>
      <c r="W67" s="31"/>
      <c r="X67" s="31"/>
    </row>
    <row r="68" spans="1:24" x14ac:dyDescent="0.25">
      <c r="A68" s="31"/>
      <c r="B68" s="31"/>
      <c r="C68" s="9" t="s">
        <v>485</v>
      </c>
      <c r="D68" s="31" t="s">
        <v>167</v>
      </c>
      <c r="E68" s="31" t="s">
        <v>167</v>
      </c>
      <c r="F68" s="31" t="s">
        <v>504</v>
      </c>
      <c r="G68" s="115">
        <f>SUMIFS(F_Inputs!F:F,F_inputs_ID,'Company data'!$C68,F_inputs_company,'Company data'!$E68)</f>
        <v>18232.77</v>
      </c>
      <c r="H68" s="115">
        <f>SUMIFS(F_Inputs!G:G,F_inputs_ID,'Company data'!$C68,F_inputs_company,'Company data'!$E68)</f>
        <v>18288.218333333301</v>
      </c>
      <c r="I68" s="115">
        <f>SUMIFS(F_Inputs!H:H,F_inputs_ID,'Company data'!$C68,F_inputs_company,'Company data'!$E68)</f>
        <v>18336.711666666699</v>
      </c>
      <c r="J68" s="115">
        <f>SUMIFS(F_Inputs!I:I,F_inputs_ID,'Company data'!$C68,F_inputs_company,'Company data'!$E68)</f>
        <v>18386.055</v>
      </c>
      <c r="K68" s="115">
        <f>SUMIFS(F_Inputs!J:J,F_inputs_ID,'Company data'!$C68,F_inputs_company,'Company data'!$E68)</f>
        <v>18435.398333333302</v>
      </c>
      <c r="L68" s="115">
        <f>SUMIFS(F_Inputs!K:K,F_inputs_ID,'Company data'!$C68,F_inputs_company,'Company data'!$E68)</f>
        <v>18491.991666666701</v>
      </c>
      <c r="M68" s="115">
        <f>SUMIFS(F_Inputs!L:L,F_inputs_ID,'Company data'!$C68,F_inputs_company,'Company data'!$E68)</f>
        <v>18543.084999999999</v>
      </c>
      <c r="N68" s="115">
        <f>SUMIFS(F_Inputs!M:M,F_inputs_ID,'Company data'!$C68,F_inputs_company,'Company data'!$E68)</f>
        <v>18591.678333333301</v>
      </c>
      <c r="O68" s="31"/>
      <c r="P68" s="31"/>
      <c r="Q68" s="31"/>
      <c r="R68" s="31"/>
      <c r="S68" s="31"/>
      <c r="T68" s="31"/>
      <c r="U68" s="31"/>
      <c r="V68" s="31"/>
      <c r="W68" s="31"/>
      <c r="X68" s="31"/>
    </row>
    <row r="69" spans="1:24" x14ac:dyDescent="0.25">
      <c r="A69" s="31"/>
      <c r="B69" s="31"/>
      <c r="C69" s="9" t="s">
        <v>485</v>
      </c>
      <c r="D69" s="31" t="s">
        <v>249</v>
      </c>
      <c r="E69" s="31" t="s">
        <v>249</v>
      </c>
      <c r="F69" s="31" t="s">
        <v>504</v>
      </c>
      <c r="G69" s="115">
        <f>SUMIFS(F_Inputs!F:F,F_inputs_ID,'Company data'!$C69,F_inputs_company,'Company data'!$E69)</f>
        <v>31460.6</v>
      </c>
      <c r="H69" s="115">
        <f>SUMIFS(F_Inputs!G:G,F_inputs_ID,'Company data'!$C69,F_inputs_company,'Company data'!$E69)</f>
        <v>31948.629792797401</v>
      </c>
      <c r="I69" s="115">
        <f>SUMIFS(F_Inputs!H:H,F_inputs_ID,'Company data'!$C69,F_inputs_company,'Company data'!$E69)</f>
        <v>32088.6811212008</v>
      </c>
      <c r="J69" s="115">
        <f>SUMIFS(F_Inputs!I:I,F_inputs_ID,'Company data'!$C69,F_inputs_company,'Company data'!$E69)</f>
        <v>32223.998640457801</v>
      </c>
      <c r="K69" s="115">
        <f>SUMIFS(F_Inputs!J:J,F_inputs_ID,'Company data'!$C69,F_inputs_company,'Company data'!$E69)</f>
        <v>32352.040261742</v>
      </c>
      <c r="L69" s="115">
        <f>SUMIFS(F_Inputs!K:K,F_inputs_ID,'Company data'!$C69,F_inputs_company,'Company data'!$E69)</f>
        <v>32475.084798289601</v>
      </c>
      <c r="M69" s="115">
        <f>SUMIFS(F_Inputs!L:L,F_inputs_ID,'Company data'!$C69,F_inputs_company,'Company data'!$E69)</f>
        <v>32590.727608642399</v>
      </c>
      <c r="N69" s="115">
        <f>SUMIFS(F_Inputs!M:M,F_inputs_ID,'Company data'!$C69,F_inputs_company,'Company data'!$E69)</f>
        <v>32738.1919696851</v>
      </c>
      <c r="O69" s="31"/>
      <c r="P69" s="31"/>
      <c r="Q69" s="31"/>
      <c r="R69" s="31"/>
      <c r="S69" s="31"/>
      <c r="T69" s="31"/>
      <c r="U69" s="31"/>
      <c r="V69" s="31"/>
      <c r="W69" s="31"/>
      <c r="X69" s="31"/>
    </row>
    <row r="70" spans="1:24" x14ac:dyDescent="0.25">
      <c r="A70" s="31"/>
      <c r="B70" s="31"/>
      <c r="C70" s="9" t="s">
        <v>485</v>
      </c>
      <c r="D70" s="31" t="s">
        <v>190</v>
      </c>
      <c r="E70" s="31" t="s">
        <v>501</v>
      </c>
      <c r="F70" s="31" t="s">
        <v>504</v>
      </c>
      <c r="G70" s="115">
        <f>SUMIFS(F_Inputs!F:F,F_inputs_ID,'Company data'!$C70,F_inputs_company,'Company data'!$E70)</f>
        <v>42102.877915341996</v>
      </c>
      <c r="H70" s="115">
        <f>SUMIFS(F_Inputs!G:G,F_inputs_ID,'Company data'!$C70,F_inputs_company,'Company data'!$E70)</f>
        <v>42261.9570552</v>
      </c>
      <c r="I70" s="115">
        <f>SUMIFS(F_Inputs!H:H,F_inputs_ID,'Company data'!$C70,F_inputs_company,'Company data'!$E70)</f>
        <v>42376.019600599997</v>
      </c>
      <c r="J70" s="115">
        <f>SUMIFS(F_Inputs!I:I,F_inputs_ID,'Company data'!$C70,F_inputs_company,'Company data'!$E70)</f>
        <v>42481.143851399996</v>
      </c>
      <c r="K70" s="115">
        <f>SUMIFS(F_Inputs!J:J,F_inputs_ID,'Company data'!$C70,F_inputs_company,'Company data'!$E70)</f>
        <v>42549.292057958002</v>
      </c>
      <c r="L70" s="115">
        <f>SUMIFS(F_Inputs!K:K,F_inputs_ID,'Company data'!$C70,F_inputs_company,'Company data'!$E70)</f>
        <v>42646.892057958001</v>
      </c>
      <c r="M70" s="115">
        <f>SUMIFS(F_Inputs!L:L,F_inputs_ID,'Company data'!$C70,F_inputs_company,'Company data'!$E70)</f>
        <v>42744.592057957998</v>
      </c>
      <c r="N70" s="115">
        <f>SUMIFS(F_Inputs!M:M,F_inputs_ID,'Company data'!$C70,F_inputs_company,'Company data'!$E70)</f>
        <v>42842.292057958002</v>
      </c>
      <c r="O70" s="31"/>
      <c r="P70" s="31"/>
      <c r="Q70" s="31"/>
      <c r="R70" s="31"/>
      <c r="S70" s="31"/>
      <c r="T70" s="31"/>
      <c r="U70" s="31"/>
      <c r="V70" s="31"/>
      <c r="W70" s="31"/>
      <c r="X70" s="31"/>
    </row>
    <row r="71" spans="1:24" x14ac:dyDescent="0.25">
      <c r="A71" s="31"/>
      <c r="B71" s="31"/>
      <c r="C71" s="9" t="s">
        <v>485</v>
      </c>
      <c r="D71" s="31" t="s">
        <v>252</v>
      </c>
      <c r="E71" s="31" t="s">
        <v>252</v>
      </c>
      <c r="F71" s="31" t="s">
        <v>504</v>
      </c>
      <c r="G71" s="115">
        <f>SUMIFS(F_Inputs!F:F,F_inputs_ID,'Company data'!$C71,F_inputs_company,'Company data'!$E71)</f>
        <v>27597</v>
      </c>
      <c r="H71" s="115">
        <f>SUMIFS(F_Inputs!G:G,F_inputs_ID,'Company data'!$C71,F_inputs_company,'Company data'!$E71)</f>
        <v>27692</v>
      </c>
      <c r="I71" s="115">
        <f>SUMIFS(F_Inputs!H:H,F_inputs_ID,'Company data'!$C71,F_inputs_company,'Company data'!$E71)</f>
        <v>27786</v>
      </c>
      <c r="J71" s="115">
        <f>SUMIFS(F_Inputs!I:I,F_inputs_ID,'Company data'!$C71,F_inputs_company,'Company data'!$E71)</f>
        <v>27827</v>
      </c>
      <c r="K71" s="115">
        <f>SUMIFS(F_Inputs!J:J,F_inputs_ID,'Company data'!$C71,F_inputs_company,'Company data'!$E71)</f>
        <v>27872</v>
      </c>
      <c r="L71" s="115">
        <f>SUMIFS(F_Inputs!K:K,F_inputs_ID,'Company data'!$C71,F_inputs_company,'Company data'!$E71)</f>
        <v>27913</v>
      </c>
      <c r="M71" s="115">
        <f>SUMIFS(F_Inputs!L:L,F_inputs_ID,'Company data'!$C71,F_inputs_company,'Company data'!$E71)</f>
        <v>27968</v>
      </c>
      <c r="N71" s="115">
        <f>SUMIFS(F_Inputs!M:M,F_inputs_ID,'Company data'!$C71,F_inputs_company,'Company data'!$E71)</f>
        <v>28037</v>
      </c>
      <c r="O71" s="31"/>
      <c r="P71" s="31"/>
      <c r="Q71" s="31"/>
      <c r="R71" s="31"/>
      <c r="S71" s="31"/>
      <c r="T71" s="31"/>
      <c r="U71" s="31"/>
      <c r="V71" s="31"/>
      <c r="W71" s="31"/>
      <c r="X71" s="31"/>
    </row>
    <row r="72" spans="1:24" x14ac:dyDescent="0.25">
      <c r="A72" s="31"/>
      <c r="B72" s="31"/>
      <c r="C72" s="9" t="s">
        <v>485</v>
      </c>
      <c r="D72" s="31" t="s">
        <v>169</v>
      </c>
      <c r="E72" s="31" t="s">
        <v>169</v>
      </c>
      <c r="F72" s="31" t="s">
        <v>504</v>
      </c>
      <c r="G72" s="115">
        <f>SUMIFS(F_Inputs!F:F,F_inputs_ID,'Company data'!$C72,F_inputs_company,'Company data'!$E72)</f>
        <v>11935.02</v>
      </c>
      <c r="H72" s="115">
        <f>SUMIFS(F_Inputs!G:G,F_inputs_ID,'Company data'!$C72,F_inputs_company,'Company data'!$E72)</f>
        <v>11980.016100000001</v>
      </c>
      <c r="I72" s="115">
        <f>SUMIFS(F_Inputs!H:H,F_inputs_ID,'Company data'!$C72,F_inputs_company,'Company data'!$E72)</f>
        <v>12025.016100000001</v>
      </c>
      <c r="J72" s="115">
        <f>SUMIFS(F_Inputs!I:I,F_inputs_ID,'Company data'!$C72,F_inputs_company,'Company data'!$E72)</f>
        <v>12070.016100000001</v>
      </c>
      <c r="K72" s="115">
        <f>SUMIFS(F_Inputs!J:J,F_inputs_ID,'Company data'!$C72,F_inputs_company,'Company data'!$E72)</f>
        <v>12115.016100000001</v>
      </c>
      <c r="L72" s="115">
        <f>SUMIFS(F_Inputs!K:K,F_inputs_ID,'Company data'!$C72,F_inputs_company,'Company data'!$E72)</f>
        <v>12160.016100000001</v>
      </c>
      <c r="M72" s="115">
        <f>SUMIFS(F_Inputs!L:L,F_inputs_ID,'Company data'!$C72,F_inputs_company,'Company data'!$E72)</f>
        <v>12205.016100000001</v>
      </c>
      <c r="N72" s="115">
        <f>SUMIFS(F_Inputs!M:M,F_inputs_ID,'Company data'!$C72,F_inputs_company,'Company data'!$E72)</f>
        <v>12250.016100000001</v>
      </c>
      <c r="O72" s="31"/>
      <c r="P72" s="31"/>
      <c r="Q72" s="31"/>
      <c r="R72" s="31"/>
      <c r="S72" s="31"/>
      <c r="T72" s="31"/>
      <c r="U72" s="31"/>
      <c r="V72" s="31"/>
      <c r="W72" s="31"/>
      <c r="X72" s="31"/>
    </row>
    <row r="73" spans="1:24" x14ac:dyDescent="0.25">
      <c r="A73" s="31"/>
      <c r="B73" s="31"/>
      <c r="C73" s="9" t="s">
        <v>485</v>
      </c>
      <c r="D73" s="31" t="s">
        <v>171</v>
      </c>
      <c r="E73" s="31" t="s">
        <v>171</v>
      </c>
      <c r="F73" s="31" t="s">
        <v>504</v>
      </c>
      <c r="G73" s="115">
        <f>SUMIFS(F_Inputs!F:F,F_inputs_ID,'Company data'!$C73,F_inputs_company,'Company data'!$E73)</f>
        <v>31693</v>
      </c>
      <c r="H73" s="115">
        <f>SUMIFS(F_Inputs!G:G,F_inputs_ID,'Company data'!$C73,F_inputs_company,'Company data'!$E73)</f>
        <v>31793</v>
      </c>
      <c r="I73" s="115">
        <f>SUMIFS(F_Inputs!H:H,F_inputs_ID,'Company data'!$C73,F_inputs_company,'Company data'!$E73)</f>
        <v>31893</v>
      </c>
      <c r="J73" s="115">
        <f>SUMIFS(F_Inputs!I:I,F_inputs_ID,'Company data'!$C73,F_inputs_company,'Company data'!$E73)</f>
        <v>32002</v>
      </c>
      <c r="K73" s="115">
        <f>SUMIFS(F_Inputs!J:J,F_inputs_ID,'Company data'!$C73,F_inputs_company,'Company data'!$E73)</f>
        <v>32111</v>
      </c>
      <c r="L73" s="115">
        <f>SUMIFS(F_Inputs!K:K,F_inputs_ID,'Company data'!$C73,F_inputs_company,'Company data'!$E73)</f>
        <v>32219</v>
      </c>
      <c r="M73" s="115">
        <f>SUMIFS(F_Inputs!L:L,F_inputs_ID,'Company data'!$C73,F_inputs_company,'Company data'!$E73)</f>
        <v>32328</v>
      </c>
      <c r="N73" s="115">
        <f>SUMIFS(F_Inputs!M:M,F_inputs_ID,'Company data'!$C73,F_inputs_company,'Company data'!$E73)</f>
        <v>32436</v>
      </c>
      <c r="O73" s="31"/>
      <c r="P73" s="31"/>
      <c r="Q73" s="31"/>
      <c r="R73" s="31"/>
      <c r="S73" s="31"/>
      <c r="T73" s="31"/>
      <c r="U73" s="31"/>
      <c r="V73" s="31"/>
      <c r="W73" s="31"/>
      <c r="X73" s="31"/>
    </row>
    <row r="76" spans="1:24" ht="13.8" x14ac:dyDescent="0.3">
      <c r="A76" s="32" t="s">
        <v>505</v>
      </c>
      <c r="B76" s="32"/>
      <c r="C76" s="32"/>
      <c r="D76" s="32"/>
      <c r="E76" s="32"/>
      <c r="F76" s="32"/>
      <c r="G76" s="32"/>
      <c r="H76" s="32"/>
      <c r="I76" s="32"/>
      <c r="J76" s="32"/>
      <c r="K76" s="32"/>
      <c r="L76" s="32"/>
      <c r="M76" s="32"/>
      <c r="N76" s="32"/>
      <c r="O76" s="32"/>
      <c r="P76" s="32"/>
      <c r="Q76" s="32"/>
      <c r="R76" s="32"/>
      <c r="S76" s="32"/>
      <c r="T76" s="32"/>
      <c r="U76" s="32"/>
      <c r="V76" s="32"/>
      <c r="W76" s="32"/>
      <c r="X76" s="32"/>
    </row>
    <row r="78" spans="1:24" ht="15" x14ac:dyDescent="0.35">
      <c r="A78" s="9"/>
      <c r="B78" s="1" t="s">
        <v>506</v>
      </c>
      <c r="C78" s="9"/>
      <c r="D78" s="9"/>
      <c r="E78" s="9"/>
      <c r="F78" s="9"/>
      <c r="G78" s="9"/>
      <c r="H78" s="9"/>
      <c r="I78" s="9"/>
      <c r="J78" s="9"/>
      <c r="K78" s="9"/>
      <c r="L78" s="9"/>
      <c r="M78" s="9"/>
      <c r="N78" s="9"/>
      <c r="O78" s="9"/>
      <c r="P78" s="9"/>
      <c r="Q78" s="9"/>
      <c r="R78" s="9"/>
      <c r="S78" s="9"/>
      <c r="T78" s="9"/>
      <c r="U78" s="9"/>
      <c r="V78" s="9"/>
      <c r="W78" s="9"/>
      <c r="X78" s="9"/>
    </row>
    <row r="79" spans="1:24" x14ac:dyDescent="0.25">
      <c r="A79" s="9"/>
      <c r="B79" s="9"/>
      <c r="C79" s="9"/>
      <c r="D79" s="9"/>
      <c r="E79" s="9"/>
      <c r="F79" s="9"/>
      <c r="G79" s="9"/>
      <c r="H79" s="9"/>
      <c r="I79" s="9"/>
      <c r="J79" s="9"/>
      <c r="K79" s="9"/>
      <c r="L79" s="9"/>
      <c r="M79" s="9"/>
      <c r="N79" s="9"/>
      <c r="O79" s="9"/>
      <c r="P79" s="9"/>
      <c r="Q79" s="9"/>
      <c r="R79" s="9"/>
      <c r="S79" s="9"/>
      <c r="T79" s="9"/>
      <c r="U79" s="9"/>
      <c r="V79" s="9"/>
      <c r="W79" s="9"/>
      <c r="X79" s="9"/>
    </row>
    <row r="80" spans="1:24" x14ac:dyDescent="0.25">
      <c r="A80" s="31"/>
      <c r="B80" s="31"/>
      <c r="C80" s="31" t="s">
        <v>498</v>
      </c>
      <c r="D80" s="31" t="s">
        <v>150</v>
      </c>
      <c r="E80" s="31" t="s">
        <v>499</v>
      </c>
      <c r="F80" s="31" t="s">
        <v>151</v>
      </c>
      <c r="G80" s="9" t="s">
        <v>375</v>
      </c>
      <c r="H80" s="9" t="s">
        <v>376</v>
      </c>
      <c r="I80" s="9" t="s">
        <v>377</v>
      </c>
      <c r="J80" s="9" t="s">
        <v>174</v>
      </c>
      <c r="K80" s="9" t="s">
        <v>175</v>
      </c>
      <c r="L80" s="9" t="s">
        <v>176</v>
      </c>
      <c r="M80" s="9" t="s">
        <v>177</v>
      </c>
      <c r="N80" s="9" t="s">
        <v>178</v>
      </c>
      <c r="O80" s="31"/>
      <c r="P80" s="31"/>
      <c r="Q80" s="31"/>
      <c r="R80" s="31"/>
      <c r="S80" s="31"/>
      <c r="T80" s="31"/>
      <c r="U80" s="31"/>
      <c r="V80" s="31"/>
      <c r="W80" s="31"/>
      <c r="X80" s="31"/>
    </row>
    <row r="81" spans="1:24" x14ac:dyDescent="0.25">
      <c r="A81" s="31"/>
      <c r="B81" s="31"/>
      <c r="C81" s="9" t="s">
        <v>471</v>
      </c>
      <c r="D81" s="31" t="s">
        <v>231</v>
      </c>
      <c r="E81" s="31" t="s">
        <v>231</v>
      </c>
      <c r="F81" s="31" t="s">
        <v>500</v>
      </c>
      <c r="G81" s="115">
        <f>SUMIFS(F_Inputs!F:F,F_inputs_ID,'Company data'!$C81,F_inputs_company,'Company data'!$E81)*thousand</f>
        <v>636973</v>
      </c>
      <c r="H81" s="115">
        <f>SUMIFS(F_Inputs!G:G,F_inputs_ID,'Company data'!$C81,F_inputs_company,'Company data'!$E81)*thousand</f>
        <v>604280</v>
      </c>
      <c r="I81" s="115">
        <f>SUMIFS(F_Inputs!H:H,F_inputs_ID,'Company data'!$C81,F_inputs_company,'Company data'!$E81)*thousand</f>
        <v>569575</v>
      </c>
      <c r="J81" s="115">
        <f>SUMIFS(F_Inputs!I:I,F_inputs_ID,'Company data'!$C81,F_inputs_company,'Company data'!$E81)*thousand</f>
        <v>538596</v>
      </c>
      <c r="K81" s="115">
        <f>SUMIFS(F_Inputs!J:J,F_inputs_ID,'Company data'!$C81,F_inputs_company,'Company data'!$E81)*thousand</f>
        <v>496363</v>
      </c>
      <c r="L81" s="115">
        <f>SUMIFS(F_Inputs!K:K,F_inputs_ID,'Company data'!$C81,F_inputs_company,'Company data'!$E81)*thousand</f>
        <v>442558</v>
      </c>
      <c r="M81" s="115">
        <f>SUMIFS(F_Inputs!L:L,F_inputs_ID,'Company data'!$C81,F_inputs_company,'Company data'!$E81)*thousand</f>
        <v>385161</v>
      </c>
      <c r="N81" s="115">
        <f>SUMIFS(F_Inputs!M:M,F_inputs_ID,'Company data'!$C81,F_inputs_company,'Company data'!$E81)*thousand</f>
        <v>326534</v>
      </c>
      <c r="O81" s="31"/>
      <c r="P81" s="31"/>
      <c r="Q81" s="31"/>
      <c r="R81" s="31"/>
      <c r="S81" s="31"/>
      <c r="T81" s="31"/>
      <c r="U81" s="31"/>
      <c r="V81" s="31"/>
      <c r="W81" s="31"/>
      <c r="X81" s="31"/>
    </row>
    <row r="82" spans="1:24" x14ac:dyDescent="0.25">
      <c r="A82" s="31"/>
      <c r="B82" s="31"/>
      <c r="C82" s="9" t="s">
        <v>471</v>
      </c>
      <c r="D82" s="31" t="s">
        <v>157</v>
      </c>
      <c r="E82" s="31" t="s">
        <v>157</v>
      </c>
      <c r="F82" s="31" t="s">
        <v>500</v>
      </c>
      <c r="G82" s="115">
        <f>SUMIFS(F_Inputs!F:F,F_inputs_ID,'Company data'!$C82,F_inputs_company,'Company data'!$E82)*thousand</f>
        <v>97480</v>
      </c>
      <c r="H82" s="115">
        <f>SUMIFS(F_Inputs!G:G,F_inputs_ID,'Company data'!$C82,F_inputs_company,'Company data'!$E82)*thousand</f>
        <v>94640.927000000011</v>
      </c>
      <c r="I82" s="115">
        <f>SUMIFS(F_Inputs!H:H,F_inputs_ID,'Company data'!$C82,F_inputs_company,'Company data'!$E82)*thousand</f>
        <v>99679</v>
      </c>
      <c r="J82" s="115">
        <f>SUMIFS(F_Inputs!I:I,F_inputs_ID,'Company data'!$C82,F_inputs_company,'Company data'!$E82)*thousand</f>
        <v>99625</v>
      </c>
      <c r="K82" s="115">
        <f>SUMIFS(F_Inputs!J:J,F_inputs_ID,'Company data'!$C82,F_inputs_company,'Company data'!$E82)*thousand</f>
        <v>97895</v>
      </c>
      <c r="L82" s="115">
        <f>SUMIFS(F_Inputs!K:K,F_inputs_ID,'Company data'!$C82,F_inputs_company,'Company data'!$E82)*thousand</f>
        <v>94687</v>
      </c>
      <c r="M82" s="115">
        <f>SUMIFS(F_Inputs!L:L,F_inputs_ID,'Company data'!$C82,F_inputs_company,'Company data'!$E82)*thousand</f>
        <v>91200</v>
      </c>
      <c r="N82" s="115">
        <f>SUMIFS(F_Inputs!M:M,F_inputs_ID,'Company data'!$C82,F_inputs_company,'Company data'!$E82)*thousand</f>
        <v>88089</v>
      </c>
      <c r="O82" s="31"/>
      <c r="P82" s="31"/>
      <c r="Q82" s="31"/>
      <c r="R82" s="31"/>
      <c r="S82" s="31"/>
      <c r="T82" s="31"/>
      <c r="U82" s="31"/>
      <c r="V82" s="31"/>
      <c r="W82" s="31"/>
      <c r="X82" s="31"/>
    </row>
    <row r="83" spans="1:24" x14ac:dyDescent="0.25">
      <c r="A83" s="31"/>
      <c r="B83" s="31"/>
      <c r="C83" s="9" t="s">
        <v>471</v>
      </c>
      <c r="D83" s="31" t="s">
        <v>235</v>
      </c>
      <c r="E83" s="31" t="s">
        <v>235</v>
      </c>
      <c r="F83" s="31" t="s">
        <v>500</v>
      </c>
      <c r="G83" s="115">
        <f>SUMIFS(F_Inputs!F:F,F_inputs_ID,'Company data'!$C83,F_inputs_company,'Company data'!$E83)*thousand</f>
        <v>239792</v>
      </c>
      <c r="H83" s="115">
        <f>SUMIFS(F_Inputs!G:G,F_inputs_ID,'Company data'!$C83,F_inputs_company,'Company data'!$E83)*thousand</f>
        <v>224438</v>
      </c>
      <c r="I83" s="115">
        <f>SUMIFS(F_Inputs!H:H,F_inputs_ID,'Company data'!$C83,F_inputs_company,'Company data'!$E83)*thousand</f>
        <v>200977</v>
      </c>
      <c r="J83" s="115">
        <f>SUMIFS(F_Inputs!I:I,F_inputs_ID,'Company data'!$C83,F_inputs_company,'Company data'!$E83)*thousand</f>
        <v>169969</v>
      </c>
      <c r="K83" s="115">
        <f>SUMIFS(F_Inputs!J:J,F_inputs_ID,'Company data'!$C83,F_inputs_company,'Company data'!$E83)*thousand</f>
        <v>162904</v>
      </c>
      <c r="L83" s="115">
        <f>SUMIFS(F_Inputs!K:K,F_inputs_ID,'Company data'!$C83,F_inputs_company,'Company data'!$E83)*thousand</f>
        <v>155469</v>
      </c>
      <c r="M83" s="115">
        <f>SUMIFS(F_Inputs!L:L,F_inputs_ID,'Company data'!$C83,F_inputs_company,'Company data'!$E83)*thousand</f>
        <v>147805</v>
      </c>
      <c r="N83" s="115">
        <f>SUMIFS(F_Inputs!M:M,F_inputs_ID,'Company data'!$C83,F_inputs_company,'Company data'!$E83)*thousand</f>
        <v>139626</v>
      </c>
      <c r="O83" s="31"/>
      <c r="P83" s="31"/>
      <c r="Q83" s="31"/>
      <c r="R83" s="31"/>
      <c r="S83" s="31"/>
      <c r="T83" s="31"/>
      <c r="U83" s="31"/>
      <c r="V83" s="31"/>
      <c r="W83" s="31"/>
      <c r="X83" s="31"/>
    </row>
    <row r="84" spans="1:24" x14ac:dyDescent="0.25">
      <c r="A84" s="31"/>
      <c r="B84" s="31"/>
      <c r="C84" s="9" t="s">
        <v>471</v>
      </c>
      <c r="D84" s="31" t="s">
        <v>237</v>
      </c>
      <c r="E84" s="31" t="s">
        <v>237</v>
      </c>
      <c r="F84" s="31" t="s">
        <v>500</v>
      </c>
      <c r="G84" s="115">
        <f>SUMIFS(F_Inputs!F:F,F_inputs_ID,'Company data'!$C84,F_inputs_company,'Company data'!$E84)*thousand</f>
        <v>27821.362776746402</v>
      </c>
      <c r="H84" s="115">
        <f>SUMIFS(F_Inputs!G:G,F_inputs_ID,'Company data'!$C84,F_inputs_company,'Company data'!$E84)*thousand</f>
        <v>31675</v>
      </c>
      <c r="I84" s="115">
        <f>SUMIFS(F_Inputs!H:H,F_inputs_ID,'Company data'!$C84,F_inputs_company,'Company data'!$E84)*thousand</f>
        <v>30953</v>
      </c>
      <c r="J84" s="115">
        <f>SUMIFS(F_Inputs!I:I,F_inputs_ID,'Company data'!$C84,F_inputs_company,'Company data'!$E84)*thousand</f>
        <v>30099</v>
      </c>
      <c r="K84" s="115">
        <f>SUMIFS(F_Inputs!J:J,F_inputs_ID,'Company data'!$C84,F_inputs_company,'Company data'!$E84)*thousand</f>
        <v>29272</v>
      </c>
      <c r="L84" s="115">
        <f>SUMIFS(F_Inputs!K:K,F_inputs_ID,'Company data'!$C84,F_inputs_company,'Company data'!$E84)*thousand</f>
        <v>28469</v>
      </c>
      <c r="M84" s="115">
        <f>SUMIFS(F_Inputs!L:L,F_inputs_ID,'Company data'!$C84,F_inputs_company,'Company data'!$E84)*thousand</f>
        <v>27692</v>
      </c>
      <c r="N84" s="115">
        <f>SUMIFS(F_Inputs!M:M,F_inputs_ID,'Company data'!$C84,F_inputs_company,'Company data'!$E84)*thousand</f>
        <v>26939</v>
      </c>
      <c r="O84" s="31"/>
      <c r="P84" s="31"/>
      <c r="Q84" s="31"/>
      <c r="R84" s="31"/>
      <c r="S84" s="31"/>
      <c r="T84" s="31"/>
      <c r="U84" s="31"/>
      <c r="V84" s="31"/>
      <c r="W84" s="31"/>
      <c r="X84" s="31"/>
    </row>
    <row r="85" spans="1:24" x14ac:dyDescent="0.25">
      <c r="A85" s="31"/>
      <c r="B85" s="31"/>
      <c r="C85" s="9" t="s">
        <v>471</v>
      </c>
      <c r="D85" s="31" t="s">
        <v>186</v>
      </c>
      <c r="E85" s="31" t="s">
        <v>186</v>
      </c>
      <c r="F85" s="31" t="s">
        <v>500</v>
      </c>
      <c r="G85" s="115">
        <f>SUMIFS(F_Inputs!F:F,F_inputs_ID,'Company data'!$C85,F_inputs_company,'Company data'!$E85)*thousand</f>
        <v>291119</v>
      </c>
      <c r="H85" s="115">
        <f>SUMIFS(F_Inputs!G:G,F_inputs_ID,'Company data'!$C85,F_inputs_company,'Company data'!$E85)*thousand</f>
        <v>284319</v>
      </c>
      <c r="I85" s="115">
        <f>SUMIFS(F_Inputs!H:H,F_inputs_ID,'Company data'!$C85,F_inputs_company,'Company data'!$E85)*thousand</f>
        <v>273929</v>
      </c>
      <c r="J85" s="115">
        <f>SUMIFS(F_Inputs!I:I,F_inputs_ID,'Company data'!$C85,F_inputs_company,'Company data'!$E85)*thousand</f>
        <v>266002</v>
      </c>
      <c r="K85" s="115">
        <f>SUMIFS(F_Inputs!J:J,F_inputs_ID,'Company data'!$C85,F_inputs_company,'Company data'!$E85)*thousand</f>
        <v>255061</v>
      </c>
      <c r="L85" s="115">
        <f>SUMIFS(F_Inputs!K:K,F_inputs_ID,'Company data'!$C85,F_inputs_company,'Company data'!$E85)*thousand</f>
        <v>244495</v>
      </c>
      <c r="M85" s="115">
        <f>SUMIFS(F_Inputs!L:L,F_inputs_ID,'Company data'!$C85,F_inputs_company,'Company data'!$E85)*thousand</f>
        <v>234238</v>
      </c>
      <c r="N85" s="115">
        <f>SUMIFS(F_Inputs!M:M,F_inputs_ID,'Company data'!$C85,F_inputs_company,'Company data'!$E85)*thousand</f>
        <v>224408</v>
      </c>
      <c r="O85" s="31"/>
      <c r="P85" s="31"/>
      <c r="Q85" s="31"/>
      <c r="R85" s="31"/>
      <c r="S85" s="31"/>
      <c r="T85" s="31"/>
      <c r="U85" s="31"/>
      <c r="V85" s="31"/>
      <c r="W85" s="31"/>
      <c r="X85" s="31"/>
    </row>
    <row r="86" spans="1:24" x14ac:dyDescent="0.25">
      <c r="A86" s="31"/>
      <c r="B86" s="31"/>
      <c r="C86" s="9" t="s">
        <v>471</v>
      </c>
      <c r="D86" s="31" t="s">
        <v>239</v>
      </c>
      <c r="E86" s="31" t="s">
        <v>239</v>
      </c>
      <c r="F86" s="31" t="s">
        <v>500</v>
      </c>
      <c r="G86" s="115">
        <f>SUMIFS(F_Inputs!F:F,F_inputs_ID,'Company data'!$C86,F_inputs_company,'Company data'!$E86)*thousand</f>
        <v>204160</v>
      </c>
      <c r="H86" s="115">
        <f>SUMIFS(F_Inputs!G:G,F_inputs_ID,'Company data'!$C86,F_inputs_company,'Company data'!$E86)*thousand</f>
        <v>201669</v>
      </c>
      <c r="I86" s="115">
        <f>SUMIFS(F_Inputs!H:H,F_inputs_ID,'Company data'!$C86,F_inputs_company,'Company data'!$E86)*thousand</f>
        <v>197605</v>
      </c>
      <c r="J86" s="115">
        <f>SUMIFS(F_Inputs!I:I,F_inputs_ID,'Company data'!$C86,F_inputs_company,'Company data'!$E86)*thousand</f>
        <v>192605</v>
      </c>
      <c r="K86" s="115">
        <f>SUMIFS(F_Inputs!J:J,F_inputs_ID,'Company data'!$C86,F_inputs_company,'Company data'!$E86)*thousand</f>
        <v>187605</v>
      </c>
      <c r="L86" s="115">
        <f>SUMIFS(F_Inputs!K:K,F_inputs_ID,'Company data'!$C86,F_inputs_company,'Company data'!$E86)*thousand</f>
        <v>182605</v>
      </c>
      <c r="M86" s="115">
        <f>SUMIFS(F_Inputs!L:L,F_inputs_ID,'Company data'!$C86,F_inputs_company,'Company data'!$E86)*thousand</f>
        <v>177605</v>
      </c>
      <c r="N86" s="115">
        <f>SUMIFS(F_Inputs!M:M,F_inputs_ID,'Company data'!$C86,F_inputs_company,'Company data'!$E86)*thousand</f>
        <v>172605</v>
      </c>
      <c r="O86" s="31"/>
      <c r="P86" s="31"/>
      <c r="Q86" s="31"/>
      <c r="R86" s="31"/>
      <c r="S86" s="31"/>
      <c r="T86" s="31"/>
      <c r="U86" s="31"/>
      <c r="V86" s="31"/>
      <c r="W86" s="31"/>
      <c r="X86" s="31"/>
    </row>
    <row r="87" spans="1:24" x14ac:dyDescent="0.25">
      <c r="A87" s="31"/>
      <c r="B87" s="31"/>
      <c r="C87" s="9" t="s">
        <v>471</v>
      </c>
      <c r="D87" s="31" t="s">
        <v>165</v>
      </c>
      <c r="E87" s="31" t="s">
        <v>165</v>
      </c>
      <c r="F87" s="31" t="s">
        <v>500</v>
      </c>
      <c r="G87" s="115">
        <f>SUMIFS(F_Inputs!F:F,F_inputs_ID,'Company data'!$C87,F_inputs_company,'Company data'!$E87)*thousand</f>
        <v>122804</v>
      </c>
      <c r="H87" s="115">
        <f>SUMIFS(F_Inputs!G:G,F_inputs_ID,'Company data'!$C87,F_inputs_company,'Company data'!$E87)*thousand</f>
        <v>117109</v>
      </c>
      <c r="I87" s="115">
        <f>SUMIFS(F_Inputs!H:H,F_inputs_ID,'Company data'!$C87,F_inputs_company,'Company data'!$E87)*thousand</f>
        <v>109772</v>
      </c>
      <c r="J87" s="115">
        <f>SUMIFS(F_Inputs!I:I,F_inputs_ID,'Company data'!$C87,F_inputs_company,'Company data'!$E87)*thousand</f>
        <v>98099</v>
      </c>
      <c r="K87" s="115">
        <f>SUMIFS(F_Inputs!J:J,F_inputs_ID,'Company data'!$C87,F_inputs_company,'Company data'!$E87)*thousand</f>
        <v>81340</v>
      </c>
      <c r="L87" s="115">
        <f>SUMIFS(F_Inputs!K:K,F_inputs_ID,'Company data'!$C87,F_inputs_company,'Company data'!$E87)*thousand</f>
        <v>64943</v>
      </c>
      <c r="M87" s="115">
        <f>SUMIFS(F_Inputs!L:L,F_inputs_ID,'Company data'!$C87,F_inputs_company,'Company data'!$E87)*thousand</f>
        <v>48888</v>
      </c>
      <c r="N87" s="115">
        <f>SUMIFS(F_Inputs!M:M,F_inputs_ID,'Company data'!$C87,F_inputs_company,'Company data'!$E87)*thousand</f>
        <v>33154</v>
      </c>
      <c r="O87" s="31"/>
      <c r="P87" s="31"/>
      <c r="Q87" s="31"/>
      <c r="R87" s="31"/>
      <c r="S87" s="31"/>
      <c r="T87" s="31"/>
      <c r="U87" s="31"/>
      <c r="V87" s="31"/>
      <c r="W87" s="31"/>
      <c r="X87" s="31"/>
    </row>
    <row r="88" spans="1:24" x14ac:dyDescent="0.25">
      <c r="A88" s="31"/>
      <c r="B88" s="31"/>
      <c r="C88" s="9" t="s">
        <v>471</v>
      </c>
      <c r="D88" s="31" t="s">
        <v>241</v>
      </c>
      <c r="E88" s="31" t="s">
        <v>241</v>
      </c>
      <c r="F88" s="31" t="s">
        <v>500</v>
      </c>
      <c r="G88" s="115">
        <f>SUMIFS(F_Inputs!F:F,F_inputs_ID,'Company data'!$C88,F_inputs_company,'Company data'!$E88)*thousand</f>
        <v>142376</v>
      </c>
      <c r="H88" s="115">
        <f>SUMIFS(F_Inputs!G:G,F_inputs_ID,'Company data'!$C88,F_inputs_company,'Company data'!$E88)*thousand</f>
        <v>106678</v>
      </c>
      <c r="I88" s="115">
        <f>SUMIFS(F_Inputs!H:H,F_inputs_ID,'Company data'!$C88,F_inputs_company,'Company data'!$E88)*thousand</f>
        <v>113035</v>
      </c>
      <c r="J88" s="115">
        <f>SUMIFS(F_Inputs!I:I,F_inputs_ID,'Company data'!$C88,F_inputs_company,'Company data'!$E88)*thousand</f>
        <v>112547</v>
      </c>
      <c r="K88" s="115">
        <f>SUMIFS(F_Inputs!J:J,F_inputs_ID,'Company data'!$C88,F_inputs_company,'Company data'!$E88)*thousand</f>
        <v>112156</v>
      </c>
      <c r="L88" s="115">
        <f>SUMIFS(F_Inputs!K:K,F_inputs_ID,'Company data'!$C88,F_inputs_company,'Company data'!$E88)*thousand</f>
        <v>111863</v>
      </c>
      <c r="M88" s="115">
        <f>SUMIFS(F_Inputs!L:L,F_inputs_ID,'Company data'!$C88,F_inputs_company,'Company data'!$E88)*thousand</f>
        <v>111667</v>
      </c>
      <c r="N88" s="115">
        <f>SUMIFS(F_Inputs!M:M,F_inputs_ID,'Company data'!$C88,F_inputs_company,'Company data'!$E88)*thousand</f>
        <v>111570</v>
      </c>
      <c r="O88" s="31"/>
      <c r="P88" s="31"/>
      <c r="Q88" s="31"/>
      <c r="R88" s="31"/>
      <c r="S88" s="31"/>
      <c r="T88" s="31"/>
      <c r="U88" s="31"/>
      <c r="V88" s="31"/>
      <c r="W88" s="31"/>
      <c r="X88" s="31"/>
    </row>
    <row r="89" spans="1:24" x14ac:dyDescent="0.25">
      <c r="A89" s="31"/>
      <c r="B89" s="31"/>
      <c r="C89" s="9" t="s">
        <v>471</v>
      </c>
      <c r="D89" s="31" t="s">
        <v>205</v>
      </c>
      <c r="E89" s="31" t="s">
        <v>205</v>
      </c>
      <c r="F89" s="31" t="s">
        <v>500</v>
      </c>
      <c r="G89" s="115">
        <f>SUMIFS(F_Inputs!F:F,F_inputs_ID,'Company data'!$C89,F_inputs_company,'Company data'!$E89)*thousand</f>
        <v>15736</v>
      </c>
      <c r="H89" s="115">
        <f>SUMIFS(F_Inputs!G:G,F_inputs_ID,'Company data'!$C89,F_inputs_company,'Company data'!$E89)*thousand</f>
        <v>15693</v>
      </c>
      <c r="I89" s="115">
        <f>SUMIFS(F_Inputs!H:H,F_inputs_ID,'Company data'!$C89,F_inputs_company,'Company data'!$E89)*thousand</f>
        <v>15943</v>
      </c>
      <c r="J89" s="115">
        <f>SUMIFS(F_Inputs!I:I,F_inputs_ID,'Company data'!$C89,F_inputs_company,'Company data'!$E89)*thousand</f>
        <v>15193</v>
      </c>
      <c r="K89" s="115">
        <f>SUMIFS(F_Inputs!J:J,F_inputs_ID,'Company data'!$C89,F_inputs_company,'Company data'!$E89)*thousand</f>
        <v>14419</v>
      </c>
      <c r="L89" s="115">
        <f>SUMIFS(F_Inputs!K:K,F_inputs_ID,'Company data'!$C89,F_inputs_company,'Company data'!$E89)*thousand</f>
        <v>13603</v>
      </c>
      <c r="M89" s="115">
        <f>SUMIFS(F_Inputs!L:L,F_inputs_ID,'Company data'!$C89,F_inputs_company,'Company data'!$E89)*thousand</f>
        <v>12791</v>
      </c>
      <c r="N89" s="115">
        <f>SUMIFS(F_Inputs!M:M,F_inputs_ID,'Company data'!$C89,F_inputs_company,'Company data'!$E89)*thousand</f>
        <v>11974</v>
      </c>
      <c r="O89" s="31"/>
      <c r="P89" s="31"/>
      <c r="Q89" s="31"/>
      <c r="R89" s="31"/>
      <c r="S89" s="31"/>
      <c r="T89" s="31"/>
      <c r="U89" s="31"/>
      <c r="V89" s="31"/>
      <c r="W89" s="31"/>
      <c r="X89" s="31"/>
    </row>
    <row r="90" spans="1:24" x14ac:dyDescent="0.25">
      <c r="A90" s="31"/>
      <c r="B90" s="31"/>
      <c r="C90" s="9" t="s">
        <v>471</v>
      </c>
      <c r="D90" s="31" t="s">
        <v>297</v>
      </c>
      <c r="E90" s="31" t="s">
        <v>297</v>
      </c>
      <c r="F90" s="31" t="s">
        <v>500</v>
      </c>
      <c r="G90" s="115">
        <f>SUMIFS(F_Inputs!F:F,F_inputs_ID,'Company data'!$C90,F_inputs_company,'Company data'!$E90)*thousand</f>
        <v>380905.06575328403</v>
      </c>
      <c r="H90" s="115">
        <f>SUMIFS(F_Inputs!G:G,F_inputs_ID,'Company data'!$C90,F_inputs_company,'Company data'!$E90)*thousand</f>
        <v>374117</v>
      </c>
      <c r="I90" s="115">
        <f>SUMIFS(F_Inputs!H:H,F_inputs_ID,'Company data'!$C90,F_inputs_company,'Company data'!$E90)*thousand</f>
        <v>359613.11282850301</v>
      </c>
      <c r="J90" s="115">
        <f>SUMIFS(F_Inputs!I:I,F_inputs_ID,'Company data'!$C90,F_inputs_company,'Company data'!$E90)*thousand</f>
        <v>358613.32107844698</v>
      </c>
      <c r="K90" s="115">
        <f>SUMIFS(F_Inputs!J:J,F_inputs_ID,'Company data'!$C90,F_inputs_company,'Company data'!$E90)*thousand</f>
        <v>349212.074289168</v>
      </c>
      <c r="L90" s="115">
        <f>SUMIFS(F_Inputs!K:K,F_inputs_ID,'Company data'!$C90,F_inputs_company,'Company data'!$E90)*thousand</f>
        <v>339860.63805653201</v>
      </c>
      <c r="M90" s="115">
        <f>SUMIFS(F_Inputs!L:L,F_inputs_ID,'Company data'!$C90,F_inputs_company,'Company data'!$E90)*thousand</f>
        <v>330557.76584035699</v>
      </c>
      <c r="N90" s="115">
        <f>SUMIFS(F_Inputs!M:M,F_inputs_ID,'Company data'!$C90,F_inputs_company,'Company data'!$E90)*thousand</f>
        <v>321302.30526911601</v>
      </c>
      <c r="O90" s="31"/>
      <c r="P90" s="31"/>
      <c r="Q90" s="31"/>
      <c r="R90" s="31"/>
      <c r="S90" s="31"/>
      <c r="T90" s="31"/>
      <c r="U90" s="31"/>
      <c r="V90" s="31"/>
      <c r="W90" s="31"/>
      <c r="X90" s="31"/>
    </row>
    <row r="91" spans="1:24" x14ac:dyDescent="0.25">
      <c r="A91" s="31"/>
      <c r="B91" s="31"/>
      <c r="C91" s="9" t="s">
        <v>471</v>
      </c>
      <c r="D91" s="31" t="s">
        <v>198</v>
      </c>
      <c r="E91" s="31" t="s">
        <v>198</v>
      </c>
      <c r="F91" s="31" t="s">
        <v>500</v>
      </c>
      <c r="G91" s="115">
        <f>SUMIFS(F_Inputs!F:F,F_inputs_ID,'Company data'!$C91,F_inputs_company,'Company data'!$E91)*thousand</f>
        <v>141670.63722325402</v>
      </c>
      <c r="H91" s="115">
        <f>SUMIFS(F_Inputs!G:G,F_inputs_ID,'Company data'!$C91,F_inputs_company,'Company data'!$E91)*thousand</f>
        <v>147546</v>
      </c>
      <c r="I91" s="115">
        <f>SUMIFS(F_Inputs!H:H,F_inputs_ID,'Company data'!$C91,F_inputs_company,'Company data'!$E91)*thousand</f>
        <v>137249.16838808401</v>
      </c>
      <c r="J91" s="115">
        <f>SUMIFS(F_Inputs!I:I,F_inputs_ID,'Company data'!$C91,F_inputs_company,'Company data'!$E91)*thousand</f>
        <v>131087.77164515</v>
      </c>
      <c r="K91" s="115">
        <f>SUMIFS(F_Inputs!J:J,F_inputs_ID,'Company data'!$C91,F_inputs_company,'Company data'!$E91)*thousand</f>
        <v>124974.341317964</v>
      </c>
      <c r="L91" s="115">
        <f>SUMIFS(F_Inputs!K:K,F_inputs_ID,'Company data'!$C91,F_inputs_company,'Company data'!$E91)*thousand</f>
        <v>118908.33508751</v>
      </c>
      <c r="M91" s="115">
        <f>SUMIFS(F_Inputs!L:L,F_inputs_ID,'Company data'!$C91,F_inputs_company,'Company data'!$E91)*thousand</f>
        <v>112889.311049638</v>
      </c>
      <c r="N91" s="115">
        <f>SUMIFS(F_Inputs!M:M,F_inputs_ID,'Company data'!$C91,F_inputs_company,'Company data'!$E91)*thousand</f>
        <v>106915.572238568</v>
      </c>
      <c r="O91" s="31"/>
      <c r="P91" s="31"/>
      <c r="Q91" s="31"/>
      <c r="R91" s="31"/>
      <c r="S91" s="31"/>
      <c r="T91" s="31"/>
      <c r="U91" s="31"/>
      <c r="V91" s="31"/>
      <c r="W91" s="31"/>
      <c r="X91" s="31"/>
    </row>
    <row r="92" spans="1:24" x14ac:dyDescent="0.25">
      <c r="A92" s="31"/>
      <c r="B92" s="31"/>
      <c r="C92" s="9" t="s">
        <v>471</v>
      </c>
      <c r="D92" s="31" t="s">
        <v>167</v>
      </c>
      <c r="E92" s="31" t="s">
        <v>167</v>
      </c>
      <c r="F92" s="31" t="s">
        <v>500</v>
      </c>
      <c r="G92" s="115">
        <f>SUMIFS(F_Inputs!F:F,F_inputs_ID,'Company data'!$C92,F_inputs_company,'Company data'!$E92)*thousand</f>
        <v>87769</v>
      </c>
      <c r="H92" s="115">
        <f>SUMIFS(F_Inputs!G:G,F_inputs_ID,'Company data'!$C92,F_inputs_company,'Company data'!$E92)*thousand</f>
        <v>0</v>
      </c>
      <c r="I92" s="115">
        <f>SUMIFS(F_Inputs!H:H,F_inputs_ID,'Company data'!$C92,F_inputs_company,'Company data'!$E92)*thousand</f>
        <v>83603</v>
      </c>
      <c r="J92" s="115">
        <f>SUMIFS(F_Inputs!I:I,F_inputs_ID,'Company data'!$C92,F_inputs_company,'Company data'!$E92)*thousand</f>
        <v>81739</v>
      </c>
      <c r="K92" s="115">
        <f>SUMIFS(F_Inputs!J:J,F_inputs_ID,'Company data'!$C92,F_inputs_company,'Company data'!$E92)*thousand</f>
        <v>79406</v>
      </c>
      <c r="L92" s="115">
        <f>SUMIFS(F_Inputs!K:K,F_inputs_ID,'Company data'!$C92,F_inputs_company,'Company data'!$E92)*thousand</f>
        <v>76996</v>
      </c>
      <c r="M92" s="115">
        <f>SUMIFS(F_Inputs!L:L,F_inputs_ID,'Company data'!$C92,F_inputs_company,'Company data'!$E92)*thousand</f>
        <v>74712</v>
      </c>
      <c r="N92" s="115">
        <f>SUMIFS(F_Inputs!M:M,F_inputs_ID,'Company data'!$C92,F_inputs_company,'Company data'!$E92)*thousand</f>
        <v>72546</v>
      </c>
      <c r="O92" s="31"/>
      <c r="P92" s="31"/>
      <c r="Q92" s="31"/>
      <c r="R92" s="31"/>
      <c r="S92" s="31"/>
      <c r="T92" s="31"/>
      <c r="U92" s="31"/>
      <c r="V92" s="31"/>
      <c r="W92" s="31"/>
      <c r="X92" s="31"/>
    </row>
    <row r="93" spans="1:24" x14ac:dyDescent="0.25">
      <c r="A93" s="31"/>
      <c r="B93" s="31"/>
      <c r="C93" s="9" t="s">
        <v>471</v>
      </c>
      <c r="D93" s="31" t="s">
        <v>249</v>
      </c>
      <c r="E93" s="31" t="s">
        <v>249</v>
      </c>
      <c r="F93" s="31" t="s">
        <v>500</v>
      </c>
      <c r="G93" s="115">
        <f>SUMIFS(F_Inputs!F:F,F_inputs_ID,'Company data'!$C93,F_inputs_company,'Company data'!$E93)*thousand</f>
        <v>25662</v>
      </c>
      <c r="H93" s="115">
        <f>SUMIFS(F_Inputs!G:G,F_inputs_ID,'Company data'!$C93,F_inputs_company,'Company data'!$E93)*thousand</f>
        <v>25755</v>
      </c>
      <c r="I93" s="115">
        <f>SUMIFS(F_Inputs!H:H,F_inputs_ID,'Company data'!$C93,F_inputs_company,'Company data'!$E93)*thousand</f>
        <v>23875</v>
      </c>
      <c r="J93" s="115">
        <f>SUMIFS(F_Inputs!I:I,F_inputs_ID,'Company data'!$C93,F_inputs_company,'Company data'!$E93)*thousand</f>
        <v>22394</v>
      </c>
      <c r="K93" s="115">
        <f>SUMIFS(F_Inputs!J:J,F_inputs_ID,'Company data'!$C93,F_inputs_company,'Company data'!$E93)*thousand</f>
        <v>21961</v>
      </c>
      <c r="L93" s="115">
        <f>SUMIFS(F_Inputs!K:K,F_inputs_ID,'Company data'!$C93,F_inputs_company,'Company data'!$E93)*thousand</f>
        <v>21036</v>
      </c>
      <c r="M93" s="115">
        <f>SUMIFS(F_Inputs!L:L,F_inputs_ID,'Company data'!$C93,F_inputs_company,'Company data'!$E93)*thousand</f>
        <v>20140</v>
      </c>
      <c r="N93" s="115">
        <f>SUMIFS(F_Inputs!M:M,F_inputs_ID,'Company data'!$C93,F_inputs_company,'Company data'!$E93)*thousand</f>
        <v>18925</v>
      </c>
      <c r="O93" s="31"/>
      <c r="P93" s="31"/>
      <c r="Q93" s="31"/>
      <c r="R93" s="31"/>
      <c r="S93" s="31"/>
      <c r="T93" s="31"/>
      <c r="U93" s="31"/>
      <c r="V93" s="31"/>
      <c r="W93" s="31"/>
      <c r="X93" s="31"/>
    </row>
    <row r="94" spans="1:24" x14ac:dyDescent="0.25">
      <c r="A94" s="31"/>
      <c r="B94" s="31"/>
      <c r="C94" s="9" t="s">
        <v>471</v>
      </c>
      <c r="D94" s="31" t="s">
        <v>190</v>
      </c>
      <c r="E94" s="31" t="s">
        <v>501</v>
      </c>
      <c r="F94" s="31" t="s">
        <v>500</v>
      </c>
      <c r="G94" s="115">
        <f>SUMIFS(F_Inputs!F:F,F_inputs_ID,'Company data'!$C94,F_inputs_company,'Company data'!$E94)*thousand</f>
        <v>44146.384615384595</v>
      </c>
      <c r="H94" s="115">
        <f>SUMIFS(F_Inputs!G:G,F_inputs_ID,'Company data'!$C94,F_inputs_company,'Company data'!$E94)*thousand</f>
        <v>43432</v>
      </c>
      <c r="I94" s="115">
        <f>SUMIFS(F_Inputs!H:H,F_inputs_ID,'Company data'!$C94,F_inputs_company,'Company data'!$E94)*thousand</f>
        <v>42286.851852595399</v>
      </c>
      <c r="J94" s="115">
        <f>SUMIFS(F_Inputs!I:I,F_inputs_ID,'Company data'!$C94,F_inputs_company,'Company data'!$E94)*thousand</f>
        <v>41355.527602857299</v>
      </c>
      <c r="K94" s="115">
        <f>SUMIFS(F_Inputs!J:J,F_inputs_ID,'Company data'!$C94,F_inputs_company,'Company data'!$E94)*thousand</f>
        <v>40433.7655633705</v>
      </c>
      <c r="L94" s="115">
        <f>SUMIFS(F_Inputs!K:K,F_inputs_ID,'Company data'!$C94,F_inputs_company,'Company data'!$E94)*thousand</f>
        <v>39522.259940704404</v>
      </c>
      <c r="M94" s="115">
        <f>SUMIFS(F_Inputs!L:L,F_inputs_ID,'Company data'!$C94,F_inputs_company,'Company data'!$E94)*thousand</f>
        <v>38623.274381350398</v>
      </c>
      <c r="N94" s="115">
        <f>SUMIFS(F_Inputs!M:M,F_inputs_ID,'Company data'!$C94,F_inputs_company,'Company data'!$E94)*thousand</f>
        <v>37737.924147597296</v>
      </c>
      <c r="O94" s="31"/>
      <c r="P94" s="31"/>
      <c r="Q94" s="31"/>
      <c r="R94" s="31"/>
      <c r="S94" s="31"/>
      <c r="T94" s="31"/>
      <c r="U94" s="31"/>
      <c r="V94" s="31"/>
      <c r="W94" s="31"/>
      <c r="X94" s="31"/>
    </row>
    <row r="95" spans="1:24" x14ac:dyDescent="0.25">
      <c r="A95" s="31"/>
      <c r="B95" s="31"/>
      <c r="C95" s="9" t="s">
        <v>471</v>
      </c>
      <c r="D95" s="31" t="s">
        <v>252</v>
      </c>
      <c r="E95" s="31" t="s">
        <v>252</v>
      </c>
      <c r="F95" s="31" t="s">
        <v>500</v>
      </c>
      <c r="G95" s="115">
        <f>SUMIFS(F_Inputs!F:F,F_inputs_ID,'Company data'!$C95,F_inputs_company,'Company data'!$E95)*thousand</f>
        <v>52845</v>
      </c>
      <c r="H95" s="115">
        <f>SUMIFS(F_Inputs!G:G,F_inputs_ID,'Company data'!$C95,F_inputs_company,'Company data'!$E95)*thousand</f>
        <v>52615</v>
      </c>
      <c r="I95" s="115">
        <f>SUMIFS(F_Inputs!H:H,F_inputs_ID,'Company data'!$C95,F_inputs_company,'Company data'!$E95)*thousand</f>
        <v>51511</v>
      </c>
      <c r="J95" s="115">
        <f>SUMIFS(F_Inputs!I:I,F_inputs_ID,'Company data'!$C95,F_inputs_company,'Company data'!$E95)*thousand</f>
        <v>50804</v>
      </c>
      <c r="K95" s="115">
        <f>SUMIFS(F_Inputs!J:J,F_inputs_ID,'Company data'!$C95,F_inputs_company,'Company data'!$E95)*thousand</f>
        <v>50012</v>
      </c>
      <c r="L95" s="115">
        <f>SUMIFS(F_Inputs!K:K,F_inputs_ID,'Company data'!$C95,F_inputs_company,'Company data'!$E95)*thousand</f>
        <v>49241</v>
      </c>
      <c r="M95" s="115">
        <f>SUMIFS(F_Inputs!L:L,F_inputs_ID,'Company data'!$C95,F_inputs_company,'Company data'!$E95)*thousand</f>
        <v>48490</v>
      </c>
      <c r="N95" s="115">
        <f>SUMIFS(F_Inputs!M:M,F_inputs_ID,'Company data'!$C95,F_inputs_company,'Company data'!$E95)*thousand</f>
        <v>47760</v>
      </c>
      <c r="O95" s="31"/>
      <c r="P95" s="31"/>
      <c r="Q95" s="31"/>
      <c r="R95" s="31"/>
      <c r="S95" s="31"/>
      <c r="T95" s="31"/>
      <c r="U95" s="31"/>
      <c r="V95" s="31"/>
      <c r="W95" s="31"/>
      <c r="X95" s="31"/>
    </row>
    <row r="96" spans="1:24" x14ac:dyDescent="0.25">
      <c r="A96" s="31"/>
      <c r="B96" s="31"/>
      <c r="C96" s="9" t="s">
        <v>471</v>
      </c>
      <c r="D96" s="31" t="s">
        <v>169</v>
      </c>
      <c r="E96" s="31" t="s">
        <v>169</v>
      </c>
      <c r="F96" s="31" t="s">
        <v>500</v>
      </c>
      <c r="G96" s="115">
        <f>SUMIFS(F_Inputs!F:F,F_inputs_ID,'Company data'!$C96,F_inputs_company,'Company data'!$E96)*thousand</f>
        <v>20470</v>
      </c>
      <c r="H96" s="115">
        <f>SUMIFS(F_Inputs!G:G,F_inputs_ID,'Company data'!$C96,F_inputs_company,'Company data'!$E96)*thousand</f>
        <v>19828</v>
      </c>
      <c r="I96" s="115">
        <f>SUMIFS(F_Inputs!H:H,F_inputs_ID,'Company data'!$C96,F_inputs_company,'Company data'!$E96)*thousand</f>
        <v>18276</v>
      </c>
      <c r="J96" s="115">
        <f>SUMIFS(F_Inputs!I:I,F_inputs_ID,'Company data'!$C96,F_inputs_company,'Company data'!$E96)*thousand</f>
        <v>17322</v>
      </c>
      <c r="K96" s="115">
        <f>SUMIFS(F_Inputs!J:J,F_inputs_ID,'Company data'!$C96,F_inputs_company,'Company data'!$E96)*thousand</f>
        <v>16448</v>
      </c>
      <c r="L96" s="115">
        <f>SUMIFS(F_Inputs!K:K,F_inputs_ID,'Company data'!$C96,F_inputs_company,'Company data'!$E96)*thousand</f>
        <v>15646</v>
      </c>
      <c r="M96" s="115">
        <f>SUMIFS(F_Inputs!L:L,F_inputs_ID,'Company data'!$C96,F_inputs_company,'Company data'!$E96)*thousand</f>
        <v>14908</v>
      </c>
      <c r="N96" s="115">
        <f>SUMIFS(F_Inputs!M:M,F_inputs_ID,'Company data'!$C96,F_inputs_company,'Company data'!$E96)*thousand</f>
        <v>14227</v>
      </c>
      <c r="O96" s="31"/>
      <c r="P96" s="31"/>
      <c r="Q96" s="31"/>
      <c r="R96" s="31"/>
      <c r="S96" s="31"/>
      <c r="T96" s="31"/>
      <c r="U96" s="31"/>
      <c r="V96" s="31"/>
      <c r="W96" s="31"/>
      <c r="X96" s="31"/>
    </row>
    <row r="97" spans="1:24" x14ac:dyDescent="0.25">
      <c r="A97" s="31"/>
      <c r="B97" s="31"/>
      <c r="C97" s="9" t="s">
        <v>471</v>
      </c>
      <c r="D97" s="31" t="s">
        <v>171</v>
      </c>
      <c r="E97" s="31" t="s">
        <v>171</v>
      </c>
      <c r="F97" s="31" t="s">
        <v>500</v>
      </c>
      <c r="G97" s="115">
        <f>SUMIFS(F_Inputs!F:F,F_inputs_ID,'Company data'!$C97,F_inputs_company,'Company data'!$E97)*thousand</f>
        <v>56875</v>
      </c>
      <c r="H97" s="115">
        <f>SUMIFS(F_Inputs!G:G,F_inputs_ID,'Company data'!$C97,F_inputs_company,'Company data'!$E97)*thousand</f>
        <v>56124</v>
      </c>
      <c r="I97" s="115">
        <f>SUMIFS(F_Inputs!H:H,F_inputs_ID,'Company data'!$C97,F_inputs_company,'Company data'!$E97)*thousand</f>
        <v>56875</v>
      </c>
      <c r="J97" s="115">
        <f>SUMIFS(F_Inputs!I:I,F_inputs_ID,'Company data'!$C97,F_inputs_company,'Company data'!$E97)*thousand</f>
        <v>54106</v>
      </c>
      <c r="K97" s="115">
        <f>SUMIFS(F_Inputs!J:J,F_inputs_ID,'Company data'!$C97,F_inputs_company,'Company data'!$E97)*thousand</f>
        <v>52805</v>
      </c>
      <c r="L97" s="115">
        <f>SUMIFS(F_Inputs!K:K,F_inputs_ID,'Company data'!$C97,F_inputs_company,'Company data'!$E97)*thousand</f>
        <v>51471</v>
      </c>
      <c r="M97" s="115">
        <f>SUMIFS(F_Inputs!L:L,F_inputs_ID,'Company data'!$C97,F_inputs_company,'Company data'!$E97)*thousand</f>
        <v>50101</v>
      </c>
      <c r="N97" s="115">
        <f>SUMIFS(F_Inputs!M:M,F_inputs_ID,'Company data'!$C97,F_inputs_company,'Company data'!$E97)*thousand</f>
        <v>48697</v>
      </c>
      <c r="O97" s="31"/>
      <c r="P97" s="31"/>
      <c r="Q97" s="31"/>
      <c r="R97" s="31"/>
      <c r="S97" s="31"/>
      <c r="T97" s="31"/>
      <c r="U97" s="31"/>
      <c r="V97" s="31"/>
      <c r="W97" s="31"/>
      <c r="X97" s="31"/>
    </row>
    <row r="99" spans="1:24" x14ac:dyDescent="0.25">
      <c r="A99" s="9"/>
      <c r="B99" s="9"/>
      <c r="C99" s="31" t="s">
        <v>498</v>
      </c>
      <c r="D99" s="31" t="s">
        <v>150</v>
      </c>
      <c r="E99" s="31" t="s">
        <v>499</v>
      </c>
      <c r="F99" s="31" t="s">
        <v>151</v>
      </c>
      <c r="G99" s="9" t="s">
        <v>375</v>
      </c>
      <c r="H99" s="9" t="s">
        <v>376</v>
      </c>
      <c r="I99" s="9" t="s">
        <v>377</v>
      </c>
      <c r="J99" s="9" t="s">
        <v>174</v>
      </c>
      <c r="K99" s="9" t="s">
        <v>175</v>
      </c>
      <c r="L99" s="9" t="s">
        <v>176</v>
      </c>
      <c r="M99" s="9" t="s">
        <v>177</v>
      </c>
      <c r="N99" s="9" t="s">
        <v>178</v>
      </c>
      <c r="O99" s="9"/>
      <c r="P99" s="9"/>
      <c r="Q99" s="9"/>
      <c r="R99" s="9"/>
      <c r="S99" s="9"/>
      <c r="T99" s="9"/>
      <c r="U99" s="9"/>
      <c r="V99" s="9"/>
      <c r="W99" s="9"/>
      <c r="X99" s="9"/>
    </row>
    <row r="100" spans="1:24" x14ac:dyDescent="0.25">
      <c r="A100" s="9"/>
      <c r="B100" s="9"/>
      <c r="C100" s="9" t="s">
        <v>473</v>
      </c>
      <c r="D100" s="31" t="s">
        <v>231</v>
      </c>
      <c r="E100" s="31" t="s">
        <v>231</v>
      </c>
      <c r="F100" s="31" t="s">
        <v>500</v>
      </c>
      <c r="G100" s="115">
        <f>SUMIFS(F_Inputs!F:F,F_inputs_ID,'Company data'!$C100,F_inputs_company,'Company data'!$E100)*thousand</f>
        <v>727593</v>
      </c>
      <c r="H100" s="115">
        <f>SUMIFS(F_Inputs!G:G,F_inputs_ID,'Company data'!$C100,F_inputs_company,'Company data'!$E100)*thousand</f>
        <v>768877</v>
      </c>
      <c r="I100" s="115">
        <f>SUMIFS(F_Inputs!H:H,F_inputs_ID,'Company data'!$C100,F_inputs_company,'Company data'!$E100)*thousand</f>
        <v>818957</v>
      </c>
      <c r="J100" s="115">
        <f>SUMIFS(F_Inputs!I:I,F_inputs_ID,'Company data'!$C100,F_inputs_company,'Company data'!$E100)*thousand</f>
        <v>870012</v>
      </c>
      <c r="K100" s="115">
        <f>SUMIFS(F_Inputs!J:J,F_inputs_ID,'Company data'!$C100,F_inputs_company,'Company data'!$E100)*thousand</f>
        <v>932322</v>
      </c>
      <c r="L100" s="115">
        <f>SUMIFS(F_Inputs!K:K,F_inputs_ID,'Company data'!$C100,F_inputs_company,'Company data'!$E100)*thousand</f>
        <v>1002850</v>
      </c>
      <c r="M100" s="115">
        <f>SUMIFS(F_Inputs!L:L,F_inputs_ID,'Company data'!$C100,F_inputs_company,'Company data'!$E100)*thousand</f>
        <v>1076971</v>
      </c>
      <c r="N100" s="115">
        <f>SUMIFS(F_Inputs!M:M,F_inputs_ID,'Company data'!$C100,F_inputs_company,'Company data'!$E100)*thousand</f>
        <v>1152322</v>
      </c>
      <c r="O100" s="9"/>
      <c r="P100" s="9"/>
      <c r="Q100" s="9"/>
      <c r="R100" s="9"/>
      <c r="S100" s="9"/>
      <c r="T100" s="9"/>
      <c r="U100" s="9"/>
      <c r="V100" s="9"/>
      <c r="W100" s="9"/>
      <c r="X100" s="9"/>
    </row>
    <row r="101" spans="1:24" x14ac:dyDescent="0.25">
      <c r="A101" s="9"/>
      <c r="B101" s="9"/>
      <c r="C101" s="9" t="s">
        <v>473</v>
      </c>
      <c r="D101" s="31" t="s">
        <v>157</v>
      </c>
      <c r="E101" s="31" t="s">
        <v>157</v>
      </c>
      <c r="F101" s="31" t="s">
        <v>500</v>
      </c>
      <c r="G101" s="115">
        <f>SUMIFS(F_Inputs!F:F,F_inputs_ID,'Company data'!$C101,F_inputs_company,'Company data'!$E101)*thousand</f>
        <v>135664</v>
      </c>
      <c r="H101" s="115">
        <f>SUMIFS(F_Inputs!G:G,F_inputs_ID,'Company data'!$C101,F_inputs_company,'Company data'!$E101)*thousand</f>
        <v>141351.26</v>
      </c>
      <c r="I101" s="115">
        <f>SUMIFS(F_Inputs!H:H,F_inputs_ID,'Company data'!$C101,F_inputs_company,'Company data'!$E101)*thousand</f>
        <v>175324</v>
      </c>
      <c r="J101" s="115">
        <f>SUMIFS(F_Inputs!I:I,F_inputs_ID,'Company data'!$C101,F_inputs_company,'Company data'!$E101)*thousand</f>
        <v>183204</v>
      </c>
      <c r="K101" s="115">
        <f>SUMIFS(F_Inputs!J:J,F_inputs_ID,'Company data'!$C101,F_inputs_company,'Company data'!$E101)*thousand</f>
        <v>187424</v>
      </c>
      <c r="L101" s="115">
        <f>SUMIFS(F_Inputs!K:K,F_inputs_ID,'Company data'!$C101,F_inputs_company,'Company data'!$E101)*thousand</f>
        <v>188064</v>
      </c>
      <c r="M101" s="115">
        <f>SUMIFS(F_Inputs!L:L,F_inputs_ID,'Company data'!$C101,F_inputs_company,'Company data'!$E101)*thousand</f>
        <v>187418</v>
      </c>
      <c r="N101" s="115">
        <f>SUMIFS(F_Inputs!M:M,F_inputs_ID,'Company data'!$C101,F_inputs_company,'Company data'!$E101)*thousand</f>
        <v>186896</v>
      </c>
      <c r="O101" s="9"/>
      <c r="P101" s="9"/>
      <c r="Q101" s="9"/>
      <c r="R101" s="9"/>
      <c r="S101" s="9"/>
      <c r="T101" s="9"/>
      <c r="U101" s="9"/>
      <c r="V101" s="9"/>
      <c r="W101" s="9"/>
      <c r="X101" s="9"/>
    </row>
    <row r="102" spans="1:24" x14ac:dyDescent="0.25">
      <c r="A102" s="9"/>
      <c r="B102" s="9"/>
      <c r="C102" s="9" t="s">
        <v>473</v>
      </c>
      <c r="D102" s="31" t="s">
        <v>235</v>
      </c>
      <c r="E102" s="31" t="s">
        <v>235</v>
      </c>
      <c r="F102" s="31" t="s">
        <v>500</v>
      </c>
      <c r="G102" s="115">
        <f>SUMIFS(F_Inputs!F:F,F_inputs_ID,'Company data'!$C102,F_inputs_company,'Company data'!$E102)*thousand</f>
        <v>250163</v>
      </c>
      <c r="H102" s="115">
        <f>SUMIFS(F_Inputs!G:G,F_inputs_ID,'Company data'!$C102,F_inputs_company,'Company data'!$E102)*thousand</f>
        <v>269394</v>
      </c>
      <c r="I102" s="115">
        <f>SUMIFS(F_Inputs!H:H,F_inputs_ID,'Company data'!$C102,F_inputs_company,'Company data'!$E102)*thousand</f>
        <v>301000</v>
      </c>
      <c r="J102" s="115">
        <f>SUMIFS(F_Inputs!I:I,F_inputs_ID,'Company data'!$C102,F_inputs_company,'Company data'!$E102)*thousand</f>
        <v>338100</v>
      </c>
      <c r="K102" s="115">
        <f>SUMIFS(F_Inputs!J:J,F_inputs_ID,'Company data'!$C102,F_inputs_company,'Company data'!$E102)*thousand</f>
        <v>351116</v>
      </c>
      <c r="L102" s="115">
        <f>SUMIFS(F_Inputs!K:K,F_inputs_ID,'Company data'!$C102,F_inputs_company,'Company data'!$E102)*thousand</f>
        <v>364017</v>
      </c>
      <c r="M102" s="115">
        <f>SUMIFS(F_Inputs!L:L,F_inputs_ID,'Company data'!$C102,F_inputs_company,'Company data'!$E102)*thousand</f>
        <v>377055</v>
      </c>
      <c r="N102" s="115">
        <f>SUMIFS(F_Inputs!M:M,F_inputs_ID,'Company data'!$C102,F_inputs_company,'Company data'!$E102)*thousand</f>
        <v>390484</v>
      </c>
      <c r="O102" s="9"/>
      <c r="P102" s="9"/>
      <c r="Q102" s="9"/>
      <c r="R102" s="9"/>
      <c r="S102" s="9"/>
      <c r="T102" s="9"/>
      <c r="U102" s="9"/>
      <c r="V102" s="9"/>
      <c r="W102" s="9"/>
      <c r="X102" s="9"/>
    </row>
    <row r="103" spans="1:24" x14ac:dyDescent="0.25">
      <c r="A103" s="9"/>
      <c r="B103" s="9"/>
      <c r="C103" s="9" t="s">
        <v>473</v>
      </c>
      <c r="D103" s="31" t="s">
        <v>237</v>
      </c>
      <c r="E103" s="31" t="s">
        <v>237</v>
      </c>
      <c r="F103" s="31" t="s">
        <v>500</v>
      </c>
      <c r="G103" s="115">
        <f>SUMIFS(F_Inputs!F:F,F_inputs_ID,'Company data'!$C103,F_inputs_company,'Company data'!$E103)*thousand</f>
        <v>41587.670557314705</v>
      </c>
      <c r="H103" s="115">
        <f>SUMIFS(F_Inputs!G:G,F_inputs_ID,'Company data'!$C103,F_inputs_company,'Company data'!$E103)*thousand</f>
        <v>44423</v>
      </c>
      <c r="I103" s="115">
        <f>SUMIFS(F_Inputs!H:H,F_inputs_ID,'Company data'!$C103,F_inputs_company,'Company data'!$E103)*thousand</f>
        <v>45374</v>
      </c>
      <c r="J103" s="115">
        <f>SUMIFS(F_Inputs!I:I,F_inputs_ID,'Company data'!$C103,F_inputs_company,'Company data'!$E103)*thousand</f>
        <v>46561</v>
      </c>
      <c r="K103" s="115">
        <f>SUMIFS(F_Inputs!J:J,F_inputs_ID,'Company data'!$C103,F_inputs_company,'Company data'!$E103)*thousand</f>
        <v>47723</v>
      </c>
      <c r="L103" s="115">
        <f>SUMIFS(F_Inputs!K:K,F_inputs_ID,'Company data'!$C103,F_inputs_company,'Company data'!$E103)*thousand</f>
        <v>48860</v>
      </c>
      <c r="M103" s="115">
        <f>SUMIFS(F_Inputs!L:L,F_inputs_ID,'Company data'!$C103,F_inputs_company,'Company data'!$E103)*thousand</f>
        <v>49972</v>
      </c>
      <c r="N103" s="115">
        <f>SUMIFS(F_Inputs!M:M,F_inputs_ID,'Company data'!$C103,F_inputs_company,'Company data'!$E103)*thousand</f>
        <v>51061</v>
      </c>
      <c r="O103" s="9"/>
      <c r="P103" s="9"/>
      <c r="Q103" s="9"/>
      <c r="R103" s="9"/>
      <c r="S103" s="9"/>
      <c r="T103" s="9"/>
      <c r="U103" s="9"/>
      <c r="V103" s="9"/>
      <c r="W103" s="9"/>
      <c r="X103" s="9"/>
    </row>
    <row r="104" spans="1:24" x14ac:dyDescent="0.25">
      <c r="A104" s="9"/>
      <c r="B104" s="9"/>
      <c r="C104" s="9" t="s">
        <v>473</v>
      </c>
      <c r="D104" s="31" t="s">
        <v>186</v>
      </c>
      <c r="E104" s="31" t="s">
        <v>186</v>
      </c>
      <c r="F104" s="31" t="s">
        <v>500</v>
      </c>
      <c r="G104" s="115">
        <f>SUMIFS(F_Inputs!F:F,F_inputs_ID,'Company data'!$C104,F_inputs_company,'Company data'!$E104)*thousand</f>
        <v>450182</v>
      </c>
      <c r="H104" s="115">
        <f>SUMIFS(F_Inputs!G:G,F_inputs_ID,'Company data'!$C104,F_inputs_company,'Company data'!$E104)*thousand</f>
        <v>462328</v>
      </c>
      <c r="I104" s="115">
        <f>SUMIFS(F_Inputs!H:H,F_inputs_ID,'Company data'!$C104,F_inputs_company,'Company data'!$E104)*thousand</f>
        <v>503436</v>
      </c>
      <c r="J104" s="115">
        <f>SUMIFS(F_Inputs!I:I,F_inputs_ID,'Company data'!$C104,F_inputs_company,'Company data'!$E104)*thousand</f>
        <v>523169.99999999994</v>
      </c>
      <c r="K104" s="115">
        <f>SUMIFS(F_Inputs!J:J,F_inputs_ID,'Company data'!$C104,F_inputs_company,'Company data'!$E104)*thousand</f>
        <v>543842</v>
      </c>
      <c r="L104" s="115">
        <f>SUMIFS(F_Inputs!K:K,F_inputs_ID,'Company data'!$C104,F_inputs_company,'Company data'!$E104)*thousand</f>
        <v>564150</v>
      </c>
      <c r="M104" s="115">
        <f>SUMIFS(F_Inputs!L:L,F_inputs_ID,'Company data'!$C104,F_inputs_company,'Company data'!$E104)*thousand</f>
        <v>583804</v>
      </c>
      <c r="N104" s="115">
        <f>SUMIFS(F_Inputs!M:M,F_inputs_ID,'Company data'!$C104,F_inputs_company,'Company data'!$E104)*thousand</f>
        <v>603103</v>
      </c>
      <c r="O104" s="9"/>
      <c r="P104" s="9"/>
      <c r="Q104" s="9"/>
      <c r="R104" s="9"/>
      <c r="S104" s="9"/>
      <c r="T104" s="9"/>
      <c r="U104" s="9"/>
      <c r="V104" s="9"/>
      <c r="W104" s="9"/>
      <c r="X104" s="9"/>
    </row>
    <row r="105" spans="1:24" x14ac:dyDescent="0.25">
      <c r="A105" s="9"/>
      <c r="B105" s="9"/>
      <c r="C105" s="9" t="s">
        <v>473</v>
      </c>
      <c r="D105" s="31" t="s">
        <v>239</v>
      </c>
      <c r="E105" s="31" t="s">
        <v>239</v>
      </c>
      <c r="F105" s="31" t="s">
        <v>500</v>
      </c>
      <c r="G105" s="115">
        <f>SUMIFS(F_Inputs!F:F,F_inputs_ID,'Company data'!$C105,F_inputs_company,'Company data'!$E105)*thousand</f>
        <v>89290</v>
      </c>
      <c r="H105" s="115">
        <f>SUMIFS(F_Inputs!G:G,F_inputs_ID,'Company data'!$C105,F_inputs_company,'Company data'!$E105)*thousand</f>
        <v>92945</v>
      </c>
      <c r="I105" s="115">
        <f>SUMIFS(F_Inputs!H:H,F_inputs_ID,'Company data'!$C105,F_inputs_company,'Company data'!$E105)*thousand</f>
        <v>100720</v>
      </c>
      <c r="J105" s="115">
        <f>SUMIFS(F_Inputs!I:I,F_inputs_ID,'Company data'!$C105,F_inputs_company,'Company data'!$E105)*thousand</f>
        <v>107612</v>
      </c>
      <c r="K105" s="115">
        <f>SUMIFS(F_Inputs!J:J,F_inputs_ID,'Company data'!$C105,F_inputs_company,'Company data'!$E105)*thousand</f>
        <v>114472</v>
      </c>
      <c r="L105" s="115">
        <f>SUMIFS(F_Inputs!K:K,F_inputs_ID,'Company data'!$C105,F_inputs_company,'Company data'!$E105)*thousand</f>
        <v>121345</v>
      </c>
      <c r="M105" s="115">
        <f>SUMIFS(F_Inputs!L:L,F_inputs_ID,'Company data'!$C105,F_inputs_company,'Company data'!$E105)*thousand</f>
        <v>128255</v>
      </c>
      <c r="N105" s="115">
        <f>SUMIFS(F_Inputs!M:M,F_inputs_ID,'Company data'!$C105,F_inputs_company,'Company data'!$E105)*thousand</f>
        <v>135229</v>
      </c>
      <c r="O105" s="9"/>
      <c r="P105" s="9"/>
      <c r="Q105" s="9"/>
      <c r="R105" s="9"/>
      <c r="S105" s="9"/>
      <c r="T105" s="9"/>
      <c r="U105" s="9"/>
      <c r="V105" s="9"/>
      <c r="W105" s="9"/>
      <c r="X105" s="9"/>
    </row>
    <row r="106" spans="1:24" x14ac:dyDescent="0.25">
      <c r="A106" s="9"/>
      <c r="B106" s="9"/>
      <c r="C106" s="9" t="s">
        <v>473</v>
      </c>
      <c r="D106" s="31" t="s">
        <v>165</v>
      </c>
      <c r="E106" s="31" t="s">
        <v>165</v>
      </c>
      <c r="F106" s="31" t="s">
        <v>500</v>
      </c>
      <c r="G106" s="115">
        <f>SUMIFS(F_Inputs!F:F,F_inputs_ID,'Company data'!$C106,F_inputs_company,'Company data'!$E106)*thousand</f>
        <v>143048</v>
      </c>
      <c r="H106" s="115">
        <f>SUMIFS(F_Inputs!G:G,F_inputs_ID,'Company data'!$C106,F_inputs_company,'Company data'!$E106)*thousand</f>
        <v>151341</v>
      </c>
      <c r="I106" s="115">
        <f>SUMIFS(F_Inputs!H:H,F_inputs_ID,'Company data'!$C106,F_inputs_company,'Company data'!$E106)*thousand</f>
        <v>164464</v>
      </c>
      <c r="J106" s="115">
        <f>SUMIFS(F_Inputs!I:I,F_inputs_ID,'Company data'!$C106,F_inputs_company,'Company data'!$E106)*thousand</f>
        <v>178543</v>
      </c>
      <c r="K106" s="115">
        <f>SUMIFS(F_Inputs!J:J,F_inputs_ID,'Company data'!$C106,F_inputs_company,'Company data'!$E106)*thousand</f>
        <v>197751</v>
      </c>
      <c r="L106" s="115">
        <f>SUMIFS(F_Inputs!K:K,F_inputs_ID,'Company data'!$C106,F_inputs_company,'Company data'!$E106)*thousand</f>
        <v>216688</v>
      </c>
      <c r="M106" s="115">
        <f>SUMIFS(F_Inputs!L:L,F_inputs_ID,'Company data'!$C106,F_inputs_company,'Company data'!$E106)*thousand</f>
        <v>235363</v>
      </c>
      <c r="N106" s="115">
        <f>SUMIFS(F_Inputs!M:M,F_inputs_ID,'Company data'!$C106,F_inputs_company,'Company data'!$E106)*thousand</f>
        <v>253708</v>
      </c>
      <c r="O106" s="9"/>
      <c r="P106" s="9"/>
      <c r="Q106" s="9"/>
      <c r="R106" s="9"/>
      <c r="S106" s="9"/>
      <c r="T106" s="9"/>
      <c r="U106" s="9"/>
      <c r="V106" s="9"/>
      <c r="W106" s="9"/>
      <c r="X106" s="9"/>
    </row>
    <row r="107" spans="1:24" x14ac:dyDescent="0.25">
      <c r="A107" s="9"/>
      <c r="B107" s="9"/>
      <c r="C107" s="9" t="s">
        <v>473</v>
      </c>
      <c r="D107" s="31" t="s">
        <v>241</v>
      </c>
      <c r="E107" s="31" t="s">
        <v>241</v>
      </c>
      <c r="F107" s="31" t="s">
        <v>500</v>
      </c>
      <c r="G107" s="115">
        <f>SUMIFS(F_Inputs!F:F,F_inputs_ID,'Company data'!$C107,F_inputs_company,'Company data'!$E107)*thousand</f>
        <v>711993</v>
      </c>
      <c r="H107" s="115">
        <f>SUMIFS(F_Inputs!G:G,F_inputs_ID,'Company data'!$C107,F_inputs_company,'Company data'!$E107)*thousand</f>
        <v>754844</v>
      </c>
      <c r="I107" s="115">
        <f>SUMIFS(F_Inputs!H:H,F_inputs_ID,'Company data'!$C107,F_inputs_company,'Company data'!$E107)*thousand</f>
        <v>757558</v>
      </c>
      <c r="J107" s="115">
        <f>SUMIFS(F_Inputs!I:I,F_inputs_ID,'Company data'!$C107,F_inputs_company,'Company data'!$E107)*thousand</f>
        <v>766507</v>
      </c>
      <c r="K107" s="115">
        <f>SUMIFS(F_Inputs!J:J,F_inputs_ID,'Company data'!$C107,F_inputs_company,'Company data'!$E107)*thousand</f>
        <v>775485</v>
      </c>
      <c r="L107" s="115">
        <f>SUMIFS(F_Inputs!K:K,F_inputs_ID,'Company data'!$C107,F_inputs_company,'Company data'!$E107)*thousand</f>
        <v>784494</v>
      </c>
      <c r="M107" s="115">
        <f>SUMIFS(F_Inputs!L:L,F_inputs_ID,'Company data'!$C107,F_inputs_company,'Company data'!$E107)*thousand</f>
        <v>793535</v>
      </c>
      <c r="N107" s="115">
        <f>SUMIFS(F_Inputs!M:M,F_inputs_ID,'Company data'!$C107,F_inputs_company,'Company data'!$E107)*thousand</f>
        <v>802612</v>
      </c>
      <c r="O107" s="9"/>
      <c r="P107" s="9"/>
      <c r="Q107" s="9"/>
      <c r="R107" s="9"/>
      <c r="S107" s="9"/>
      <c r="T107" s="9"/>
      <c r="U107" s="9"/>
      <c r="V107" s="9"/>
      <c r="W107" s="9"/>
      <c r="X107" s="9"/>
    </row>
    <row r="108" spans="1:24" x14ac:dyDescent="0.25">
      <c r="A108" s="9"/>
      <c r="B108" s="9"/>
      <c r="C108" s="9" t="s">
        <v>473</v>
      </c>
      <c r="D108" s="31" t="s">
        <v>205</v>
      </c>
      <c r="E108" s="31" t="s">
        <v>205</v>
      </c>
      <c r="F108" s="31" t="s">
        <v>500</v>
      </c>
      <c r="G108" s="115">
        <f>SUMIFS(F_Inputs!F:F,F_inputs_ID,'Company data'!$C108,F_inputs_company,'Company data'!$E108)*thousand</f>
        <v>65986</v>
      </c>
      <c r="H108" s="115">
        <f>SUMIFS(F_Inputs!G:G,F_inputs_ID,'Company data'!$C108,F_inputs_company,'Company data'!$E108)*thousand</f>
        <v>69469</v>
      </c>
      <c r="I108" s="115">
        <f>SUMIFS(F_Inputs!H:H,F_inputs_ID,'Company data'!$C108,F_inputs_company,'Company data'!$E108)*thousand</f>
        <v>67426</v>
      </c>
      <c r="J108" s="115">
        <f>SUMIFS(F_Inputs!I:I,F_inputs_ID,'Company data'!$C108,F_inputs_company,'Company data'!$E108)*thousand</f>
        <v>69169</v>
      </c>
      <c r="K108" s="115">
        <f>SUMIFS(F_Inputs!J:J,F_inputs_ID,'Company data'!$C108,F_inputs_company,'Company data'!$E108)*thousand</f>
        <v>70760</v>
      </c>
      <c r="L108" s="115">
        <f>SUMIFS(F_Inputs!K:K,F_inputs_ID,'Company data'!$C108,F_inputs_company,'Company data'!$E108)*thousand</f>
        <v>72232</v>
      </c>
      <c r="M108" s="115">
        <f>SUMIFS(F_Inputs!L:L,F_inputs_ID,'Company data'!$C108,F_inputs_company,'Company data'!$E108)*thousand</f>
        <v>73698</v>
      </c>
      <c r="N108" s="115">
        <f>SUMIFS(F_Inputs!M:M,F_inputs_ID,'Company data'!$C108,F_inputs_company,'Company data'!$E108)*thousand</f>
        <v>75122</v>
      </c>
      <c r="O108" s="9"/>
      <c r="P108" s="9"/>
      <c r="Q108" s="9"/>
      <c r="R108" s="9"/>
      <c r="S108" s="9"/>
      <c r="T108" s="9"/>
      <c r="U108" s="9"/>
      <c r="V108" s="9"/>
      <c r="W108" s="9"/>
      <c r="X108" s="9"/>
    </row>
    <row r="109" spans="1:24" x14ac:dyDescent="0.25">
      <c r="A109" s="9"/>
      <c r="B109" s="9"/>
      <c r="C109" s="9" t="s">
        <v>473</v>
      </c>
      <c r="D109" s="31" t="s">
        <v>297</v>
      </c>
      <c r="E109" s="31" t="s">
        <v>297</v>
      </c>
      <c r="F109" s="31" t="s">
        <v>500</v>
      </c>
      <c r="G109" s="115">
        <f>SUMIFS(F_Inputs!F:F,F_inputs_ID,'Company data'!$C109,F_inputs_company,'Company data'!$E109)*thousand</f>
        <v>289755.64931489702</v>
      </c>
      <c r="H109" s="115">
        <f>SUMIFS(F_Inputs!G:G,F_inputs_ID,'Company data'!$C109,F_inputs_company,'Company data'!$E109)*thousand</f>
        <v>304464</v>
      </c>
      <c r="I109" s="115">
        <f>SUMIFS(F_Inputs!H:H,F_inputs_ID,'Company data'!$C109,F_inputs_company,'Company data'!$E109)*thousand</f>
        <v>326607.56291659299</v>
      </c>
      <c r="J109" s="115">
        <f>SUMIFS(F_Inputs!I:I,F_inputs_ID,'Company data'!$C109,F_inputs_company,'Company data'!$E109)*thousand</f>
        <v>339150.61875839805</v>
      </c>
      <c r="K109" s="115">
        <f>SUMIFS(F_Inputs!J:J,F_inputs_ID,'Company data'!$C109,F_inputs_company,'Company data'!$E109)*thousand</f>
        <v>357239.51469727303</v>
      </c>
      <c r="L109" s="115">
        <f>SUMIFS(F_Inputs!K:K,F_inputs_ID,'Company data'!$C109,F_inputs_company,'Company data'!$E109)*thousand</f>
        <v>374912.55720787396</v>
      </c>
      <c r="M109" s="115">
        <f>SUMIFS(F_Inputs!L:L,F_inputs_ID,'Company data'!$C109,F_inputs_company,'Company data'!$E109)*thousand</f>
        <v>393043.32026274898</v>
      </c>
      <c r="N109" s="115">
        <f>SUMIFS(F_Inputs!M:M,F_inputs_ID,'Company data'!$C109,F_inputs_company,'Company data'!$E109)*thousand</f>
        <v>410948.96195685997</v>
      </c>
      <c r="O109" s="9"/>
      <c r="P109" s="9"/>
      <c r="Q109" s="9"/>
      <c r="R109" s="9"/>
      <c r="S109" s="9"/>
      <c r="T109" s="9"/>
      <c r="U109" s="9"/>
      <c r="V109" s="9"/>
      <c r="W109" s="9"/>
      <c r="X109" s="9"/>
    </row>
    <row r="110" spans="1:24" x14ac:dyDescent="0.25">
      <c r="A110" s="9"/>
      <c r="B110" s="9"/>
      <c r="C110" s="9" t="s">
        <v>473</v>
      </c>
      <c r="D110" s="31" t="s">
        <v>198</v>
      </c>
      <c r="E110" s="31" t="s">
        <v>198</v>
      </c>
      <c r="F110" s="31" t="s">
        <v>500</v>
      </c>
      <c r="G110" s="115">
        <f>SUMIFS(F_Inputs!F:F,F_inputs_ID,'Company data'!$C110,F_inputs_company,'Company data'!$E110)*thousand</f>
        <v>155452.329442685</v>
      </c>
      <c r="H110" s="115">
        <f>SUMIFS(F_Inputs!G:G,F_inputs_ID,'Company data'!$C110,F_inputs_company,'Company data'!$E110)*thousand</f>
        <v>155821</v>
      </c>
      <c r="I110" s="115">
        <f>SUMIFS(F_Inputs!H:H,F_inputs_ID,'Company data'!$C110,F_inputs_company,'Company data'!$E110)*thousand</f>
        <v>165164.10790958098</v>
      </c>
      <c r="J110" s="115">
        <f>SUMIFS(F_Inputs!I:I,F_inputs_ID,'Company data'!$C110,F_inputs_company,'Company data'!$E110)*thousand</f>
        <v>175187.683400412</v>
      </c>
      <c r="K110" s="115">
        <f>SUMIFS(F_Inputs!J:J,F_inputs_ID,'Company data'!$C110,F_inputs_company,'Company data'!$E110)*thousand</f>
        <v>185184.32209656</v>
      </c>
      <c r="L110" s="115">
        <f>SUMIFS(F_Inputs!K:K,F_inputs_ID,'Company data'!$C110,F_inputs_company,'Company data'!$E110)*thousand</f>
        <v>195229.37206706201</v>
      </c>
      <c r="M110" s="115">
        <f>SUMIFS(F_Inputs!L:L,F_inputs_ID,'Company data'!$C110,F_inputs_company,'Company data'!$E110)*thousand</f>
        <v>205249.25130069599</v>
      </c>
      <c r="N110" s="115">
        <f>SUMIFS(F_Inputs!M:M,F_inputs_ID,'Company data'!$C110,F_inputs_company,'Company data'!$E110)*thousand</f>
        <v>215245.33837159199</v>
      </c>
      <c r="O110" s="9"/>
      <c r="P110" s="9"/>
      <c r="Q110" s="9"/>
      <c r="R110" s="9"/>
      <c r="S110" s="9"/>
      <c r="T110" s="9"/>
      <c r="U110" s="9"/>
      <c r="V110" s="9"/>
      <c r="W110" s="9"/>
      <c r="X110" s="9"/>
    </row>
    <row r="111" spans="1:24" x14ac:dyDescent="0.25">
      <c r="A111" s="9"/>
      <c r="B111" s="9"/>
      <c r="C111" s="9" t="s">
        <v>473</v>
      </c>
      <c r="D111" s="31" t="s">
        <v>167</v>
      </c>
      <c r="E111" s="31" t="s">
        <v>167</v>
      </c>
      <c r="F111" s="31" t="s">
        <v>500</v>
      </c>
      <c r="G111" s="115">
        <f>SUMIFS(F_Inputs!F:F,F_inputs_ID,'Company data'!$C111,F_inputs_company,'Company data'!$E111)*thousand</f>
        <v>172036</v>
      </c>
      <c r="H111" s="115">
        <f>SUMIFS(F_Inputs!G:G,F_inputs_ID,'Company data'!$C111,F_inputs_company,'Company data'!$E111)*thousand</f>
        <v>0</v>
      </c>
      <c r="I111" s="115">
        <f>SUMIFS(F_Inputs!H:H,F_inputs_ID,'Company data'!$C111,F_inputs_company,'Company data'!$E111)*thousand</f>
        <v>178258</v>
      </c>
      <c r="J111" s="115">
        <f>SUMIFS(F_Inputs!I:I,F_inputs_ID,'Company data'!$C111,F_inputs_company,'Company data'!$E111)*thousand</f>
        <v>182520</v>
      </c>
      <c r="K111" s="115">
        <f>SUMIFS(F_Inputs!J:J,F_inputs_ID,'Company data'!$C111,F_inputs_company,'Company data'!$E111)*thousand</f>
        <v>187570</v>
      </c>
      <c r="L111" s="115">
        <f>SUMIFS(F_Inputs!K:K,F_inputs_ID,'Company data'!$C111,F_inputs_company,'Company data'!$E111)*thousand</f>
        <v>191954</v>
      </c>
      <c r="M111" s="115">
        <f>SUMIFS(F_Inputs!L:L,F_inputs_ID,'Company data'!$C111,F_inputs_company,'Company data'!$E111)*thousand</f>
        <v>196241</v>
      </c>
      <c r="N111" s="115">
        <f>SUMIFS(F_Inputs!M:M,F_inputs_ID,'Company data'!$C111,F_inputs_company,'Company data'!$E111)*thousand</f>
        <v>200370</v>
      </c>
      <c r="O111" s="9"/>
      <c r="P111" s="9"/>
      <c r="Q111" s="9"/>
      <c r="R111" s="9"/>
      <c r="S111" s="9"/>
      <c r="T111" s="9"/>
      <c r="U111" s="9"/>
      <c r="V111" s="9"/>
      <c r="W111" s="9"/>
      <c r="X111" s="9"/>
    </row>
    <row r="112" spans="1:24" x14ac:dyDescent="0.25">
      <c r="A112" s="9"/>
      <c r="B112" s="9"/>
      <c r="C112" s="9" t="s">
        <v>473</v>
      </c>
      <c r="D112" s="31" t="s">
        <v>249</v>
      </c>
      <c r="E112" s="31" t="s">
        <v>249</v>
      </c>
      <c r="F112" s="31" t="s">
        <v>500</v>
      </c>
      <c r="G112" s="115">
        <f>SUMIFS(F_Inputs!F:F,F_inputs_ID,'Company data'!$C112,F_inputs_company,'Company data'!$E112)*thousand</f>
        <v>22046</v>
      </c>
      <c r="H112" s="115">
        <f>SUMIFS(F_Inputs!G:G,F_inputs_ID,'Company data'!$C112,F_inputs_company,'Company data'!$E112)*thousand</f>
        <v>22602</v>
      </c>
      <c r="I112" s="115">
        <f>SUMIFS(F_Inputs!H:H,F_inputs_ID,'Company data'!$C112,F_inputs_company,'Company data'!$E112)*thousand</f>
        <v>25175</v>
      </c>
      <c r="J112" s="115">
        <f>SUMIFS(F_Inputs!I:I,F_inputs_ID,'Company data'!$C112,F_inputs_company,'Company data'!$E112)*thousand</f>
        <v>27545</v>
      </c>
      <c r="K112" s="115">
        <f>SUMIFS(F_Inputs!J:J,F_inputs_ID,'Company data'!$C112,F_inputs_company,'Company data'!$E112)*thousand</f>
        <v>28724</v>
      </c>
      <c r="L112" s="115">
        <f>SUMIFS(F_Inputs!K:K,F_inputs_ID,'Company data'!$C112,F_inputs_company,'Company data'!$E112)*thousand</f>
        <v>30351</v>
      </c>
      <c r="M112" s="115">
        <f>SUMIFS(F_Inputs!L:L,F_inputs_ID,'Company data'!$C112,F_inputs_company,'Company data'!$E112)*thousand</f>
        <v>31877</v>
      </c>
      <c r="N112" s="115">
        <f>SUMIFS(F_Inputs!M:M,F_inputs_ID,'Company data'!$C112,F_inputs_company,'Company data'!$E112)*thousand</f>
        <v>33751</v>
      </c>
      <c r="O112" s="9"/>
      <c r="P112" s="9"/>
      <c r="Q112" s="9"/>
      <c r="R112" s="9"/>
      <c r="S112" s="9"/>
      <c r="T112" s="9"/>
      <c r="U112" s="9"/>
      <c r="V112" s="9"/>
      <c r="W112" s="9"/>
      <c r="X112" s="9"/>
    </row>
    <row r="113" spans="3:14" x14ac:dyDescent="0.25">
      <c r="C113" s="9" t="s">
        <v>473</v>
      </c>
      <c r="D113" s="31" t="s">
        <v>190</v>
      </c>
      <c r="E113" s="31" t="s">
        <v>501</v>
      </c>
      <c r="F113" s="31" t="s">
        <v>500</v>
      </c>
      <c r="G113" s="115">
        <f>SUMIFS(F_Inputs!F:F,F_inputs_ID,'Company data'!$C113,F_inputs_company,'Company data'!$E113)*thousand</f>
        <v>27298.461538461499</v>
      </c>
      <c r="H113" s="115">
        <f>SUMIFS(F_Inputs!G:G,F_inputs_ID,'Company data'!$C113,F_inputs_company,'Company data'!$E113)*thousand</f>
        <v>28205</v>
      </c>
      <c r="I113" s="115">
        <f>SUMIFS(F_Inputs!H:H,F_inputs_ID,'Company data'!$C113,F_inputs_company,'Company data'!$E113)*thousand</f>
        <v>29908.680386608998</v>
      </c>
      <c r="J113" s="115">
        <f>SUMIFS(F_Inputs!I:I,F_inputs_ID,'Company data'!$C113,F_inputs_company,'Company data'!$E113)*thousand</f>
        <v>31204.1882060465</v>
      </c>
      <c r="K113" s="115">
        <f>SUMIFS(F_Inputs!J:J,F_inputs_ID,'Company data'!$C113,F_inputs_company,'Company data'!$E113)*thousand</f>
        <v>32514.796033650298</v>
      </c>
      <c r="L113" s="115">
        <f>SUMIFS(F_Inputs!K:K,F_inputs_ID,'Company data'!$C113,F_inputs_company,'Company data'!$E113)*thousand</f>
        <v>33839.706236042504</v>
      </c>
      <c r="M113" s="115">
        <f>SUMIFS(F_Inputs!L:L,F_inputs_ID,'Company data'!$C113,F_inputs_company,'Company data'!$E113)*thousand</f>
        <v>35176.935667462996</v>
      </c>
      <c r="N113" s="115">
        <f>SUMIFS(F_Inputs!M:M,F_inputs_ID,'Company data'!$C113,F_inputs_company,'Company data'!$E113)*thousand</f>
        <v>36525.484581102901</v>
      </c>
    </row>
    <row r="114" spans="3:14" x14ac:dyDescent="0.25">
      <c r="C114" s="9" t="s">
        <v>473</v>
      </c>
      <c r="D114" s="31" t="s">
        <v>252</v>
      </c>
      <c r="E114" s="31" t="s">
        <v>252</v>
      </c>
      <c r="F114" s="31" t="s">
        <v>500</v>
      </c>
      <c r="G114" s="115">
        <f>SUMIFS(F_Inputs!F:F,F_inputs_ID,'Company data'!$C114,F_inputs_company,'Company data'!$E114)*thousand</f>
        <v>28211</v>
      </c>
      <c r="H114" s="115">
        <f>SUMIFS(F_Inputs!G:G,F_inputs_ID,'Company data'!$C114,F_inputs_company,'Company data'!$E114)*thousand</f>
        <v>29165</v>
      </c>
      <c r="I114" s="115">
        <f>SUMIFS(F_Inputs!H:H,F_inputs_ID,'Company data'!$C114,F_inputs_company,'Company data'!$E114)*thousand</f>
        <v>32148.000000000004</v>
      </c>
      <c r="J114" s="115">
        <f>SUMIFS(F_Inputs!I:I,F_inputs_ID,'Company data'!$C114,F_inputs_company,'Company data'!$E114)*thousand</f>
        <v>34541</v>
      </c>
      <c r="K114" s="115">
        <f>SUMIFS(F_Inputs!J:J,F_inputs_ID,'Company data'!$C114,F_inputs_company,'Company data'!$E114)*thousand</f>
        <v>36931</v>
      </c>
      <c r="L114" s="115">
        <f>SUMIFS(F_Inputs!K:K,F_inputs_ID,'Company data'!$C114,F_inputs_company,'Company data'!$E114)*thousand</f>
        <v>39318</v>
      </c>
      <c r="M114" s="115">
        <f>SUMIFS(F_Inputs!L:L,F_inputs_ID,'Company data'!$C114,F_inputs_company,'Company data'!$E114)*thousand</f>
        <v>41687</v>
      </c>
      <c r="N114" s="115">
        <f>SUMIFS(F_Inputs!M:M,F_inputs_ID,'Company data'!$C114,F_inputs_company,'Company data'!$E114)*thousand</f>
        <v>44038</v>
      </c>
    </row>
    <row r="115" spans="3:14" x14ac:dyDescent="0.25">
      <c r="C115" s="9" t="s">
        <v>473</v>
      </c>
      <c r="D115" s="31" t="s">
        <v>169</v>
      </c>
      <c r="E115" s="31" t="s">
        <v>169</v>
      </c>
      <c r="F115" s="31" t="s">
        <v>500</v>
      </c>
      <c r="G115" s="115">
        <f>SUMIFS(F_Inputs!F:F,F_inputs_ID,'Company data'!$C115,F_inputs_company,'Company data'!$E115)*thousand</f>
        <v>19680</v>
      </c>
      <c r="H115" s="115">
        <f>SUMIFS(F_Inputs!G:G,F_inputs_ID,'Company data'!$C115,F_inputs_company,'Company data'!$E115)*thousand</f>
        <v>20479</v>
      </c>
      <c r="I115" s="115">
        <f>SUMIFS(F_Inputs!H:H,F_inputs_ID,'Company data'!$C115,F_inputs_company,'Company data'!$E115)*thousand</f>
        <v>22649</v>
      </c>
      <c r="J115" s="115">
        <f>SUMIFS(F_Inputs!I:I,F_inputs_ID,'Company data'!$C115,F_inputs_company,'Company data'!$E115)*thousand</f>
        <v>24015</v>
      </c>
      <c r="K115" s="115">
        <f>SUMIFS(F_Inputs!J:J,F_inputs_ID,'Company data'!$C115,F_inputs_company,'Company data'!$E115)*thousand</f>
        <v>25271</v>
      </c>
      <c r="L115" s="115">
        <f>SUMIFS(F_Inputs!K:K,F_inputs_ID,'Company data'!$C115,F_inputs_company,'Company data'!$E115)*thousand</f>
        <v>26434</v>
      </c>
      <c r="M115" s="115">
        <f>SUMIFS(F_Inputs!L:L,F_inputs_ID,'Company data'!$C115,F_inputs_company,'Company data'!$E115)*thousand</f>
        <v>27520</v>
      </c>
      <c r="N115" s="115">
        <f>SUMIFS(F_Inputs!M:M,F_inputs_ID,'Company data'!$C115,F_inputs_company,'Company data'!$E115)*thousand</f>
        <v>28528</v>
      </c>
    </row>
    <row r="116" spans="3:14" x14ac:dyDescent="0.25">
      <c r="C116" s="9" t="s">
        <v>473</v>
      </c>
      <c r="D116" s="31" t="s">
        <v>171</v>
      </c>
      <c r="E116" s="31" t="s">
        <v>171</v>
      </c>
      <c r="F116" s="31" t="s">
        <v>500</v>
      </c>
      <c r="G116" s="115">
        <f>SUMIFS(F_Inputs!F:F,F_inputs_ID,'Company data'!$C116,F_inputs_company,'Company data'!$E116)*thousand</f>
        <v>50618</v>
      </c>
      <c r="H116" s="115">
        <f>SUMIFS(F_Inputs!G:G,F_inputs_ID,'Company data'!$C116,F_inputs_company,'Company data'!$E116)*thousand</f>
        <v>53512</v>
      </c>
      <c r="I116" s="115">
        <f>SUMIFS(F_Inputs!H:H,F_inputs_ID,'Company data'!$C116,F_inputs_company,'Company data'!$E116)*thousand</f>
        <v>50619</v>
      </c>
      <c r="J116" s="115">
        <f>SUMIFS(F_Inputs!I:I,F_inputs_ID,'Company data'!$C116,F_inputs_company,'Company data'!$E116)*thousand</f>
        <v>55469</v>
      </c>
      <c r="K116" s="115">
        <f>SUMIFS(F_Inputs!J:J,F_inputs_ID,'Company data'!$C116,F_inputs_company,'Company data'!$E116)*thousand</f>
        <v>57842</v>
      </c>
      <c r="L116" s="115">
        <f>SUMIFS(F_Inputs!K:K,F_inputs_ID,'Company data'!$C116,F_inputs_company,'Company data'!$E116)*thousand</f>
        <v>60253</v>
      </c>
      <c r="M116" s="115">
        <f>SUMIFS(F_Inputs!L:L,F_inputs_ID,'Company data'!$C116,F_inputs_company,'Company data'!$E116)*thousand</f>
        <v>62699</v>
      </c>
      <c r="N116" s="115">
        <f>SUMIFS(F_Inputs!M:M,F_inputs_ID,'Company data'!$C116,F_inputs_company,'Company data'!$E116)*thousand</f>
        <v>65182</v>
      </c>
    </row>
    <row r="118" spans="3:14" x14ac:dyDescent="0.25">
      <c r="C118" s="31" t="s">
        <v>498</v>
      </c>
      <c r="D118" s="31" t="s">
        <v>150</v>
      </c>
      <c r="E118" s="31" t="s">
        <v>499</v>
      </c>
      <c r="F118" s="31" t="s">
        <v>151</v>
      </c>
      <c r="G118" s="9" t="s">
        <v>375</v>
      </c>
      <c r="H118" s="9" t="s">
        <v>376</v>
      </c>
      <c r="I118" s="9" t="s">
        <v>377</v>
      </c>
      <c r="J118" s="9" t="s">
        <v>174</v>
      </c>
      <c r="K118" s="9" t="s">
        <v>175</v>
      </c>
      <c r="L118" s="9" t="s">
        <v>176</v>
      </c>
      <c r="M118" s="9" t="s">
        <v>177</v>
      </c>
      <c r="N118" s="9" t="s">
        <v>178</v>
      </c>
    </row>
    <row r="119" spans="3:14" x14ac:dyDescent="0.25">
      <c r="C119" s="9" t="s">
        <v>475</v>
      </c>
      <c r="D119" s="31" t="s">
        <v>231</v>
      </c>
      <c r="E119" s="31" t="s">
        <v>231</v>
      </c>
      <c r="F119" s="31" t="s">
        <v>500</v>
      </c>
      <c r="G119" s="115">
        <f>SUMIFS(F_Inputs!F:F,F_inputs_ID,'Company data'!$C119,F_inputs_company,'Company data'!$E119)*thousand</f>
        <v>0</v>
      </c>
      <c r="H119" s="115">
        <f>SUMIFS(F_Inputs!G:G,F_inputs_ID,'Company data'!$C119,F_inputs_company,'Company data'!$E119)*thousand</f>
        <v>0</v>
      </c>
      <c r="I119" s="115">
        <f>SUMIFS(F_Inputs!H:H,F_inputs_ID,'Company data'!$C119,F_inputs_company,'Company data'!$E119)*thousand</f>
        <v>0</v>
      </c>
      <c r="J119" s="115">
        <f>SUMIFS(F_Inputs!I:I,F_inputs_ID,'Company data'!$C119,F_inputs_company,'Company data'!$E119)*thousand</f>
        <v>0</v>
      </c>
      <c r="K119" s="115">
        <f>SUMIFS(F_Inputs!J:J,F_inputs_ID,'Company data'!$C119,F_inputs_company,'Company data'!$E119)*thousand</f>
        <v>0</v>
      </c>
      <c r="L119" s="115">
        <f>SUMIFS(F_Inputs!K:K,F_inputs_ID,'Company data'!$C119,F_inputs_company,'Company data'!$E119)*thousand</f>
        <v>0</v>
      </c>
      <c r="M119" s="115">
        <f>SUMIFS(F_Inputs!L:L,F_inputs_ID,'Company data'!$C119,F_inputs_company,'Company data'!$E119)*thousand</f>
        <v>0</v>
      </c>
      <c r="N119" s="115">
        <f>SUMIFS(F_Inputs!M:M,F_inputs_ID,'Company data'!$C119,F_inputs_company,'Company data'!$E119)*thousand</f>
        <v>0</v>
      </c>
    </row>
    <row r="120" spans="3:14" x14ac:dyDescent="0.25">
      <c r="C120" s="9" t="s">
        <v>475</v>
      </c>
      <c r="D120" s="31" t="s">
        <v>157</v>
      </c>
      <c r="E120" s="31" t="s">
        <v>157</v>
      </c>
      <c r="F120" s="31" t="s">
        <v>500</v>
      </c>
      <c r="G120" s="115">
        <f>SUMIFS(F_Inputs!F:F,F_inputs_ID,'Company data'!$C120,F_inputs_company,'Company data'!$E120)*thousand</f>
        <v>256468.00000000003</v>
      </c>
      <c r="H120" s="115">
        <f>SUMIFS(F_Inputs!G:G,F_inputs_ID,'Company data'!$C120,F_inputs_company,'Company data'!$E120)*thousand</f>
        <v>245482.927</v>
      </c>
      <c r="I120" s="115">
        <f>SUMIFS(F_Inputs!H:H,F_inputs_ID,'Company data'!$C120,F_inputs_company,'Company data'!$E120)*thousand</f>
        <v>245337</v>
      </c>
      <c r="J120" s="115">
        <f>SUMIFS(F_Inputs!I:I,F_inputs_ID,'Company data'!$C120,F_inputs_company,'Company data'!$E120)*thousand</f>
        <v>240419</v>
      </c>
      <c r="K120" s="115">
        <f>SUMIFS(F_Inputs!J:J,F_inputs_ID,'Company data'!$C120,F_inputs_company,'Company data'!$E120)*thousand</f>
        <v>234766</v>
      </c>
      <c r="L120" s="115">
        <f>SUMIFS(F_Inputs!K:K,F_inputs_ID,'Company data'!$C120,F_inputs_company,'Company data'!$E120)*thousand</f>
        <v>228269</v>
      </c>
      <c r="M120" s="115">
        <f>SUMIFS(F_Inputs!L:L,F_inputs_ID,'Company data'!$C120,F_inputs_company,'Company data'!$E120)*thousand</f>
        <v>221896</v>
      </c>
      <c r="N120" s="115">
        <f>SUMIFS(F_Inputs!M:M,F_inputs_ID,'Company data'!$C120,F_inputs_company,'Company data'!$E120)*thousand</f>
        <v>216260</v>
      </c>
    </row>
    <row r="121" spans="3:14" x14ac:dyDescent="0.25">
      <c r="C121" s="9" t="s">
        <v>475</v>
      </c>
      <c r="D121" s="31" t="s">
        <v>235</v>
      </c>
      <c r="E121" s="31" t="s">
        <v>235</v>
      </c>
      <c r="F121" s="31" t="s">
        <v>500</v>
      </c>
      <c r="G121" s="115">
        <f>SUMIFS(F_Inputs!F:F,F_inputs_ID,'Company data'!$C121,F_inputs_company,'Company data'!$E121)*thousand</f>
        <v>0</v>
      </c>
      <c r="H121" s="115">
        <f>SUMIFS(F_Inputs!G:G,F_inputs_ID,'Company data'!$C121,F_inputs_company,'Company data'!$E121)*thousand</f>
        <v>0</v>
      </c>
      <c r="I121" s="115">
        <f>SUMIFS(F_Inputs!H:H,F_inputs_ID,'Company data'!$C121,F_inputs_company,'Company data'!$E121)*thousand</f>
        <v>0</v>
      </c>
      <c r="J121" s="115">
        <f>SUMIFS(F_Inputs!I:I,F_inputs_ID,'Company data'!$C121,F_inputs_company,'Company data'!$E121)*thousand</f>
        <v>0</v>
      </c>
      <c r="K121" s="115">
        <f>SUMIFS(F_Inputs!J:J,F_inputs_ID,'Company data'!$C121,F_inputs_company,'Company data'!$E121)*thousand</f>
        <v>0</v>
      </c>
      <c r="L121" s="115">
        <f>SUMIFS(F_Inputs!K:K,F_inputs_ID,'Company data'!$C121,F_inputs_company,'Company data'!$E121)*thousand</f>
        <v>0</v>
      </c>
      <c r="M121" s="115">
        <f>SUMIFS(F_Inputs!L:L,F_inputs_ID,'Company data'!$C121,F_inputs_company,'Company data'!$E121)*thousand</f>
        <v>0</v>
      </c>
      <c r="N121" s="115">
        <f>SUMIFS(F_Inputs!M:M,F_inputs_ID,'Company data'!$C121,F_inputs_company,'Company data'!$E121)*thousand</f>
        <v>0</v>
      </c>
    </row>
    <row r="122" spans="3:14" x14ac:dyDescent="0.25">
      <c r="C122" s="9" t="s">
        <v>475</v>
      </c>
      <c r="D122" s="31" t="s">
        <v>237</v>
      </c>
      <c r="E122" s="31" t="s">
        <v>237</v>
      </c>
      <c r="F122" s="31" t="s">
        <v>500</v>
      </c>
      <c r="G122" s="115">
        <f>SUMIFS(F_Inputs!F:F,F_inputs_ID,'Company data'!$C122,F_inputs_company,'Company data'!$E122)*thousand</f>
        <v>3737.9056883528001</v>
      </c>
      <c r="H122" s="115">
        <f>SUMIFS(F_Inputs!G:G,F_inputs_ID,'Company data'!$C122,F_inputs_company,'Company data'!$E122)*thousand</f>
        <v>1061</v>
      </c>
      <c r="I122" s="115">
        <f>SUMIFS(F_Inputs!H:H,F_inputs_ID,'Company data'!$C122,F_inputs_company,'Company data'!$E122)*thousand</f>
        <v>891</v>
      </c>
      <c r="J122" s="115">
        <f>SUMIFS(F_Inputs!I:I,F_inputs_ID,'Company data'!$C122,F_inputs_company,'Company data'!$E122)*thousand</f>
        <v>731</v>
      </c>
      <c r="K122" s="115">
        <f>SUMIFS(F_Inputs!J:J,F_inputs_ID,'Company data'!$C122,F_inputs_company,'Company data'!$E122)*thousand</f>
        <v>572</v>
      </c>
      <c r="L122" s="115">
        <f>SUMIFS(F_Inputs!K:K,F_inputs_ID,'Company data'!$C122,F_inputs_company,'Company data'!$E122)*thousand</f>
        <v>413</v>
      </c>
      <c r="M122" s="115">
        <f>SUMIFS(F_Inputs!L:L,F_inputs_ID,'Company data'!$C122,F_inputs_company,'Company data'!$E122)*thousand</f>
        <v>256</v>
      </c>
      <c r="N122" s="115">
        <f>SUMIFS(F_Inputs!M:M,F_inputs_ID,'Company data'!$C122,F_inputs_company,'Company data'!$E122)*thousand</f>
        <v>99</v>
      </c>
    </row>
    <row r="123" spans="3:14" x14ac:dyDescent="0.25">
      <c r="C123" s="9" t="s">
        <v>475</v>
      </c>
      <c r="D123" s="31" t="s">
        <v>186</v>
      </c>
      <c r="E123" s="31" t="s">
        <v>186</v>
      </c>
      <c r="F123" s="31" t="s">
        <v>500</v>
      </c>
      <c r="G123" s="115">
        <f>SUMIFS(F_Inputs!F:F,F_inputs_ID,'Company data'!$C123,F_inputs_company,'Company data'!$E123)*thousand</f>
        <v>32777</v>
      </c>
      <c r="H123" s="115">
        <f>SUMIFS(F_Inputs!G:G,F_inputs_ID,'Company data'!$C123,F_inputs_company,'Company data'!$E123)*thousand</f>
        <v>30822</v>
      </c>
      <c r="I123" s="115">
        <f>SUMIFS(F_Inputs!H:H,F_inputs_ID,'Company data'!$C123,F_inputs_company,'Company data'!$E123)*thousand</f>
        <v>30806</v>
      </c>
      <c r="J123" s="115">
        <f>SUMIFS(F_Inputs!I:I,F_inputs_ID,'Company data'!$C123,F_inputs_company,'Company data'!$E123)*thousand</f>
        <v>32176.000000000004</v>
      </c>
      <c r="K123" s="115">
        <f>SUMIFS(F_Inputs!J:J,F_inputs_ID,'Company data'!$C123,F_inputs_company,'Company data'!$E123)*thousand</f>
        <v>31353</v>
      </c>
      <c r="L123" s="115">
        <f>SUMIFS(F_Inputs!K:K,F_inputs_ID,'Company data'!$C123,F_inputs_company,'Company data'!$E123)*thousand</f>
        <v>30528</v>
      </c>
      <c r="M123" s="115">
        <f>SUMIFS(F_Inputs!L:L,F_inputs_ID,'Company data'!$C123,F_inputs_company,'Company data'!$E123)*thousand</f>
        <v>29701</v>
      </c>
      <c r="N123" s="115">
        <f>SUMIFS(F_Inputs!M:M,F_inputs_ID,'Company data'!$C123,F_inputs_company,'Company data'!$E123)*thousand</f>
        <v>28875</v>
      </c>
    </row>
    <row r="124" spans="3:14" x14ac:dyDescent="0.25">
      <c r="C124" s="9" t="s">
        <v>475</v>
      </c>
      <c r="D124" s="31" t="s">
        <v>239</v>
      </c>
      <c r="E124" s="31" t="s">
        <v>239</v>
      </c>
      <c r="F124" s="31" t="s">
        <v>500</v>
      </c>
      <c r="G124" s="115">
        <f>SUMIFS(F_Inputs!F:F,F_inputs_ID,'Company data'!$C124,F_inputs_company,'Company data'!$E124)*thousand</f>
        <v>0</v>
      </c>
      <c r="H124" s="115">
        <f>SUMIFS(F_Inputs!G:G,F_inputs_ID,'Company data'!$C124,F_inputs_company,'Company data'!$E124)*thousand</f>
        <v>0</v>
      </c>
      <c r="I124" s="115">
        <f>SUMIFS(F_Inputs!H:H,F_inputs_ID,'Company data'!$C124,F_inputs_company,'Company data'!$E124)*thousand</f>
        <v>0</v>
      </c>
      <c r="J124" s="115">
        <f>SUMIFS(F_Inputs!I:I,F_inputs_ID,'Company data'!$C124,F_inputs_company,'Company data'!$E124)*thousand</f>
        <v>0</v>
      </c>
      <c r="K124" s="115">
        <f>SUMIFS(F_Inputs!J:J,F_inputs_ID,'Company data'!$C124,F_inputs_company,'Company data'!$E124)*thousand</f>
        <v>0</v>
      </c>
      <c r="L124" s="115">
        <f>SUMIFS(F_Inputs!K:K,F_inputs_ID,'Company data'!$C124,F_inputs_company,'Company data'!$E124)*thousand</f>
        <v>0</v>
      </c>
      <c r="M124" s="115">
        <f>SUMIFS(F_Inputs!L:L,F_inputs_ID,'Company data'!$C124,F_inputs_company,'Company data'!$E124)*thousand</f>
        <v>0</v>
      </c>
      <c r="N124" s="115">
        <f>SUMIFS(F_Inputs!M:M,F_inputs_ID,'Company data'!$C124,F_inputs_company,'Company data'!$E124)*thousand</f>
        <v>0</v>
      </c>
    </row>
    <row r="125" spans="3:14" x14ac:dyDescent="0.25">
      <c r="C125" s="9" t="s">
        <v>475</v>
      </c>
      <c r="D125" s="31" t="s">
        <v>165</v>
      </c>
      <c r="E125" s="31" t="s">
        <v>165</v>
      </c>
      <c r="F125" s="31" t="s">
        <v>500</v>
      </c>
      <c r="G125" s="115">
        <f>SUMIFS(F_Inputs!F:F,F_inputs_ID,'Company data'!$C125,F_inputs_company,'Company data'!$E125)*thousand</f>
        <v>0</v>
      </c>
      <c r="H125" s="115">
        <f>SUMIFS(F_Inputs!G:G,F_inputs_ID,'Company data'!$C125,F_inputs_company,'Company data'!$E125)*thousand</f>
        <v>0</v>
      </c>
      <c r="I125" s="115">
        <f>SUMIFS(F_Inputs!H:H,F_inputs_ID,'Company data'!$C125,F_inputs_company,'Company data'!$E125)*thousand</f>
        <v>0</v>
      </c>
      <c r="J125" s="115">
        <f>SUMIFS(F_Inputs!I:I,F_inputs_ID,'Company data'!$C125,F_inputs_company,'Company data'!$E125)*thousand</f>
        <v>0</v>
      </c>
      <c r="K125" s="115">
        <f>SUMIFS(F_Inputs!J:J,F_inputs_ID,'Company data'!$C125,F_inputs_company,'Company data'!$E125)*thousand</f>
        <v>0</v>
      </c>
      <c r="L125" s="115">
        <f>SUMIFS(F_Inputs!K:K,F_inputs_ID,'Company data'!$C125,F_inputs_company,'Company data'!$E125)*thousand</f>
        <v>0</v>
      </c>
      <c r="M125" s="115">
        <f>SUMIFS(F_Inputs!L:L,F_inputs_ID,'Company data'!$C125,F_inputs_company,'Company data'!$E125)*thousand</f>
        <v>0</v>
      </c>
      <c r="N125" s="115">
        <f>SUMIFS(F_Inputs!M:M,F_inputs_ID,'Company data'!$C125,F_inputs_company,'Company data'!$E125)*thousand</f>
        <v>0</v>
      </c>
    </row>
    <row r="126" spans="3:14" x14ac:dyDescent="0.25">
      <c r="C126" s="9" t="s">
        <v>475</v>
      </c>
      <c r="D126" s="31" t="s">
        <v>241</v>
      </c>
      <c r="E126" s="31" t="s">
        <v>241</v>
      </c>
      <c r="F126" s="31" t="s">
        <v>500</v>
      </c>
      <c r="G126" s="115">
        <f>SUMIFS(F_Inputs!F:F,F_inputs_ID,'Company data'!$C126,F_inputs_company,'Company data'!$E126)*thousand</f>
        <v>0</v>
      </c>
      <c r="H126" s="115">
        <f>SUMIFS(F_Inputs!G:G,F_inputs_ID,'Company data'!$C126,F_inputs_company,'Company data'!$E126)*thousand</f>
        <v>0</v>
      </c>
      <c r="I126" s="115">
        <f>SUMIFS(F_Inputs!H:H,F_inputs_ID,'Company data'!$C126,F_inputs_company,'Company data'!$E126)*thousand</f>
        <v>0</v>
      </c>
      <c r="J126" s="115">
        <f>SUMIFS(F_Inputs!I:I,F_inputs_ID,'Company data'!$C126,F_inputs_company,'Company data'!$E126)*thousand</f>
        <v>0</v>
      </c>
      <c r="K126" s="115">
        <f>SUMIFS(F_Inputs!J:J,F_inputs_ID,'Company data'!$C126,F_inputs_company,'Company data'!$E126)*thousand</f>
        <v>0</v>
      </c>
      <c r="L126" s="115">
        <f>SUMIFS(F_Inputs!K:K,F_inputs_ID,'Company data'!$C126,F_inputs_company,'Company data'!$E126)*thousand</f>
        <v>0</v>
      </c>
      <c r="M126" s="115">
        <f>SUMIFS(F_Inputs!L:L,F_inputs_ID,'Company data'!$C126,F_inputs_company,'Company data'!$E126)*thousand</f>
        <v>0</v>
      </c>
      <c r="N126" s="115">
        <f>SUMIFS(F_Inputs!M:M,F_inputs_ID,'Company data'!$C126,F_inputs_company,'Company data'!$E126)*thousand</f>
        <v>0</v>
      </c>
    </row>
    <row r="127" spans="3:14" x14ac:dyDescent="0.25">
      <c r="C127" s="9" t="s">
        <v>475</v>
      </c>
      <c r="D127" s="31" t="s">
        <v>205</v>
      </c>
      <c r="E127" s="31" t="s">
        <v>205</v>
      </c>
      <c r="F127" s="31" t="s">
        <v>500</v>
      </c>
      <c r="G127" s="115">
        <f>SUMIFS(F_Inputs!F:F,F_inputs_ID,'Company data'!$C127,F_inputs_company,'Company data'!$E127)*thousand</f>
        <v>301811</v>
      </c>
      <c r="H127" s="115">
        <f>SUMIFS(F_Inputs!G:G,F_inputs_ID,'Company data'!$C127,F_inputs_company,'Company data'!$E127)*thousand</f>
        <v>277303</v>
      </c>
      <c r="I127" s="115">
        <f>SUMIFS(F_Inputs!H:H,F_inputs_ID,'Company data'!$C127,F_inputs_company,'Company data'!$E127)*thousand</f>
        <v>289242</v>
      </c>
      <c r="J127" s="115">
        <f>SUMIFS(F_Inputs!I:I,F_inputs_ID,'Company data'!$C127,F_inputs_company,'Company data'!$E127)*thousand</f>
        <v>281471</v>
      </c>
      <c r="K127" s="115">
        <f>SUMIFS(F_Inputs!J:J,F_inputs_ID,'Company data'!$C127,F_inputs_company,'Company data'!$E127)*thousand</f>
        <v>273703</v>
      </c>
      <c r="L127" s="115">
        <f>SUMIFS(F_Inputs!K:K,F_inputs_ID,'Company data'!$C127,F_inputs_company,'Company data'!$E127)*thousand</f>
        <v>265979</v>
      </c>
      <c r="M127" s="115">
        <f>SUMIFS(F_Inputs!L:L,F_inputs_ID,'Company data'!$C127,F_inputs_company,'Company data'!$E127)*thousand</f>
        <v>258043.99999999997</v>
      </c>
      <c r="N127" s="115">
        <f>SUMIFS(F_Inputs!M:M,F_inputs_ID,'Company data'!$C127,F_inputs_company,'Company data'!$E127)*thousand</f>
        <v>249853</v>
      </c>
    </row>
    <row r="128" spans="3:14" x14ac:dyDescent="0.25">
      <c r="C128" s="9" t="s">
        <v>475</v>
      </c>
      <c r="D128" s="31" t="s">
        <v>297</v>
      </c>
      <c r="E128" s="31" t="s">
        <v>297</v>
      </c>
      <c r="F128" s="31" t="s">
        <v>500</v>
      </c>
      <c r="G128" s="115">
        <f>SUMIFS(F_Inputs!F:F,F_inputs_ID,'Company data'!$C128,F_inputs_company,'Company data'!$E128)*thousand</f>
        <v>0</v>
      </c>
      <c r="H128" s="115">
        <f>SUMIFS(F_Inputs!G:G,F_inputs_ID,'Company data'!$C128,F_inputs_company,'Company data'!$E128)*thousand</f>
        <v>0</v>
      </c>
      <c r="I128" s="115">
        <f>SUMIFS(F_Inputs!H:H,F_inputs_ID,'Company data'!$C128,F_inputs_company,'Company data'!$E128)*thousand</f>
        <v>0</v>
      </c>
      <c r="J128" s="115">
        <f>SUMIFS(F_Inputs!I:I,F_inputs_ID,'Company data'!$C128,F_inputs_company,'Company data'!$E128)*thousand</f>
        <v>0</v>
      </c>
      <c r="K128" s="115">
        <f>SUMIFS(F_Inputs!J:J,F_inputs_ID,'Company data'!$C128,F_inputs_company,'Company data'!$E128)*thousand</f>
        <v>0</v>
      </c>
      <c r="L128" s="115">
        <f>SUMIFS(F_Inputs!K:K,F_inputs_ID,'Company data'!$C128,F_inputs_company,'Company data'!$E128)*thousand</f>
        <v>0</v>
      </c>
      <c r="M128" s="115">
        <f>SUMIFS(F_Inputs!L:L,F_inputs_ID,'Company data'!$C128,F_inputs_company,'Company data'!$E128)*thousand</f>
        <v>0</v>
      </c>
      <c r="N128" s="115">
        <f>SUMIFS(F_Inputs!M:M,F_inputs_ID,'Company data'!$C128,F_inputs_company,'Company data'!$E128)*thousand</f>
        <v>0</v>
      </c>
    </row>
    <row r="129" spans="3:14" x14ac:dyDescent="0.25">
      <c r="C129" s="9" t="s">
        <v>475</v>
      </c>
      <c r="D129" s="31" t="s">
        <v>198</v>
      </c>
      <c r="E129" s="31" t="s">
        <v>198</v>
      </c>
      <c r="F129" s="31" t="s">
        <v>500</v>
      </c>
      <c r="G129" s="115">
        <f>SUMIFS(F_Inputs!F:F,F_inputs_ID,'Company data'!$C129,F_inputs_company,'Company data'!$E129)*thousand</f>
        <v>522882.09431164706</v>
      </c>
      <c r="H129" s="115">
        <f>SUMIFS(F_Inputs!G:G,F_inputs_ID,'Company data'!$C129,F_inputs_company,'Company data'!$E129)*thousand</f>
        <v>439516</v>
      </c>
      <c r="I129" s="115">
        <f>SUMIFS(F_Inputs!H:H,F_inputs_ID,'Company data'!$C129,F_inputs_company,'Company data'!$E129)*thousand</f>
        <v>508891.83571477799</v>
      </c>
      <c r="J129" s="115">
        <f>SUMIFS(F_Inputs!I:I,F_inputs_ID,'Company data'!$C129,F_inputs_company,'Company data'!$E129)*thousand</f>
        <v>485157.39532549097</v>
      </c>
      <c r="K129" s="115">
        <f>SUMIFS(F_Inputs!J:J,F_inputs_ID,'Company data'!$C129,F_inputs_company,'Company data'!$E129)*thousand</f>
        <v>461553.80499654397</v>
      </c>
      <c r="L129" s="115">
        <f>SUMIFS(F_Inputs!K:K,F_inputs_ID,'Company data'!$C129,F_inputs_company,'Company data'!$E129)*thousand</f>
        <v>438078.77313318604</v>
      </c>
      <c r="M129" s="115">
        <f>SUMIFS(F_Inputs!L:L,F_inputs_ID,'Company data'!$C129,F_inputs_company,'Company data'!$E129)*thousand</f>
        <v>414729.77898118901</v>
      </c>
      <c r="N129" s="115">
        <f>SUMIFS(F_Inputs!M:M,F_inputs_ID,'Company data'!$C129,F_inputs_company,'Company data'!$E129)*thousand</f>
        <v>391504.530945801</v>
      </c>
    </row>
    <row r="130" spans="3:14" x14ac:dyDescent="0.25">
      <c r="C130" s="9" t="s">
        <v>475</v>
      </c>
      <c r="D130" s="31" t="s">
        <v>167</v>
      </c>
      <c r="E130" s="31" t="s">
        <v>167</v>
      </c>
      <c r="F130" s="31" t="s">
        <v>500</v>
      </c>
      <c r="G130" s="115">
        <f>SUMIFS(F_Inputs!F:F,F_inputs_ID,'Company data'!$C130,F_inputs_company,'Company data'!$E130)*thousand</f>
        <v>2304</v>
      </c>
      <c r="H130" s="115">
        <f>SUMIFS(F_Inputs!G:G,F_inputs_ID,'Company data'!$C130,F_inputs_company,'Company data'!$E130)*thousand</f>
        <v>0</v>
      </c>
      <c r="I130" s="115">
        <f>SUMIFS(F_Inputs!H:H,F_inputs_ID,'Company data'!$C130,F_inputs_company,'Company data'!$E130)*thousand</f>
        <v>2187</v>
      </c>
      <c r="J130" s="115">
        <f>SUMIFS(F_Inputs!I:I,F_inputs_ID,'Company data'!$C130,F_inputs_company,'Company data'!$E130)*thousand</f>
        <v>2138</v>
      </c>
      <c r="K130" s="115">
        <f>SUMIFS(F_Inputs!J:J,F_inputs_ID,'Company data'!$C130,F_inputs_company,'Company data'!$E130)*thousand</f>
        <v>2089</v>
      </c>
      <c r="L130" s="115">
        <f>SUMIFS(F_Inputs!K:K,F_inputs_ID,'Company data'!$C130,F_inputs_company,'Company data'!$E130)*thousand</f>
        <v>2035.0000000000002</v>
      </c>
      <c r="M130" s="115">
        <f>SUMIFS(F_Inputs!L:L,F_inputs_ID,'Company data'!$C130,F_inputs_company,'Company data'!$E130)*thousand</f>
        <v>1989</v>
      </c>
      <c r="N130" s="115">
        <f>SUMIFS(F_Inputs!M:M,F_inputs_ID,'Company data'!$C130,F_inputs_company,'Company data'!$E130)*thousand</f>
        <v>1949</v>
      </c>
    </row>
    <row r="131" spans="3:14" x14ac:dyDescent="0.25">
      <c r="C131" s="9" t="s">
        <v>475</v>
      </c>
      <c r="D131" s="31" t="s">
        <v>249</v>
      </c>
      <c r="E131" s="31" t="s">
        <v>249</v>
      </c>
      <c r="F131" s="31" t="s">
        <v>500</v>
      </c>
      <c r="G131" s="115">
        <f>SUMIFS(F_Inputs!F:F,F_inputs_ID,'Company data'!$C131,F_inputs_company,'Company data'!$E131)*thousand</f>
        <v>866527</v>
      </c>
      <c r="H131" s="115">
        <f>SUMIFS(F_Inputs!G:G,F_inputs_ID,'Company data'!$C131,F_inputs_company,'Company data'!$E131)*thousand</f>
        <v>810738</v>
      </c>
      <c r="I131" s="115">
        <f>SUMIFS(F_Inputs!H:H,F_inputs_ID,'Company data'!$C131,F_inputs_company,'Company data'!$E131)*thousand</f>
        <v>743501</v>
      </c>
      <c r="J131" s="115">
        <f>SUMIFS(F_Inputs!I:I,F_inputs_ID,'Company data'!$C131,F_inputs_company,'Company data'!$E131)*thousand</f>
        <v>690393</v>
      </c>
      <c r="K131" s="115">
        <f>SUMIFS(F_Inputs!J:J,F_inputs_ID,'Company data'!$C131,F_inputs_company,'Company data'!$E131)*thousand</f>
        <v>673367</v>
      </c>
      <c r="L131" s="115">
        <f>SUMIFS(F_Inputs!K:K,F_inputs_ID,'Company data'!$C131,F_inputs_company,'Company data'!$E131)*thousand</f>
        <v>637840</v>
      </c>
      <c r="M131" s="115">
        <f>SUMIFS(F_Inputs!L:L,F_inputs_ID,'Company data'!$C131,F_inputs_company,'Company data'!$E131)*thousand</f>
        <v>603002</v>
      </c>
      <c r="N131" s="115">
        <f>SUMIFS(F_Inputs!M:M,F_inputs_ID,'Company data'!$C131,F_inputs_company,'Company data'!$E131)*thousand</f>
        <v>553085</v>
      </c>
    </row>
    <row r="132" spans="3:14" x14ac:dyDescent="0.25">
      <c r="C132" s="9" t="s">
        <v>475</v>
      </c>
      <c r="D132" s="31" t="s">
        <v>190</v>
      </c>
      <c r="E132" s="31" t="s">
        <v>501</v>
      </c>
      <c r="F132" s="31" t="s">
        <v>500</v>
      </c>
      <c r="G132" s="115">
        <f>SUMIFS(F_Inputs!F:F,F_inputs_ID,'Company data'!$C132,F_inputs_company,'Company data'!$E132)*thousand</f>
        <v>24279</v>
      </c>
      <c r="H132" s="115">
        <f>SUMIFS(F_Inputs!G:G,F_inputs_ID,'Company data'!$C132,F_inputs_company,'Company data'!$E132)*thousand</f>
        <v>23868</v>
      </c>
      <c r="I132" s="115">
        <f>SUMIFS(F_Inputs!H:H,F_inputs_ID,'Company data'!$C132,F_inputs_company,'Company data'!$E132)*thousand</f>
        <v>22756.917922931698</v>
      </c>
      <c r="J132" s="115">
        <f>SUMIFS(F_Inputs!I:I,F_inputs_ID,'Company data'!$C132,F_inputs_company,'Company data'!$E132)*thousand</f>
        <v>21825.593673193602</v>
      </c>
      <c r="K132" s="115">
        <f>SUMIFS(F_Inputs!J:J,F_inputs_ID,'Company data'!$C132,F_inputs_company,'Company data'!$E132)*thousand</f>
        <v>20903.831633707297</v>
      </c>
      <c r="L132" s="115">
        <f>SUMIFS(F_Inputs!K:K,F_inputs_ID,'Company data'!$C132,F_inputs_company,'Company data'!$E132)*thousand</f>
        <v>19992.326011040899</v>
      </c>
      <c r="M132" s="115">
        <f>SUMIFS(F_Inputs!L:L,F_inputs_ID,'Company data'!$C132,F_inputs_company,'Company data'!$E132)*thousand</f>
        <v>19093.340451687101</v>
      </c>
      <c r="N132" s="115">
        <f>SUMIFS(F_Inputs!M:M,F_inputs_ID,'Company data'!$C132,F_inputs_company,'Company data'!$E132)*thousand</f>
        <v>18207.990217933901</v>
      </c>
    </row>
    <row r="133" spans="3:14" x14ac:dyDescent="0.25">
      <c r="C133" s="9" t="s">
        <v>475</v>
      </c>
      <c r="D133" s="31" t="s">
        <v>252</v>
      </c>
      <c r="E133" s="31" t="s">
        <v>252</v>
      </c>
      <c r="F133" s="31" t="s">
        <v>500</v>
      </c>
      <c r="G133" s="115">
        <f>SUMIFS(F_Inputs!F:F,F_inputs_ID,'Company data'!$C133,F_inputs_company,'Company data'!$E133)*thousand</f>
        <v>50986</v>
      </c>
      <c r="H133" s="115">
        <f>SUMIFS(F_Inputs!G:G,F_inputs_ID,'Company data'!$C133,F_inputs_company,'Company data'!$E133)*thousand</f>
        <v>48694</v>
      </c>
      <c r="I133" s="115">
        <f>SUMIFS(F_Inputs!H:H,F_inputs_ID,'Company data'!$C133,F_inputs_company,'Company data'!$E133)*thousand</f>
        <v>47027</v>
      </c>
      <c r="J133" s="115">
        <f>SUMIFS(F_Inputs!I:I,F_inputs_ID,'Company data'!$C133,F_inputs_company,'Company data'!$E133)*thousand</f>
        <v>45456</v>
      </c>
      <c r="K133" s="115">
        <f>SUMIFS(F_Inputs!J:J,F_inputs_ID,'Company data'!$C133,F_inputs_company,'Company data'!$E133)*thousand</f>
        <v>43903</v>
      </c>
      <c r="L133" s="115">
        <f>SUMIFS(F_Inputs!K:K,F_inputs_ID,'Company data'!$C133,F_inputs_company,'Company data'!$E133)*thousand</f>
        <v>42383</v>
      </c>
      <c r="M133" s="115">
        <f>SUMIFS(F_Inputs!L:L,F_inputs_ID,'Company data'!$C133,F_inputs_company,'Company data'!$E133)*thousand</f>
        <v>40895</v>
      </c>
      <c r="N133" s="115">
        <f>SUMIFS(F_Inputs!M:M,F_inputs_ID,'Company data'!$C133,F_inputs_company,'Company data'!$E133)*thousand</f>
        <v>39441</v>
      </c>
    </row>
    <row r="134" spans="3:14" x14ac:dyDescent="0.25">
      <c r="C134" s="9" t="s">
        <v>475</v>
      </c>
      <c r="D134" s="31" t="s">
        <v>169</v>
      </c>
      <c r="E134" s="31" t="s">
        <v>169</v>
      </c>
      <c r="F134" s="31" t="s">
        <v>500</v>
      </c>
      <c r="G134" s="115">
        <f>SUMIFS(F_Inputs!F:F,F_inputs_ID,'Company data'!$C134,F_inputs_company,'Company data'!$E134)*thousand</f>
        <v>283628</v>
      </c>
      <c r="H134" s="115">
        <f>SUMIFS(F_Inputs!G:G,F_inputs_ID,'Company data'!$C134,F_inputs_company,'Company data'!$E134)*thousand</f>
        <v>266839</v>
      </c>
      <c r="I134" s="115">
        <f>SUMIFS(F_Inputs!H:H,F_inputs_ID,'Company data'!$C134,F_inputs_company,'Company data'!$E134)*thousand</f>
        <v>263152</v>
      </c>
      <c r="J134" s="115">
        <f>SUMIFS(F_Inputs!I:I,F_inputs_ID,'Company data'!$C134,F_inputs_company,'Company data'!$E134)*thousand</f>
        <v>252210</v>
      </c>
      <c r="K134" s="115">
        <f>SUMIFS(F_Inputs!J:J,F_inputs_ID,'Company data'!$C134,F_inputs_company,'Company data'!$E134)*thousand</f>
        <v>243802</v>
      </c>
      <c r="L134" s="115">
        <f>SUMIFS(F_Inputs!K:K,F_inputs_ID,'Company data'!$C134,F_inputs_company,'Company data'!$E134)*thousand</f>
        <v>235284</v>
      </c>
      <c r="M134" s="115">
        <f>SUMIFS(F_Inputs!L:L,F_inputs_ID,'Company data'!$C134,F_inputs_company,'Company data'!$E134)*thousand</f>
        <v>226592</v>
      </c>
      <c r="N134" s="115">
        <f>SUMIFS(F_Inputs!M:M,F_inputs_ID,'Company data'!$C134,F_inputs_company,'Company data'!$E134)*thousand</f>
        <v>217668</v>
      </c>
    </row>
    <row r="135" spans="3:14" x14ac:dyDescent="0.25">
      <c r="C135" s="9" t="s">
        <v>475</v>
      </c>
      <c r="D135" s="31" t="s">
        <v>171</v>
      </c>
      <c r="E135" s="31" t="s">
        <v>171</v>
      </c>
      <c r="F135" s="31" t="s">
        <v>500</v>
      </c>
      <c r="G135" s="115">
        <f>SUMIFS(F_Inputs!F:F,F_inputs_ID,'Company data'!$C135,F_inputs_company,'Company data'!$E135)*thousand</f>
        <v>61195</v>
      </c>
      <c r="H135" s="115">
        <f>SUMIFS(F_Inputs!G:G,F_inputs_ID,'Company data'!$C135,F_inputs_company,'Company data'!$E135)*thousand</f>
        <v>59976</v>
      </c>
      <c r="I135" s="115">
        <f>SUMIFS(F_Inputs!H:H,F_inputs_ID,'Company data'!$C135,F_inputs_company,'Company data'!$E135)*thousand</f>
        <v>61196</v>
      </c>
      <c r="J135" s="115">
        <f>SUMIFS(F_Inputs!I:I,F_inputs_ID,'Company data'!$C135,F_inputs_company,'Company data'!$E135)*thousand</f>
        <v>55463</v>
      </c>
      <c r="K135" s="115">
        <f>SUMIFS(F_Inputs!J:J,F_inputs_ID,'Company data'!$C135,F_inputs_company,'Company data'!$E135)*thousand</f>
        <v>53469</v>
      </c>
      <c r="L135" s="115">
        <f>SUMIFS(F_Inputs!K:K,F_inputs_ID,'Company data'!$C135,F_inputs_company,'Company data'!$E135)*thousand</f>
        <v>51464</v>
      </c>
      <c r="M135" s="115">
        <f>SUMIFS(F_Inputs!L:L,F_inputs_ID,'Company data'!$C135,F_inputs_company,'Company data'!$E135)*thousand</f>
        <v>49447</v>
      </c>
      <c r="N135" s="115">
        <f>SUMIFS(F_Inputs!M:M,F_inputs_ID,'Company data'!$C135,F_inputs_company,'Company data'!$E135)*thousand</f>
        <v>47420</v>
      </c>
    </row>
    <row r="137" spans="3:14" x14ac:dyDescent="0.25">
      <c r="C137" s="31" t="s">
        <v>498</v>
      </c>
      <c r="D137" s="31" t="s">
        <v>150</v>
      </c>
      <c r="E137" s="31" t="s">
        <v>499</v>
      </c>
      <c r="F137" s="31" t="s">
        <v>151</v>
      </c>
      <c r="G137" s="9" t="s">
        <v>375</v>
      </c>
      <c r="H137" s="9" t="s">
        <v>376</v>
      </c>
      <c r="I137" s="9" t="s">
        <v>377</v>
      </c>
      <c r="J137" s="9" t="s">
        <v>174</v>
      </c>
      <c r="K137" s="9" t="s">
        <v>175</v>
      </c>
      <c r="L137" s="9" t="s">
        <v>176</v>
      </c>
      <c r="M137" s="9" t="s">
        <v>177</v>
      </c>
      <c r="N137" s="9" t="s">
        <v>178</v>
      </c>
    </row>
    <row r="138" spans="3:14" x14ac:dyDescent="0.25">
      <c r="C138" s="9" t="s">
        <v>477</v>
      </c>
      <c r="D138" s="31" t="s">
        <v>231</v>
      </c>
      <c r="E138" s="31" t="s">
        <v>231</v>
      </c>
      <c r="F138" s="31" t="s">
        <v>500</v>
      </c>
      <c r="G138" s="115">
        <f>SUMIFS(F_Inputs!F:F,F_inputs_ID,'Company data'!$C138,F_inputs_company,'Company data'!$E138)*thousand</f>
        <v>0</v>
      </c>
      <c r="H138" s="115">
        <f>SUMIFS(F_Inputs!G:G,F_inputs_ID,'Company data'!$C138,F_inputs_company,'Company data'!$E138)*thousand</f>
        <v>0</v>
      </c>
      <c r="I138" s="115">
        <f>SUMIFS(F_Inputs!H:H,F_inputs_ID,'Company data'!$C138,F_inputs_company,'Company data'!$E138)*thousand</f>
        <v>0</v>
      </c>
      <c r="J138" s="115">
        <f>SUMIFS(F_Inputs!I:I,F_inputs_ID,'Company data'!$C138,F_inputs_company,'Company data'!$E138)*thousand</f>
        <v>0</v>
      </c>
      <c r="K138" s="115">
        <f>SUMIFS(F_Inputs!J:J,F_inputs_ID,'Company data'!$C138,F_inputs_company,'Company data'!$E138)*thousand</f>
        <v>0</v>
      </c>
      <c r="L138" s="115">
        <f>SUMIFS(F_Inputs!K:K,F_inputs_ID,'Company data'!$C138,F_inputs_company,'Company data'!$E138)*thousand</f>
        <v>0</v>
      </c>
      <c r="M138" s="115">
        <f>SUMIFS(F_Inputs!L:L,F_inputs_ID,'Company data'!$C138,F_inputs_company,'Company data'!$E138)*thousand</f>
        <v>0</v>
      </c>
      <c r="N138" s="115">
        <f>SUMIFS(F_Inputs!M:M,F_inputs_ID,'Company data'!$C138,F_inputs_company,'Company data'!$E138)*thousand</f>
        <v>0</v>
      </c>
    </row>
    <row r="139" spans="3:14" x14ac:dyDescent="0.25">
      <c r="C139" s="9" t="s">
        <v>477</v>
      </c>
      <c r="D139" s="31" t="s">
        <v>157</v>
      </c>
      <c r="E139" s="31" t="s">
        <v>157</v>
      </c>
      <c r="F139" s="31" t="s">
        <v>500</v>
      </c>
      <c r="G139" s="115">
        <f>SUMIFS(F_Inputs!F:F,F_inputs_ID,'Company data'!$C139,F_inputs_company,'Company data'!$E139)*thousand</f>
        <v>557379</v>
      </c>
      <c r="H139" s="115">
        <f>SUMIFS(F_Inputs!G:G,F_inputs_ID,'Company data'!$C139,F_inputs_company,'Company data'!$E139)*thousand</f>
        <v>569715.25999999989</v>
      </c>
      <c r="I139" s="115">
        <f>SUMIFS(F_Inputs!H:H,F_inputs_ID,'Company data'!$C139,F_inputs_company,'Company data'!$E139)*thousand</f>
        <v>617722</v>
      </c>
      <c r="J139" s="115">
        <f>SUMIFS(F_Inputs!I:I,F_inputs_ID,'Company data'!$C139,F_inputs_company,'Company data'!$E139)*thousand</f>
        <v>636115</v>
      </c>
      <c r="K139" s="115">
        <f>SUMIFS(F_Inputs!J:J,F_inputs_ID,'Company data'!$C139,F_inputs_company,'Company data'!$E139)*thousand</f>
        <v>649996</v>
      </c>
      <c r="L139" s="115">
        <f>SUMIFS(F_Inputs!K:K,F_inputs_ID,'Company data'!$C139,F_inputs_company,'Company data'!$E139)*thousand</f>
        <v>659028</v>
      </c>
      <c r="M139" s="115">
        <f>SUMIFS(F_Inputs!L:L,F_inputs_ID,'Company data'!$C139,F_inputs_company,'Company data'!$E139)*thousand</f>
        <v>666209</v>
      </c>
      <c r="N139" s="115">
        <f>SUMIFS(F_Inputs!M:M,F_inputs_ID,'Company data'!$C139,F_inputs_company,'Company data'!$E139)*thousand</f>
        <v>673661</v>
      </c>
    </row>
    <row r="140" spans="3:14" x14ac:dyDescent="0.25">
      <c r="C140" s="9" t="s">
        <v>477</v>
      </c>
      <c r="D140" s="31" t="s">
        <v>235</v>
      </c>
      <c r="E140" s="31" t="s">
        <v>235</v>
      </c>
      <c r="F140" s="31" t="s">
        <v>500</v>
      </c>
      <c r="G140" s="115">
        <f>SUMIFS(F_Inputs!F:F,F_inputs_ID,'Company data'!$C140,F_inputs_company,'Company data'!$E140)*thousand</f>
        <v>0</v>
      </c>
      <c r="H140" s="115">
        <f>SUMIFS(F_Inputs!G:G,F_inputs_ID,'Company data'!$C140,F_inputs_company,'Company data'!$E140)*thousand</f>
        <v>0</v>
      </c>
      <c r="I140" s="115">
        <f>SUMIFS(F_Inputs!H:H,F_inputs_ID,'Company data'!$C140,F_inputs_company,'Company data'!$E140)*thousand</f>
        <v>0</v>
      </c>
      <c r="J140" s="115">
        <f>SUMIFS(F_Inputs!I:I,F_inputs_ID,'Company data'!$C140,F_inputs_company,'Company data'!$E140)*thousand</f>
        <v>0</v>
      </c>
      <c r="K140" s="115">
        <f>SUMIFS(F_Inputs!J:J,F_inputs_ID,'Company data'!$C140,F_inputs_company,'Company data'!$E140)*thousand</f>
        <v>0</v>
      </c>
      <c r="L140" s="115">
        <f>SUMIFS(F_Inputs!K:K,F_inputs_ID,'Company data'!$C140,F_inputs_company,'Company data'!$E140)*thousand</f>
        <v>0</v>
      </c>
      <c r="M140" s="115">
        <f>SUMIFS(F_Inputs!L:L,F_inputs_ID,'Company data'!$C140,F_inputs_company,'Company data'!$E140)*thousand</f>
        <v>0</v>
      </c>
      <c r="N140" s="115">
        <f>SUMIFS(F_Inputs!M:M,F_inputs_ID,'Company data'!$C140,F_inputs_company,'Company data'!$E140)*thousand</f>
        <v>0</v>
      </c>
    </row>
    <row r="141" spans="3:14" x14ac:dyDescent="0.25">
      <c r="C141" s="9" t="s">
        <v>477</v>
      </c>
      <c r="D141" s="31" t="s">
        <v>237</v>
      </c>
      <c r="E141" s="31" t="s">
        <v>237</v>
      </c>
      <c r="F141" s="31" t="s">
        <v>500</v>
      </c>
      <c r="G141" s="115">
        <f>SUMIFS(F_Inputs!F:F,F_inputs_ID,'Company data'!$C141,F_inputs_company,'Company data'!$E141)*thousand</f>
        <v>1994.8162127242299</v>
      </c>
      <c r="H141" s="115">
        <f>SUMIFS(F_Inputs!G:G,F_inputs_ID,'Company data'!$C141,F_inputs_company,'Company data'!$E141)*thousand</f>
        <v>1408</v>
      </c>
      <c r="I141" s="115">
        <f>SUMIFS(F_Inputs!H:H,F_inputs_ID,'Company data'!$C141,F_inputs_company,'Company data'!$E141)*thousand</f>
        <v>717</v>
      </c>
      <c r="J141" s="115">
        <f>SUMIFS(F_Inputs!I:I,F_inputs_ID,'Company data'!$C141,F_inputs_company,'Company data'!$E141)*thousand</f>
        <v>847</v>
      </c>
      <c r="K141" s="115">
        <f>SUMIFS(F_Inputs!J:J,F_inputs_ID,'Company data'!$C141,F_inputs_company,'Company data'!$E141)*thousand</f>
        <v>976</v>
      </c>
      <c r="L141" s="115">
        <f>SUMIFS(F_Inputs!K:K,F_inputs_ID,'Company data'!$C141,F_inputs_company,'Company data'!$E141)*thousand</f>
        <v>1107</v>
      </c>
      <c r="M141" s="115">
        <f>SUMIFS(F_Inputs!L:L,F_inputs_ID,'Company data'!$C141,F_inputs_company,'Company data'!$E141)*thousand</f>
        <v>1237</v>
      </c>
      <c r="N141" s="115">
        <f>SUMIFS(F_Inputs!M:M,F_inputs_ID,'Company data'!$C141,F_inputs_company,'Company data'!$E141)*thousand</f>
        <v>1367</v>
      </c>
    </row>
    <row r="142" spans="3:14" x14ac:dyDescent="0.25">
      <c r="C142" s="9" t="s">
        <v>477</v>
      </c>
      <c r="D142" s="31" t="s">
        <v>186</v>
      </c>
      <c r="E142" s="31" t="s">
        <v>186</v>
      </c>
      <c r="F142" s="31" t="s">
        <v>500</v>
      </c>
      <c r="G142" s="115">
        <f>SUMIFS(F_Inputs!F:F,F_inputs_ID,'Company data'!$C142,F_inputs_company,'Company data'!$E142)*thousand</f>
        <v>33038</v>
      </c>
      <c r="H142" s="115">
        <f>SUMIFS(F_Inputs!G:G,F_inputs_ID,'Company data'!$C142,F_inputs_company,'Company data'!$E142)*thousand</f>
        <v>33812</v>
      </c>
      <c r="I142" s="115">
        <f>SUMIFS(F_Inputs!H:H,F_inputs_ID,'Company data'!$C142,F_inputs_company,'Company data'!$E142)*thousand</f>
        <v>39317</v>
      </c>
      <c r="J142" s="115">
        <f>SUMIFS(F_Inputs!I:I,F_inputs_ID,'Company data'!$C142,F_inputs_company,'Company data'!$E142)*thousand</f>
        <v>38818</v>
      </c>
      <c r="K142" s="115">
        <f>SUMIFS(F_Inputs!J:J,F_inputs_ID,'Company data'!$C142,F_inputs_company,'Company data'!$E142)*thousand</f>
        <v>40904</v>
      </c>
      <c r="L142" s="115">
        <f>SUMIFS(F_Inputs!K:K,F_inputs_ID,'Company data'!$C142,F_inputs_company,'Company data'!$E142)*thousand</f>
        <v>42948</v>
      </c>
      <c r="M142" s="115">
        <f>SUMIFS(F_Inputs!L:L,F_inputs_ID,'Company data'!$C142,F_inputs_company,'Company data'!$E142)*thousand</f>
        <v>44970</v>
      </c>
      <c r="N142" s="115">
        <f>SUMIFS(F_Inputs!M:M,F_inputs_ID,'Company data'!$C142,F_inputs_company,'Company data'!$E142)*thousand</f>
        <v>46983</v>
      </c>
    </row>
    <row r="143" spans="3:14" x14ac:dyDescent="0.25">
      <c r="C143" s="9" t="s">
        <v>477</v>
      </c>
      <c r="D143" s="31" t="s">
        <v>239</v>
      </c>
      <c r="E143" s="31" t="s">
        <v>239</v>
      </c>
      <c r="F143" s="31" t="s">
        <v>500</v>
      </c>
      <c r="G143" s="115">
        <f>SUMIFS(F_Inputs!F:F,F_inputs_ID,'Company data'!$C143,F_inputs_company,'Company data'!$E143)*thousand</f>
        <v>0</v>
      </c>
      <c r="H143" s="115">
        <f>SUMIFS(F_Inputs!G:G,F_inputs_ID,'Company data'!$C143,F_inputs_company,'Company data'!$E143)*thousand</f>
        <v>0</v>
      </c>
      <c r="I143" s="115">
        <f>SUMIFS(F_Inputs!H:H,F_inputs_ID,'Company data'!$C143,F_inputs_company,'Company data'!$E143)*thousand</f>
        <v>0</v>
      </c>
      <c r="J143" s="115">
        <f>SUMIFS(F_Inputs!I:I,F_inputs_ID,'Company data'!$C143,F_inputs_company,'Company data'!$E143)*thousand</f>
        <v>0</v>
      </c>
      <c r="K143" s="115">
        <f>SUMIFS(F_Inputs!J:J,F_inputs_ID,'Company data'!$C143,F_inputs_company,'Company data'!$E143)*thousand</f>
        <v>0</v>
      </c>
      <c r="L143" s="115">
        <f>SUMIFS(F_Inputs!K:K,F_inputs_ID,'Company data'!$C143,F_inputs_company,'Company data'!$E143)*thousand</f>
        <v>0</v>
      </c>
      <c r="M143" s="115">
        <f>SUMIFS(F_Inputs!L:L,F_inputs_ID,'Company data'!$C143,F_inputs_company,'Company data'!$E143)*thousand</f>
        <v>0</v>
      </c>
      <c r="N143" s="115">
        <f>SUMIFS(F_Inputs!M:M,F_inputs_ID,'Company data'!$C143,F_inputs_company,'Company data'!$E143)*thousand</f>
        <v>0</v>
      </c>
    </row>
    <row r="144" spans="3:14" x14ac:dyDescent="0.25">
      <c r="C144" s="9" t="s">
        <v>477</v>
      </c>
      <c r="D144" s="31" t="s">
        <v>165</v>
      </c>
      <c r="E144" s="31" t="s">
        <v>165</v>
      </c>
      <c r="F144" s="31" t="s">
        <v>500</v>
      </c>
      <c r="G144" s="115">
        <f>SUMIFS(F_Inputs!F:F,F_inputs_ID,'Company data'!$C144,F_inputs_company,'Company data'!$E144)*thousand</f>
        <v>0</v>
      </c>
      <c r="H144" s="115">
        <f>SUMIFS(F_Inputs!G:G,F_inputs_ID,'Company data'!$C144,F_inputs_company,'Company data'!$E144)*thousand</f>
        <v>0</v>
      </c>
      <c r="I144" s="115">
        <f>SUMIFS(F_Inputs!H:H,F_inputs_ID,'Company data'!$C144,F_inputs_company,'Company data'!$E144)*thousand</f>
        <v>0</v>
      </c>
      <c r="J144" s="115">
        <f>SUMIFS(F_Inputs!I:I,F_inputs_ID,'Company data'!$C144,F_inputs_company,'Company data'!$E144)*thousand</f>
        <v>0</v>
      </c>
      <c r="K144" s="115">
        <f>SUMIFS(F_Inputs!J:J,F_inputs_ID,'Company data'!$C144,F_inputs_company,'Company data'!$E144)*thousand</f>
        <v>0</v>
      </c>
      <c r="L144" s="115">
        <f>SUMIFS(F_Inputs!K:K,F_inputs_ID,'Company data'!$C144,F_inputs_company,'Company data'!$E144)*thousand</f>
        <v>0</v>
      </c>
      <c r="M144" s="115">
        <f>SUMIFS(F_Inputs!L:L,F_inputs_ID,'Company data'!$C144,F_inputs_company,'Company data'!$E144)*thousand</f>
        <v>0</v>
      </c>
      <c r="N144" s="115">
        <f>SUMIFS(F_Inputs!M:M,F_inputs_ID,'Company data'!$C144,F_inputs_company,'Company data'!$E144)*thousand</f>
        <v>0</v>
      </c>
    </row>
    <row r="145" spans="3:14" x14ac:dyDescent="0.25">
      <c r="C145" s="9" t="s">
        <v>477</v>
      </c>
      <c r="D145" s="31" t="s">
        <v>241</v>
      </c>
      <c r="E145" s="31" t="s">
        <v>241</v>
      </c>
      <c r="F145" s="31" t="s">
        <v>500</v>
      </c>
      <c r="G145" s="115">
        <f>SUMIFS(F_Inputs!F:F,F_inputs_ID,'Company data'!$C145,F_inputs_company,'Company data'!$E145)*thousand</f>
        <v>0</v>
      </c>
      <c r="H145" s="115">
        <f>SUMIFS(F_Inputs!G:G,F_inputs_ID,'Company data'!$C145,F_inputs_company,'Company data'!$E145)*thousand</f>
        <v>0</v>
      </c>
      <c r="I145" s="115">
        <f>SUMIFS(F_Inputs!H:H,F_inputs_ID,'Company data'!$C145,F_inputs_company,'Company data'!$E145)*thousand</f>
        <v>0</v>
      </c>
      <c r="J145" s="115">
        <f>SUMIFS(F_Inputs!I:I,F_inputs_ID,'Company data'!$C145,F_inputs_company,'Company data'!$E145)*thousand</f>
        <v>0</v>
      </c>
      <c r="K145" s="115">
        <f>SUMIFS(F_Inputs!J:J,F_inputs_ID,'Company data'!$C145,F_inputs_company,'Company data'!$E145)*thousand</f>
        <v>0</v>
      </c>
      <c r="L145" s="115">
        <f>SUMIFS(F_Inputs!K:K,F_inputs_ID,'Company data'!$C145,F_inputs_company,'Company data'!$E145)*thousand</f>
        <v>0</v>
      </c>
      <c r="M145" s="115">
        <f>SUMIFS(F_Inputs!L:L,F_inputs_ID,'Company data'!$C145,F_inputs_company,'Company data'!$E145)*thousand</f>
        <v>0</v>
      </c>
      <c r="N145" s="115">
        <f>SUMIFS(F_Inputs!M:M,F_inputs_ID,'Company data'!$C145,F_inputs_company,'Company data'!$E145)*thousand</f>
        <v>0</v>
      </c>
    </row>
    <row r="146" spans="3:14" x14ac:dyDescent="0.25">
      <c r="C146" s="9" t="s">
        <v>477</v>
      </c>
      <c r="D146" s="31" t="s">
        <v>205</v>
      </c>
      <c r="E146" s="31" t="s">
        <v>205</v>
      </c>
      <c r="F146" s="31" t="s">
        <v>500</v>
      </c>
      <c r="G146" s="115">
        <f>SUMIFS(F_Inputs!F:F,F_inputs_ID,'Company data'!$C146,F_inputs_company,'Company data'!$E146)*thousand</f>
        <v>591109</v>
      </c>
      <c r="H146" s="115">
        <f>SUMIFS(F_Inputs!G:G,F_inputs_ID,'Company data'!$C146,F_inputs_company,'Company data'!$E146)*thousand</f>
        <v>620243</v>
      </c>
      <c r="I146" s="115">
        <f>SUMIFS(F_Inputs!H:H,F_inputs_ID,'Company data'!$C146,F_inputs_company,'Company data'!$E146)*thousand</f>
        <v>621399</v>
      </c>
      <c r="J146" s="115">
        <f>SUMIFS(F_Inputs!I:I,F_inputs_ID,'Company data'!$C146,F_inputs_company,'Company data'!$E146)*thousand</f>
        <v>640334</v>
      </c>
      <c r="K146" s="115">
        <f>SUMIFS(F_Inputs!J:J,F_inputs_ID,'Company data'!$C146,F_inputs_company,'Company data'!$E146)*thousand</f>
        <v>658867</v>
      </c>
      <c r="L146" s="115">
        <f>SUMIFS(F_Inputs!K:K,F_inputs_ID,'Company data'!$C146,F_inputs_company,'Company data'!$E146)*thousand</f>
        <v>677314</v>
      </c>
      <c r="M146" s="115">
        <f>SUMIFS(F_Inputs!L:L,F_inputs_ID,'Company data'!$C146,F_inputs_company,'Company data'!$E146)*thousand</f>
        <v>695233</v>
      </c>
      <c r="N146" s="115">
        <f>SUMIFS(F_Inputs!M:M,F_inputs_ID,'Company data'!$C146,F_inputs_company,'Company data'!$E146)*thousand</f>
        <v>712693</v>
      </c>
    </row>
    <row r="147" spans="3:14" x14ac:dyDescent="0.25">
      <c r="C147" s="9" t="s">
        <v>477</v>
      </c>
      <c r="D147" s="31" t="s">
        <v>297</v>
      </c>
      <c r="E147" s="31" t="s">
        <v>297</v>
      </c>
      <c r="F147" s="31" t="s">
        <v>500</v>
      </c>
      <c r="G147" s="115">
        <f>SUMIFS(F_Inputs!F:F,F_inputs_ID,'Company data'!$C147,F_inputs_company,'Company data'!$E147)*thousand</f>
        <v>0</v>
      </c>
      <c r="H147" s="115">
        <f>SUMIFS(F_Inputs!G:G,F_inputs_ID,'Company data'!$C147,F_inputs_company,'Company data'!$E147)*thousand</f>
        <v>0</v>
      </c>
      <c r="I147" s="115">
        <f>SUMIFS(F_Inputs!H:H,F_inputs_ID,'Company data'!$C147,F_inputs_company,'Company data'!$E147)*thousand</f>
        <v>0</v>
      </c>
      <c r="J147" s="115">
        <f>SUMIFS(F_Inputs!I:I,F_inputs_ID,'Company data'!$C147,F_inputs_company,'Company data'!$E147)*thousand</f>
        <v>0</v>
      </c>
      <c r="K147" s="115">
        <f>SUMIFS(F_Inputs!J:J,F_inputs_ID,'Company data'!$C147,F_inputs_company,'Company data'!$E147)*thousand</f>
        <v>0</v>
      </c>
      <c r="L147" s="115">
        <f>SUMIFS(F_Inputs!K:K,F_inputs_ID,'Company data'!$C147,F_inputs_company,'Company data'!$E147)*thousand</f>
        <v>0</v>
      </c>
      <c r="M147" s="115">
        <f>SUMIFS(F_Inputs!L:L,F_inputs_ID,'Company data'!$C147,F_inputs_company,'Company data'!$E147)*thousand</f>
        <v>0</v>
      </c>
      <c r="N147" s="115">
        <f>SUMIFS(F_Inputs!M:M,F_inputs_ID,'Company data'!$C147,F_inputs_company,'Company data'!$E147)*thousand</f>
        <v>0</v>
      </c>
    </row>
    <row r="148" spans="3:14" x14ac:dyDescent="0.25">
      <c r="C148" s="9" t="s">
        <v>477</v>
      </c>
      <c r="D148" s="31" t="s">
        <v>198</v>
      </c>
      <c r="E148" s="31" t="s">
        <v>198</v>
      </c>
      <c r="F148" s="31" t="s">
        <v>500</v>
      </c>
      <c r="G148" s="115">
        <f>SUMIFS(F_Inputs!F:F,F_inputs_ID,'Company data'!$C148,F_inputs_company,'Company data'!$E148)*thousand</f>
        <v>274865.18378727604</v>
      </c>
      <c r="H148" s="115">
        <f>SUMIFS(F_Inputs!G:G,F_inputs_ID,'Company data'!$C148,F_inputs_company,'Company data'!$E148)*thousand</f>
        <v>292425</v>
      </c>
      <c r="I148" s="115">
        <f>SUMIFS(F_Inputs!H:H,F_inputs_ID,'Company data'!$C148,F_inputs_company,'Company data'!$E148)*thousand</f>
        <v>292448.31652599497</v>
      </c>
      <c r="J148" s="115">
        <f>SUMIFS(F_Inputs!I:I,F_inputs_ID,'Company data'!$C148,F_inputs_company,'Company data'!$E148)*thousand</f>
        <v>312507.58276863297</v>
      </c>
      <c r="K148" s="115">
        <f>SUMIFS(F_Inputs!J:J,F_inputs_ID,'Company data'!$C148,F_inputs_company,'Company data'!$E148)*thousand</f>
        <v>332544.83910388802</v>
      </c>
      <c r="L148" s="115">
        <f>SUMIFS(F_Inputs!K:K,F_inputs_ID,'Company data'!$C148,F_inputs_company,'Company data'!$E148)*thousand</f>
        <v>352726.98080069304</v>
      </c>
      <c r="M148" s="115">
        <f>SUMIFS(F_Inputs!L:L,F_inputs_ID,'Company data'!$C148,F_inputs_company,'Company data'!$E148)*thousand</f>
        <v>372890.43782792101</v>
      </c>
      <c r="N148" s="115">
        <f>SUMIFS(F_Inputs!M:M,F_inputs_ID,'Company data'!$C148,F_inputs_company,'Company data'!$E148)*thousand</f>
        <v>393036.63528748899</v>
      </c>
    </row>
    <row r="149" spans="3:14" x14ac:dyDescent="0.25">
      <c r="C149" s="9" t="s">
        <v>477</v>
      </c>
      <c r="D149" s="31" t="s">
        <v>167</v>
      </c>
      <c r="E149" s="31" t="s">
        <v>167</v>
      </c>
      <c r="F149" s="31" t="s">
        <v>500</v>
      </c>
      <c r="G149" s="115">
        <f>SUMIFS(F_Inputs!F:F,F_inputs_ID,'Company data'!$C149,F_inputs_company,'Company data'!$E149)*thousand</f>
        <v>2570</v>
      </c>
      <c r="H149" s="115">
        <f>SUMIFS(F_Inputs!G:G,F_inputs_ID,'Company data'!$C149,F_inputs_company,'Company data'!$E149)*thousand</f>
        <v>0</v>
      </c>
      <c r="I149" s="115">
        <f>SUMIFS(F_Inputs!H:H,F_inputs_ID,'Company data'!$C149,F_inputs_company,'Company data'!$E149)*thousand</f>
        <v>2704</v>
      </c>
      <c r="J149" s="115">
        <f>SUMIFS(F_Inputs!I:I,F_inputs_ID,'Company data'!$C149,F_inputs_company,'Company data'!$E149)*thousand</f>
        <v>2785</v>
      </c>
      <c r="K149" s="115">
        <f>SUMIFS(F_Inputs!J:J,F_inputs_ID,'Company data'!$C149,F_inputs_company,'Company data'!$E149)*thousand</f>
        <v>2871</v>
      </c>
      <c r="L149" s="115">
        <f>SUMIFS(F_Inputs!K:K,F_inputs_ID,'Company data'!$C149,F_inputs_company,'Company data'!$E149)*thousand</f>
        <v>2950</v>
      </c>
      <c r="M149" s="115">
        <f>SUMIFS(F_Inputs!L:L,F_inputs_ID,'Company data'!$C149,F_inputs_company,'Company data'!$E149)*thousand</f>
        <v>3022</v>
      </c>
      <c r="N149" s="115">
        <f>SUMIFS(F_Inputs!M:M,F_inputs_ID,'Company data'!$C149,F_inputs_company,'Company data'!$E149)*thousand</f>
        <v>3086</v>
      </c>
    </row>
    <row r="150" spans="3:14" x14ac:dyDescent="0.25">
      <c r="C150" s="9" t="s">
        <v>477</v>
      </c>
      <c r="D150" s="31" t="s">
        <v>249</v>
      </c>
      <c r="E150" s="31" t="s">
        <v>249</v>
      </c>
      <c r="F150" s="31" t="s">
        <v>500</v>
      </c>
      <c r="G150" s="115">
        <f>SUMIFS(F_Inputs!F:F,F_inputs_ID,'Company data'!$C150,F_inputs_company,'Company data'!$E150)*thousand</f>
        <v>1067268</v>
      </c>
      <c r="H150" s="115">
        <f>SUMIFS(F_Inputs!G:G,F_inputs_ID,'Company data'!$C150,F_inputs_company,'Company data'!$E150)*thousand</f>
        <v>1133597</v>
      </c>
      <c r="I150" s="115">
        <f>SUMIFS(F_Inputs!H:H,F_inputs_ID,'Company data'!$C150,F_inputs_company,'Company data'!$E150)*thousand</f>
        <v>1226626</v>
      </c>
      <c r="J150" s="115">
        <f>SUMIFS(F_Inputs!I:I,F_inputs_ID,'Company data'!$C150,F_inputs_company,'Company data'!$E150)*thousand</f>
        <v>1299249</v>
      </c>
      <c r="K150" s="115">
        <f>SUMIFS(F_Inputs!J:J,F_inputs_ID,'Company data'!$C150,F_inputs_company,'Company data'!$E150)*thousand</f>
        <v>1340856</v>
      </c>
      <c r="L150" s="115">
        <f>SUMIFS(F_Inputs!K:K,F_inputs_ID,'Company data'!$C150,F_inputs_company,'Company data'!$E150)*thousand</f>
        <v>1398731</v>
      </c>
      <c r="M150" s="115">
        <f>SUMIFS(F_Inputs!L:L,F_inputs_ID,'Company data'!$C150,F_inputs_company,'Company data'!$E150)*thousand</f>
        <v>1456925</v>
      </c>
      <c r="N150" s="115">
        <f>SUMIFS(F_Inputs!M:M,F_inputs_ID,'Company data'!$C150,F_inputs_company,'Company data'!$E150)*thousand</f>
        <v>1526117</v>
      </c>
    </row>
    <row r="151" spans="3:14" x14ac:dyDescent="0.25">
      <c r="C151" s="9" t="s">
        <v>477</v>
      </c>
      <c r="D151" s="31" t="s">
        <v>190</v>
      </c>
      <c r="E151" s="31" t="s">
        <v>501</v>
      </c>
      <c r="F151" s="31" t="s">
        <v>500</v>
      </c>
      <c r="G151" s="115">
        <f>SUMIFS(F_Inputs!F:F,F_inputs_ID,'Company data'!$C151,F_inputs_company,'Company data'!$E151)*thousand</f>
        <v>49720.192307692298</v>
      </c>
      <c r="H151" s="115">
        <f>SUMIFS(F_Inputs!G:G,F_inputs_ID,'Company data'!$C151,F_inputs_company,'Company data'!$E151)*thousand</f>
        <v>50744</v>
      </c>
      <c r="I151" s="115">
        <f>SUMIFS(F_Inputs!H:H,F_inputs_ID,'Company data'!$C151,F_inputs_company,'Company data'!$E151)*thousand</f>
        <v>52280.715939321097</v>
      </c>
      <c r="J151" s="115">
        <f>SUMIFS(F_Inputs!I:I,F_inputs_ID,'Company data'!$C151,F_inputs_company,'Company data'!$E151)*thousand</f>
        <v>53250.613758758394</v>
      </c>
      <c r="K151" s="115">
        <f>SUMIFS(F_Inputs!J:J,F_inputs_ID,'Company data'!$C151,F_inputs_company,'Company data'!$E151)*thousand</f>
        <v>54063.701586362004</v>
      </c>
      <c r="L151" s="115">
        <f>SUMIFS(F_Inputs!K:K,F_inputs_ID,'Company data'!$C151,F_inputs_company,'Company data'!$E151)*thousand</f>
        <v>54869.1817887547</v>
      </c>
      <c r="M151" s="115">
        <f>SUMIFS(F_Inputs!L:L,F_inputs_ID,'Company data'!$C151,F_inputs_company,'Company data'!$E151)*thousand</f>
        <v>55665.081220175096</v>
      </c>
      <c r="N151" s="115">
        <f>SUMIFS(F_Inputs!M:M,F_inputs_ID,'Company data'!$C151,F_inputs_company,'Company data'!$E151)*thousand</f>
        <v>56450.400133815099</v>
      </c>
    </row>
    <row r="152" spans="3:14" x14ac:dyDescent="0.25">
      <c r="C152" s="9" t="s">
        <v>477</v>
      </c>
      <c r="D152" s="31" t="s">
        <v>252</v>
      </c>
      <c r="E152" s="31" t="s">
        <v>252</v>
      </c>
      <c r="F152" s="31" t="s">
        <v>500</v>
      </c>
      <c r="G152" s="115">
        <f>SUMIFS(F_Inputs!F:F,F_inputs_ID,'Company data'!$C152,F_inputs_company,'Company data'!$E152)*thousand</f>
        <v>82233</v>
      </c>
      <c r="H152" s="115">
        <f>SUMIFS(F_Inputs!G:G,F_inputs_ID,'Company data'!$C152,F_inputs_company,'Company data'!$E152)*thousand</f>
        <v>83247</v>
      </c>
      <c r="I152" s="115">
        <f>SUMIFS(F_Inputs!H:H,F_inputs_ID,'Company data'!$C152,F_inputs_company,'Company data'!$E152)*thousand</f>
        <v>87616</v>
      </c>
      <c r="J152" s="115">
        <f>SUMIFS(F_Inputs!I:I,F_inputs_ID,'Company data'!$C152,F_inputs_company,'Company data'!$E152)*thousand</f>
        <v>90610</v>
      </c>
      <c r="K152" s="115">
        <f>SUMIFS(F_Inputs!J:J,F_inputs_ID,'Company data'!$C152,F_inputs_company,'Company data'!$E152)*thousand</f>
        <v>93586</v>
      </c>
      <c r="L152" s="115">
        <f>SUMIFS(F_Inputs!K:K,F_inputs_ID,'Company data'!$C152,F_inputs_company,'Company data'!$E152)*thousand</f>
        <v>96543</v>
      </c>
      <c r="M152" s="115">
        <f>SUMIFS(F_Inputs!L:L,F_inputs_ID,'Company data'!$C152,F_inputs_company,'Company data'!$E152)*thousand</f>
        <v>99469</v>
      </c>
      <c r="N152" s="115">
        <f>SUMIFS(F_Inputs!M:M,F_inputs_ID,'Company data'!$C152,F_inputs_company,'Company data'!$E152)*thousand</f>
        <v>102362</v>
      </c>
    </row>
    <row r="153" spans="3:14" x14ac:dyDescent="0.25">
      <c r="C153" s="9" t="s">
        <v>477</v>
      </c>
      <c r="D153" s="31" t="s">
        <v>169</v>
      </c>
      <c r="E153" s="31" t="s">
        <v>169</v>
      </c>
      <c r="F153" s="31" t="s">
        <v>500</v>
      </c>
      <c r="G153" s="115">
        <f>SUMIFS(F_Inputs!F:F,F_inputs_ID,'Company data'!$C153,F_inputs_company,'Company data'!$E153)*thousand</f>
        <v>354968</v>
      </c>
      <c r="H153" s="115">
        <f>SUMIFS(F_Inputs!G:G,F_inputs_ID,'Company data'!$C153,F_inputs_company,'Company data'!$E153)*thousand</f>
        <v>375847</v>
      </c>
      <c r="I153" s="115">
        <f>SUMIFS(F_Inputs!H:H,F_inputs_ID,'Company data'!$C153,F_inputs_company,'Company data'!$E153)*thousand</f>
        <v>389892</v>
      </c>
      <c r="J153" s="115">
        <f>SUMIFS(F_Inputs!I:I,F_inputs_ID,'Company data'!$C153,F_inputs_company,'Company data'!$E153)*thousand</f>
        <v>406933</v>
      </c>
      <c r="K153" s="115">
        <f>SUMIFS(F_Inputs!J:J,F_inputs_ID,'Company data'!$C153,F_inputs_company,'Company data'!$E153)*thousand</f>
        <v>421740</v>
      </c>
      <c r="L153" s="115">
        <f>SUMIFS(F_Inputs!K:K,F_inputs_ID,'Company data'!$C153,F_inputs_company,'Company data'!$E153)*thousand</f>
        <v>436684</v>
      </c>
      <c r="M153" s="115">
        <f>SUMIFS(F_Inputs!L:L,F_inputs_ID,'Company data'!$C153,F_inputs_company,'Company data'!$E153)*thousand</f>
        <v>451671</v>
      </c>
      <c r="N153" s="115">
        <f>SUMIFS(F_Inputs!M:M,F_inputs_ID,'Company data'!$C153,F_inputs_company,'Company data'!$E153)*thousand</f>
        <v>466588</v>
      </c>
    </row>
    <row r="154" spans="3:14" x14ac:dyDescent="0.25">
      <c r="C154" s="9" t="s">
        <v>477</v>
      </c>
      <c r="D154" s="31" t="s">
        <v>171</v>
      </c>
      <c r="E154" s="31" t="s">
        <v>171</v>
      </c>
      <c r="F154" s="31" t="s">
        <v>500</v>
      </c>
      <c r="G154" s="115">
        <f>SUMIFS(F_Inputs!F:F,F_inputs_ID,'Company data'!$C154,F_inputs_company,'Company data'!$E154)*thousand</f>
        <v>49462</v>
      </c>
      <c r="H154" s="115">
        <f>SUMIFS(F_Inputs!G:G,F_inputs_ID,'Company data'!$C154,F_inputs_company,'Company data'!$E154)*thousand</f>
        <v>53079</v>
      </c>
      <c r="I154" s="115">
        <f>SUMIFS(F_Inputs!H:H,F_inputs_ID,'Company data'!$C154,F_inputs_company,'Company data'!$E154)*thousand</f>
        <v>49462</v>
      </c>
      <c r="J154" s="115">
        <f>SUMIFS(F_Inputs!I:I,F_inputs_ID,'Company data'!$C154,F_inputs_company,'Company data'!$E154)*thousand</f>
        <v>56420</v>
      </c>
      <c r="K154" s="115">
        <f>SUMIFS(F_Inputs!J:J,F_inputs_ID,'Company data'!$C154,F_inputs_company,'Company data'!$E154)*thousand</f>
        <v>58714</v>
      </c>
      <c r="L154" s="115">
        <f>SUMIFS(F_Inputs!K:K,F_inputs_ID,'Company data'!$C154,F_inputs_company,'Company data'!$E154)*thousand</f>
        <v>61019</v>
      </c>
      <c r="M154" s="115">
        <f>SUMIFS(F_Inputs!L:L,F_inputs_ID,'Company data'!$C154,F_inputs_company,'Company data'!$E154)*thousand</f>
        <v>63336</v>
      </c>
      <c r="N154" s="115">
        <f>SUMIFS(F_Inputs!M:M,F_inputs_ID,'Company data'!$C154,F_inputs_company,'Company data'!$E154)*thousand</f>
        <v>65665</v>
      </c>
    </row>
    <row r="156" spans="3:14" x14ac:dyDescent="0.25">
      <c r="C156" s="31" t="s">
        <v>498</v>
      </c>
      <c r="D156" s="31" t="s">
        <v>150</v>
      </c>
      <c r="E156" s="31" t="s">
        <v>499</v>
      </c>
      <c r="F156" s="31" t="s">
        <v>151</v>
      </c>
      <c r="G156" s="9" t="s">
        <v>375</v>
      </c>
      <c r="H156" s="9" t="s">
        <v>376</v>
      </c>
      <c r="I156" s="9" t="s">
        <v>377</v>
      </c>
      <c r="J156" s="9" t="s">
        <v>174</v>
      </c>
      <c r="K156" s="9" t="s">
        <v>175</v>
      </c>
      <c r="L156" s="9" t="s">
        <v>176</v>
      </c>
      <c r="M156" s="9" t="s">
        <v>177</v>
      </c>
      <c r="N156" s="9" t="s">
        <v>178</v>
      </c>
    </row>
    <row r="157" spans="3:14" x14ac:dyDescent="0.25">
      <c r="C157" s="9" t="s">
        <v>479</v>
      </c>
      <c r="D157" s="31" t="s">
        <v>231</v>
      </c>
      <c r="E157" s="31" t="s">
        <v>231</v>
      </c>
      <c r="F157" s="31" t="s">
        <v>500</v>
      </c>
      <c r="G157" s="115">
        <f>SUMIFS(F_Inputs!F:F,F_inputs_ID,'Company data'!$C157,F_inputs_company,'Company data'!$E157)*thousand</f>
        <v>0</v>
      </c>
      <c r="H157" s="115">
        <f>SUMIFS(F_Inputs!G:G,F_inputs_ID,'Company data'!$C157,F_inputs_company,'Company data'!$E157)*thousand</f>
        <v>0</v>
      </c>
      <c r="I157" s="115">
        <f>SUMIFS(F_Inputs!H:H,F_inputs_ID,'Company data'!$C157,F_inputs_company,'Company data'!$E157)*thousand</f>
        <v>0</v>
      </c>
      <c r="J157" s="115">
        <f>SUMIFS(F_Inputs!I:I,F_inputs_ID,'Company data'!$C157,F_inputs_company,'Company data'!$E157)*thousand</f>
        <v>0</v>
      </c>
      <c r="K157" s="115">
        <f>SUMIFS(F_Inputs!J:J,F_inputs_ID,'Company data'!$C157,F_inputs_company,'Company data'!$E157)*thousand</f>
        <v>0</v>
      </c>
      <c r="L157" s="115">
        <f>SUMIFS(F_Inputs!K:K,F_inputs_ID,'Company data'!$C157,F_inputs_company,'Company data'!$E157)*thousand</f>
        <v>0</v>
      </c>
      <c r="M157" s="115">
        <f>SUMIFS(F_Inputs!L:L,F_inputs_ID,'Company data'!$C157,F_inputs_company,'Company data'!$E157)*thousand</f>
        <v>0</v>
      </c>
      <c r="N157" s="115">
        <f>SUMIFS(F_Inputs!M:M,F_inputs_ID,'Company data'!$C157,F_inputs_company,'Company data'!$E157)*thousand</f>
        <v>0</v>
      </c>
    </row>
    <row r="158" spans="3:14" x14ac:dyDescent="0.25">
      <c r="C158" s="9" t="s">
        <v>479</v>
      </c>
      <c r="D158" s="31" t="s">
        <v>157</v>
      </c>
      <c r="E158" s="31" t="s">
        <v>157</v>
      </c>
      <c r="F158" s="31" t="s">
        <v>500</v>
      </c>
      <c r="G158" s="115">
        <f>SUMIFS(F_Inputs!F:F,F_inputs_ID,'Company data'!$C158,F_inputs_company,'Company data'!$E158)*thousand</f>
        <v>271669</v>
      </c>
      <c r="H158" s="115">
        <f>SUMIFS(F_Inputs!G:G,F_inputs_ID,'Company data'!$C158,F_inputs_company,'Company data'!$E158)*thousand</f>
        <v>254362.073</v>
      </c>
      <c r="I158" s="115">
        <f>SUMIFS(F_Inputs!H:H,F_inputs_ID,'Company data'!$C158,F_inputs_company,'Company data'!$E158)*thousand</f>
        <v>238570</v>
      </c>
      <c r="J158" s="115">
        <f>SUMIFS(F_Inputs!I:I,F_inputs_ID,'Company data'!$C158,F_inputs_company,'Company data'!$E158)*thousand</f>
        <v>224249</v>
      </c>
      <c r="K158" s="115">
        <f>SUMIFS(F_Inputs!J:J,F_inputs_ID,'Company data'!$C158,F_inputs_company,'Company data'!$E158)*thousand</f>
        <v>212447</v>
      </c>
      <c r="L158" s="115">
        <f>SUMIFS(F_Inputs!K:K,F_inputs_ID,'Company data'!$C158,F_inputs_company,'Company data'!$E158)*thousand</f>
        <v>202434</v>
      </c>
      <c r="M158" s="115">
        <f>SUMIFS(F_Inputs!L:L,F_inputs_ID,'Company data'!$C158,F_inputs_company,'Company data'!$E158)*thousand</f>
        <v>193186</v>
      </c>
      <c r="N158" s="115">
        <f>SUMIFS(F_Inputs!M:M,F_inputs_ID,'Company data'!$C158,F_inputs_company,'Company data'!$E158)*thousand</f>
        <v>184049</v>
      </c>
    </row>
    <row r="159" spans="3:14" x14ac:dyDescent="0.25">
      <c r="C159" s="9" t="s">
        <v>479</v>
      </c>
      <c r="D159" s="31" t="s">
        <v>235</v>
      </c>
      <c r="E159" s="31" t="s">
        <v>235</v>
      </c>
      <c r="F159" s="31" t="s">
        <v>500</v>
      </c>
      <c r="G159" s="115">
        <f>SUMIFS(F_Inputs!F:F,F_inputs_ID,'Company data'!$C159,F_inputs_company,'Company data'!$E159)*thousand</f>
        <v>0</v>
      </c>
      <c r="H159" s="115">
        <f>SUMIFS(F_Inputs!G:G,F_inputs_ID,'Company data'!$C159,F_inputs_company,'Company data'!$E159)*thousand</f>
        <v>0</v>
      </c>
      <c r="I159" s="115">
        <f>SUMIFS(F_Inputs!H:H,F_inputs_ID,'Company data'!$C159,F_inputs_company,'Company data'!$E159)*thousand</f>
        <v>0</v>
      </c>
      <c r="J159" s="115">
        <f>SUMIFS(F_Inputs!I:I,F_inputs_ID,'Company data'!$C159,F_inputs_company,'Company data'!$E159)*thousand</f>
        <v>0</v>
      </c>
      <c r="K159" s="115">
        <f>SUMIFS(F_Inputs!J:J,F_inputs_ID,'Company data'!$C159,F_inputs_company,'Company data'!$E159)*thousand</f>
        <v>0</v>
      </c>
      <c r="L159" s="115">
        <f>SUMIFS(F_Inputs!K:K,F_inputs_ID,'Company data'!$C159,F_inputs_company,'Company data'!$E159)*thousand</f>
        <v>0</v>
      </c>
      <c r="M159" s="115">
        <f>SUMIFS(F_Inputs!L:L,F_inputs_ID,'Company data'!$C159,F_inputs_company,'Company data'!$E159)*thousand</f>
        <v>0</v>
      </c>
      <c r="N159" s="115">
        <f>SUMIFS(F_Inputs!M:M,F_inputs_ID,'Company data'!$C159,F_inputs_company,'Company data'!$E159)*thousand</f>
        <v>0</v>
      </c>
    </row>
    <row r="160" spans="3:14" x14ac:dyDescent="0.25">
      <c r="C160" s="9" t="s">
        <v>479</v>
      </c>
      <c r="D160" s="31" t="s">
        <v>237</v>
      </c>
      <c r="E160" s="31" t="s">
        <v>237</v>
      </c>
      <c r="F160" s="31" t="s">
        <v>500</v>
      </c>
      <c r="G160" s="115">
        <f>SUMIFS(F_Inputs!F:F,F_inputs_ID,'Company data'!$C160,F_inputs_company,'Company data'!$E160)*thousand</f>
        <v>11578.180969364199</v>
      </c>
      <c r="H160" s="115">
        <f>SUMIFS(F_Inputs!G:G,F_inputs_ID,'Company data'!$C160,F_inputs_company,'Company data'!$E160)*thousand</f>
        <v>9061</v>
      </c>
      <c r="I160" s="115">
        <f>SUMIFS(F_Inputs!H:H,F_inputs_ID,'Company data'!$C160,F_inputs_company,'Company data'!$E160)*thousand</f>
        <v>9007</v>
      </c>
      <c r="J160" s="115">
        <f>SUMIFS(F_Inputs!I:I,F_inputs_ID,'Company data'!$C160,F_inputs_company,'Company data'!$E160)*thousand</f>
        <v>8499</v>
      </c>
      <c r="K160" s="115">
        <f>SUMIFS(F_Inputs!J:J,F_inputs_ID,'Company data'!$C160,F_inputs_company,'Company data'!$E160)*thousand</f>
        <v>7993</v>
      </c>
      <c r="L160" s="115">
        <f>SUMIFS(F_Inputs!K:K,F_inputs_ID,'Company data'!$C160,F_inputs_company,'Company data'!$E160)*thousand</f>
        <v>7491</v>
      </c>
      <c r="M160" s="115">
        <f>SUMIFS(F_Inputs!L:L,F_inputs_ID,'Company data'!$C160,F_inputs_company,'Company data'!$E160)*thousand</f>
        <v>6991</v>
      </c>
      <c r="N160" s="115">
        <f>SUMIFS(F_Inputs!M:M,F_inputs_ID,'Company data'!$C160,F_inputs_company,'Company data'!$E160)*thousand</f>
        <v>6494</v>
      </c>
    </row>
    <row r="161" spans="3:14" x14ac:dyDescent="0.25">
      <c r="C161" s="9" t="s">
        <v>479</v>
      </c>
      <c r="D161" s="31" t="s">
        <v>186</v>
      </c>
      <c r="E161" s="31" t="s">
        <v>186</v>
      </c>
      <c r="F161" s="31" t="s">
        <v>500</v>
      </c>
      <c r="G161" s="115">
        <f>SUMIFS(F_Inputs!F:F,F_inputs_ID,'Company data'!$C161,F_inputs_company,'Company data'!$E161)*thousand</f>
        <v>686371</v>
      </c>
      <c r="H161" s="115">
        <f>SUMIFS(F_Inputs!G:G,F_inputs_ID,'Company data'!$C161,F_inputs_company,'Company data'!$E161)*thousand</f>
        <v>667397</v>
      </c>
      <c r="I161" s="115">
        <f>SUMIFS(F_Inputs!H:H,F_inputs_ID,'Company data'!$C161,F_inputs_company,'Company data'!$E161)*thousand</f>
        <v>657680</v>
      </c>
      <c r="J161" s="115">
        <f>SUMIFS(F_Inputs!I:I,F_inputs_ID,'Company data'!$C161,F_inputs_company,'Company data'!$E161)*thousand</f>
        <v>641616</v>
      </c>
      <c r="K161" s="115">
        <f>SUMIFS(F_Inputs!J:J,F_inputs_ID,'Company data'!$C161,F_inputs_company,'Company data'!$E161)*thousand</f>
        <v>625199</v>
      </c>
      <c r="L161" s="115">
        <f>SUMIFS(F_Inputs!K:K,F_inputs_ID,'Company data'!$C161,F_inputs_company,'Company data'!$E161)*thousand</f>
        <v>608747</v>
      </c>
      <c r="M161" s="115">
        <f>SUMIFS(F_Inputs!L:L,F_inputs_ID,'Company data'!$C161,F_inputs_company,'Company data'!$E161)*thousand</f>
        <v>592263</v>
      </c>
      <c r="N161" s="115">
        <f>SUMIFS(F_Inputs!M:M,F_inputs_ID,'Company data'!$C161,F_inputs_company,'Company data'!$E161)*thousand</f>
        <v>575778</v>
      </c>
    </row>
    <row r="162" spans="3:14" x14ac:dyDescent="0.25">
      <c r="C162" s="9" t="s">
        <v>479</v>
      </c>
      <c r="D162" s="31" t="s">
        <v>239</v>
      </c>
      <c r="E162" s="31" t="s">
        <v>239</v>
      </c>
      <c r="F162" s="31" t="s">
        <v>500</v>
      </c>
      <c r="G162" s="115">
        <f>SUMIFS(F_Inputs!F:F,F_inputs_ID,'Company data'!$C162,F_inputs_company,'Company data'!$E162)*thousand</f>
        <v>0</v>
      </c>
      <c r="H162" s="115">
        <f>SUMIFS(F_Inputs!G:G,F_inputs_ID,'Company data'!$C162,F_inputs_company,'Company data'!$E162)*thousand</f>
        <v>0</v>
      </c>
      <c r="I162" s="115">
        <f>SUMIFS(F_Inputs!H:H,F_inputs_ID,'Company data'!$C162,F_inputs_company,'Company data'!$E162)*thousand</f>
        <v>0</v>
      </c>
      <c r="J162" s="115">
        <f>SUMIFS(F_Inputs!I:I,F_inputs_ID,'Company data'!$C162,F_inputs_company,'Company data'!$E162)*thousand</f>
        <v>0</v>
      </c>
      <c r="K162" s="115">
        <f>SUMIFS(F_Inputs!J:J,F_inputs_ID,'Company data'!$C162,F_inputs_company,'Company data'!$E162)*thousand</f>
        <v>0</v>
      </c>
      <c r="L162" s="115">
        <f>SUMIFS(F_Inputs!K:K,F_inputs_ID,'Company data'!$C162,F_inputs_company,'Company data'!$E162)*thousand</f>
        <v>0</v>
      </c>
      <c r="M162" s="115">
        <f>SUMIFS(F_Inputs!L:L,F_inputs_ID,'Company data'!$C162,F_inputs_company,'Company data'!$E162)*thousand</f>
        <v>0</v>
      </c>
      <c r="N162" s="115">
        <f>SUMIFS(F_Inputs!M:M,F_inputs_ID,'Company data'!$C162,F_inputs_company,'Company data'!$E162)*thousand</f>
        <v>0</v>
      </c>
    </row>
    <row r="163" spans="3:14" x14ac:dyDescent="0.25">
      <c r="C163" s="9" t="s">
        <v>479</v>
      </c>
      <c r="D163" s="31" t="s">
        <v>165</v>
      </c>
      <c r="E163" s="31" t="s">
        <v>165</v>
      </c>
      <c r="F163" s="31" t="s">
        <v>500</v>
      </c>
      <c r="G163" s="115">
        <f>SUMIFS(F_Inputs!F:F,F_inputs_ID,'Company data'!$C163,F_inputs_company,'Company data'!$E163)*thousand</f>
        <v>0</v>
      </c>
      <c r="H163" s="115">
        <f>SUMIFS(F_Inputs!G:G,F_inputs_ID,'Company data'!$C163,F_inputs_company,'Company data'!$E163)*thousand</f>
        <v>0</v>
      </c>
      <c r="I163" s="115">
        <f>SUMIFS(F_Inputs!H:H,F_inputs_ID,'Company data'!$C163,F_inputs_company,'Company data'!$E163)*thousand</f>
        <v>0</v>
      </c>
      <c r="J163" s="115">
        <f>SUMIFS(F_Inputs!I:I,F_inputs_ID,'Company data'!$C163,F_inputs_company,'Company data'!$E163)*thousand</f>
        <v>0</v>
      </c>
      <c r="K163" s="115">
        <f>SUMIFS(F_Inputs!J:J,F_inputs_ID,'Company data'!$C163,F_inputs_company,'Company data'!$E163)*thousand</f>
        <v>0</v>
      </c>
      <c r="L163" s="115">
        <f>SUMIFS(F_Inputs!K:K,F_inputs_ID,'Company data'!$C163,F_inputs_company,'Company data'!$E163)*thousand</f>
        <v>0</v>
      </c>
      <c r="M163" s="115">
        <f>SUMIFS(F_Inputs!L:L,F_inputs_ID,'Company data'!$C163,F_inputs_company,'Company data'!$E163)*thousand</f>
        <v>0</v>
      </c>
      <c r="N163" s="115">
        <f>SUMIFS(F_Inputs!M:M,F_inputs_ID,'Company data'!$C163,F_inputs_company,'Company data'!$E163)*thousand</f>
        <v>0</v>
      </c>
    </row>
    <row r="164" spans="3:14" x14ac:dyDescent="0.25">
      <c r="C164" s="9" t="s">
        <v>479</v>
      </c>
      <c r="D164" s="31" t="s">
        <v>241</v>
      </c>
      <c r="E164" s="31" t="s">
        <v>241</v>
      </c>
      <c r="F164" s="31" t="s">
        <v>500</v>
      </c>
      <c r="G164" s="115">
        <f>SUMIFS(F_Inputs!F:F,F_inputs_ID,'Company data'!$C164,F_inputs_company,'Company data'!$E164)*thousand</f>
        <v>0</v>
      </c>
      <c r="H164" s="115">
        <f>SUMIFS(F_Inputs!G:G,F_inputs_ID,'Company data'!$C164,F_inputs_company,'Company data'!$E164)*thousand</f>
        <v>0</v>
      </c>
      <c r="I164" s="115">
        <f>SUMIFS(F_Inputs!H:H,F_inputs_ID,'Company data'!$C164,F_inputs_company,'Company data'!$E164)*thousand</f>
        <v>0</v>
      </c>
      <c r="J164" s="115">
        <f>SUMIFS(F_Inputs!I:I,F_inputs_ID,'Company data'!$C164,F_inputs_company,'Company data'!$E164)*thousand</f>
        <v>0</v>
      </c>
      <c r="K164" s="115">
        <f>SUMIFS(F_Inputs!J:J,F_inputs_ID,'Company data'!$C164,F_inputs_company,'Company data'!$E164)*thousand</f>
        <v>0</v>
      </c>
      <c r="L164" s="115">
        <f>SUMIFS(F_Inputs!K:K,F_inputs_ID,'Company data'!$C164,F_inputs_company,'Company data'!$E164)*thousand</f>
        <v>0</v>
      </c>
      <c r="M164" s="115">
        <f>SUMIFS(F_Inputs!L:L,F_inputs_ID,'Company data'!$C164,F_inputs_company,'Company data'!$E164)*thousand</f>
        <v>0</v>
      </c>
      <c r="N164" s="115">
        <f>SUMIFS(F_Inputs!M:M,F_inputs_ID,'Company data'!$C164,F_inputs_company,'Company data'!$E164)*thousand</f>
        <v>0</v>
      </c>
    </row>
    <row r="165" spans="3:14" x14ac:dyDescent="0.25">
      <c r="C165" s="9" t="s">
        <v>479</v>
      </c>
      <c r="D165" s="31" t="s">
        <v>205</v>
      </c>
      <c r="E165" s="31" t="s">
        <v>205</v>
      </c>
      <c r="F165" s="31" t="s">
        <v>500</v>
      </c>
      <c r="G165" s="115">
        <f>SUMIFS(F_Inputs!F:F,F_inputs_ID,'Company data'!$C165,F_inputs_company,'Company data'!$E165)*thousand</f>
        <v>113083</v>
      </c>
      <c r="H165" s="115">
        <f>SUMIFS(F_Inputs!G:G,F_inputs_ID,'Company data'!$C165,F_inputs_company,'Company data'!$E165)*thousand</f>
        <v>112305</v>
      </c>
      <c r="I165" s="115">
        <f>SUMIFS(F_Inputs!H:H,F_inputs_ID,'Company data'!$C165,F_inputs_company,'Company data'!$E165)*thousand</f>
        <v>114570</v>
      </c>
      <c r="J165" s="115">
        <f>SUMIFS(F_Inputs!I:I,F_inputs_ID,'Company data'!$C165,F_inputs_company,'Company data'!$E165)*thousand</f>
        <v>109182</v>
      </c>
      <c r="K165" s="115">
        <f>SUMIFS(F_Inputs!J:J,F_inputs_ID,'Company data'!$C165,F_inputs_company,'Company data'!$E165)*thousand</f>
        <v>103616</v>
      </c>
      <c r="L165" s="115">
        <f>SUMIFS(F_Inputs!K:K,F_inputs_ID,'Company data'!$C165,F_inputs_company,'Company data'!$E165)*thousand</f>
        <v>97757</v>
      </c>
      <c r="M165" s="115">
        <f>SUMIFS(F_Inputs!L:L,F_inputs_ID,'Company data'!$C165,F_inputs_company,'Company data'!$E165)*thousand</f>
        <v>91916</v>
      </c>
      <c r="N165" s="115">
        <f>SUMIFS(F_Inputs!M:M,F_inputs_ID,'Company data'!$C165,F_inputs_company,'Company data'!$E165)*thousand</f>
        <v>86045</v>
      </c>
    </row>
    <row r="166" spans="3:14" x14ac:dyDescent="0.25">
      <c r="C166" s="9" t="s">
        <v>479</v>
      </c>
      <c r="D166" s="31" t="s">
        <v>297</v>
      </c>
      <c r="E166" s="31" t="s">
        <v>297</v>
      </c>
      <c r="F166" s="31" t="s">
        <v>500</v>
      </c>
      <c r="G166" s="115">
        <f>SUMIFS(F_Inputs!F:F,F_inputs_ID,'Company data'!$C166,F_inputs_company,'Company data'!$E166)*thousand</f>
        <v>0</v>
      </c>
      <c r="H166" s="115">
        <f>SUMIFS(F_Inputs!G:G,F_inputs_ID,'Company data'!$C166,F_inputs_company,'Company data'!$E166)*thousand</f>
        <v>0</v>
      </c>
      <c r="I166" s="115">
        <f>SUMIFS(F_Inputs!H:H,F_inputs_ID,'Company data'!$C166,F_inputs_company,'Company data'!$E166)*thousand</f>
        <v>0</v>
      </c>
      <c r="J166" s="115">
        <f>SUMIFS(F_Inputs!I:I,F_inputs_ID,'Company data'!$C166,F_inputs_company,'Company data'!$E166)*thousand</f>
        <v>0</v>
      </c>
      <c r="K166" s="115">
        <f>SUMIFS(F_Inputs!J:J,F_inputs_ID,'Company data'!$C166,F_inputs_company,'Company data'!$E166)*thousand</f>
        <v>0</v>
      </c>
      <c r="L166" s="115">
        <f>SUMIFS(F_Inputs!K:K,F_inputs_ID,'Company data'!$C166,F_inputs_company,'Company data'!$E166)*thousand</f>
        <v>0</v>
      </c>
      <c r="M166" s="115">
        <f>SUMIFS(F_Inputs!L:L,F_inputs_ID,'Company data'!$C166,F_inputs_company,'Company data'!$E166)*thousand</f>
        <v>0</v>
      </c>
      <c r="N166" s="115">
        <f>SUMIFS(F_Inputs!M:M,F_inputs_ID,'Company data'!$C166,F_inputs_company,'Company data'!$E166)*thousand</f>
        <v>0</v>
      </c>
    </row>
    <row r="167" spans="3:14" x14ac:dyDescent="0.25">
      <c r="C167" s="9" t="s">
        <v>479</v>
      </c>
      <c r="D167" s="31" t="s">
        <v>198</v>
      </c>
      <c r="E167" s="31" t="s">
        <v>198</v>
      </c>
      <c r="F167" s="31" t="s">
        <v>500</v>
      </c>
      <c r="G167" s="115">
        <f>SUMIFS(F_Inputs!F:F,F_inputs_ID,'Company data'!$C167,F_inputs_company,'Company data'!$E167)*thousand</f>
        <v>1619629.8190306399</v>
      </c>
      <c r="H167" s="115">
        <f>SUMIFS(F_Inputs!G:G,F_inputs_ID,'Company data'!$C167,F_inputs_company,'Company data'!$E167)*thousand</f>
        <v>1608870</v>
      </c>
      <c r="I167" s="115">
        <f>SUMIFS(F_Inputs!H:H,F_inputs_ID,'Company data'!$C167,F_inputs_company,'Company data'!$E167)*thousand</f>
        <v>1576104.2558672701</v>
      </c>
      <c r="J167" s="115">
        <f>SUMIFS(F_Inputs!I:I,F_inputs_ID,'Company data'!$C167,F_inputs_company,'Company data'!$E167)*thousand</f>
        <v>1502595.6045531</v>
      </c>
      <c r="K167" s="115">
        <f>SUMIFS(F_Inputs!J:J,F_inputs_ID,'Company data'!$C167,F_inputs_company,'Company data'!$E167)*thousand</f>
        <v>1429492.2129081001</v>
      </c>
      <c r="L167" s="115">
        <f>SUMIFS(F_Inputs!K:K,F_inputs_ID,'Company data'!$C167,F_inputs_company,'Company data'!$E167)*thousand</f>
        <v>1356786.9835650299</v>
      </c>
      <c r="M167" s="115">
        <f>SUMIFS(F_Inputs!L:L,F_inputs_ID,'Company data'!$C167,F_inputs_company,'Company data'!$E167)*thousand</f>
        <v>1284472.1094199298</v>
      </c>
      <c r="N167" s="115">
        <f>SUMIFS(F_Inputs!M:M,F_inputs_ID,'Company data'!$C167,F_inputs_company,'Company data'!$E167)*thousand</f>
        <v>1212540.4931055701</v>
      </c>
    </row>
    <row r="168" spans="3:14" x14ac:dyDescent="0.25">
      <c r="C168" s="9" t="s">
        <v>479</v>
      </c>
      <c r="D168" s="31" t="s">
        <v>167</v>
      </c>
      <c r="E168" s="31" t="s">
        <v>167</v>
      </c>
      <c r="F168" s="31" t="s">
        <v>500</v>
      </c>
      <c r="G168" s="115">
        <f>SUMIFS(F_Inputs!F:F,F_inputs_ID,'Company data'!$C168,F_inputs_company,'Company data'!$E168)*thousand</f>
        <v>109475</v>
      </c>
      <c r="H168" s="115">
        <f>SUMIFS(F_Inputs!G:G,F_inputs_ID,'Company data'!$C168,F_inputs_company,'Company data'!$E168)*thousand</f>
        <v>0</v>
      </c>
      <c r="I168" s="115">
        <f>SUMIFS(F_Inputs!H:H,F_inputs_ID,'Company data'!$C168,F_inputs_company,'Company data'!$E168)*thousand</f>
        <v>99977</v>
      </c>
      <c r="J168" s="115">
        <f>SUMIFS(F_Inputs!I:I,F_inputs_ID,'Company data'!$C168,F_inputs_company,'Company data'!$E168)*thousand</f>
        <v>96039</v>
      </c>
      <c r="K168" s="115">
        <f>SUMIFS(F_Inputs!J:J,F_inputs_ID,'Company data'!$C168,F_inputs_company,'Company data'!$E168)*thousand</f>
        <v>92086</v>
      </c>
      <c r="L168" s="115">
        <f>SUMIFS(F_Inputs!K:K,F_inputs_ID,'Company data'!$C168,F_inputs_company,'Company data'!$E168)*thousand</f>
        <v>87761</v>
      </c>
      <c r="M168" s="115">
        <f>SUMIFS(F_Inputs!L:L,F_inputs_ID,'Company data'!$C168,F_inputs_company,'Company data'!$E168)*thousand</f>
        <v>84043</v>
      </c>
      <c r="N168" s="115">
        <f>SUMIFS(F_Inputs!M:M,F_inputs_ID,'Company data'!$C168,F_inputs_company,'Company data'!$E168)*thousand</f>
        <v>80862</v>
      </c>
    </row>
    <row r="169" spans="3:14" x14ac:dyDescent="0.25">
      <c r="C169" s="9" t="s">
        <v>479</v>
      </c>
      <c r="D169" s="31" t="s">
        <v>249</v>
      </c>
      <c r="E169" s="31" t="s">
        <v>249</v>
      </c>
      <c r="F169" s="31" t="s">
        <v>500</v>
      </c>
      <c r="G169" s="115">
        <f>SUMIFS(F_Inputs!F:F,F_inputs_ID,'Company data'!$C169,F_inputs_company,'Company data'!$E169)*thousand</f>
        <v>2091815</v>
      </c>
      <c r="H169" s="115">
        <f>SUMIFS(F_Inputs!G:G,F_inputs_ID,'Company data'!$C169,F_inputs_company,'Company data'!$E169)*thousand</f>
        <v>2024292</v>
      </c>
      <c r="I169" s="115">
        <f>SUMIFS(F_Inputs!H:H,F_inputs_ID,'Company data'!$C169,F_inputs_company,'Company data'!$E169)*thousand</f>
        <v>1897636</v>
      </c>
      <c r="J169" s="115">
        <f>SUMIFS(F_Inputs!I:I,F_inputs_ID,'Company data'!$C169,F_inputs_company,'Company data'!$E169)*thousand</f>
        <v>1817193</v>
      </c>
      <c r="K169" s="115">
        <f>SUMIFS(F_Inputs!J:J,F_inputs_ID,'Company data'!$C169,F_inputs_company,'Company data'!$E169)*thousand</f>
        <v>1774160</v>
      </c>
      <c r="L169" s="115">
        <f>SUMIFS(F_Inputs!K:K,F_inputs_ID,'Company data'!$C169,F_inputs_company,'Company data'!$E169)*thousand</f>
        <v>1690369</v>
      </c>
      <c r="M169" s="115">
        <f>SUMIFS(F_Inputs!L:L,F_inputs_ID,'Company data'!$C169,F_inputs_company,'Company data'!$E169)*thousand</f>
        <v>1601979</v>
      </c>
      <c r="N169" s="115">
        <f>SUMIFS(F_Inputs!M:M,F_inputs_ID,'Company data'!$C169,F_inputs_company,'Company data'!$E169)*thousand</f>
        <v>1501171</v>
      </c>
    </row>
    <row r="170" spans="3:14" x14ac:dyDescent="0.25">
      <c r="C170" s="9" t="s">
        <v>479</v>
      </c>
      <c r="D170" s="31" t="s">
        <v>190</v>
      </c>
      <c r="E170" s="31" t="s">
        <v>501</v>
      </c>
      <c r="F170" s="31" t="s">
        <v>500</v>
      </c>
      <c r="G170" s="115">
        <f>SUMIFS(F_Inputs!F:F,F_inputs_ID,'Company data'!$C170,F_inputs_company,'Company data'!$E170)*thousand</f>
        <v>1642920.07692308</v>
      </c>
      <c r="H170" s="115">
        <f>SUMIFS(F_Inputs!G:G,F_inputs_ID,'Company data'!$C170,F_inputs_company,'Company data'!$E170)*thousand</f>
        <v>1612802</v>
      </c>
      <c r="I170" s="115">
        <f>SUMIFS(F_Inputs!H:H,F_inputs_ID,'Company data'!$C170,F_inputs_company,'Company data'!$E170)*thousand</f>
        <v>1576289.4856631001</v>
      </c>
      <c r="J170" s="115">
        <f>SUMIFS(F_Inputs!I:I,F_inputs_ID,'Company data'!$C170,F_inputs_company,'Company data'!$E170)*thousand</f>
        <v>1541573.33730279</v>
      </c>
      <c r="K170" s="115">
        <f>SUMIFS(F_Inputs!J:J,F_inputs_ID,'Company data'!$C170,F_inputs_company,'Company data'!$E170)*thousand</f>
        <v>1507213.63097631</v>
      </c>
      <c r="L170" s="115">
        <f>SUMIFS(F_Inputs!K:K,F_inputs_ID,'Company data'!$C170,F_inputs_company,'Company data'!$E170)*thousand</f>
        <v>1473236.2440064801</v>
      </c>
      <c r="M170" s="115">
        <f>SUMIFS(F_Inputs!L:L,F_inputs_ID,'Company data'!$C170,F_inputs_company,'Company data'!$E170)*thousand</f>
        <v>1439725.5563366599</v>
      </c>
      <c r="N170" s="115">
        <f>SUMIFS(F_Inputs!M:M,F_inputs_ID,'Company data'!$C170,F_inputs_company,'Company data'!$E170)*thousand</f>
        <v>1406723.1406103899</v>
      </c>
    </row>
    <row r="171" spans="3:14" x14ac:dyDescent="0.25">
      <c r="C171" s="9" t="s">
        <v>479</v>
      </c>
      <c r="D171" s="31" t="s">
        <v>252</v>
      </c>
      <c r="E171" s="31" t="s">
        <v>252</v>
      </c>
      <c r="F171" s="31" t="s">
        <v>500</v>
      </c>
      <c r="G171" s="115">
        <f>SUMIFS(F_Inputs!F:F,F_inputs_ID,'Company data'!$C171,F_inputs_company,'Company data'!$E171)*thousand</f>
        <v>672826</v>
      </c>
      <c r="H171" s="115">
        <f>SUMIFS(F_Inputs!G:G,F_inputs_ID,'Company data'!$C171,F_inputs_company,'Company data'!$E171)*thousand</f>
        <v>662762</v>
      </c>
      <c r="I171" s="115">
        <f>SUMIFS(F_Inputs!H:H,F_inputs_ID,'Company data'!$C171,F_inputs_company,'Company data'!$E171)*thousand</f>
        <v>655835</v>
      </c>
      <c r="J171" s="115">
        <f>SUMIFS(F_Inputs!I:I,F_inputs_ID,'Company data'!$C171,F_inputs_company,'Company data'!$E171)*thousand</f>
        <v>646838</v>
      </c>
      <c r="K171" s="115">
        <f>SUMIFS(F_Inputs!J:J,F_inputs_ID,'Company data'!$C171,F_inputs_company,'Company data'!$E171)*thousand</f>
        <v>636759</v>
      </c>
      <c r="L171" s="115">
        <f>SUMIFS(F_Inputs!K:K,F_inputs_ID,'Company data'!$C171,F_inputs_company,'Company data'!$E171)*thousand</f>
        <v>626941</v>
      </c>
      <c r="M171" s="115">
        <f>SUMIFS(F_Inputs!L:L,F_inputs_ID,'Company data'!$C171,F_inputs_company,'Company data'!$E171)*thousand</f>
        <v>617383</v>
      </c>
      <c r="N171" s="115">
        <f>SUMIFS(F_Inputs!M:M,F_inputs_ID,'Company data'!$C171,F_inputs_company,'Company data'!$E171)*thousand</f>
        <v>608079</v>
      </c>
    </row>
    <row r="172" spans="3:14" x14ac:dyDescent="0.25">
      <c r="C172" s="9" t="s">
        <v>479</v>
      </c>
      <c r="D172" s="31" t="s">
        <v>169</v>
      </c>
      <c r="E172" s="31" t="s">
        <v>169</v>
      </c>
      <c r="F172" s="31" t="s">
        <v>500</v>
      </c>
      <c r="G172" s="115">
        <f>SUMIFS(F_Inputs!F:F,F_inputs_ID,'Company data'!$C172,F_inputs_company,'Company data'!$E172)*thousand</f>
        <v>180163</v>
      </c>
      <c r="H172" s="115">
        <f>SUMIFS(F_Inputs!G:G,F_inputs_ID,'Company data'!$C172,F_inputs_company,'Company data'!$E172)*thousand</f>
        <v>169954</v>
      </c>
      <c r="I172" s="115">
        <f>SUMIFS(F_Inputs!H:H,F_inputs_ID,'Company data'!$C172,F_inputs_company,'Company data'!$E172)*thousand</f>
        <v>160850</v>
      </c>
      <c r="J172" s="115">
        <f>SUMIFS(F_Inputs!I:I,F_inputs_ID,'Company data'!$C172,F_inputs_company,'Company data'!$E172)*thousand</f>
        <v>152453</v>
      </c>
      <c r="K172" s="115">
        <f>SUMIFS(F_Inputs!J:J,F_inputs_ID,'Company data'!$C172,F_inputs_company,'Company data'!$E172)*thousand</f>
        <v>144765</v>
      </c>
      <c r="L172" s="115">
        <f>SUMIFS(F_Inputs!K:K,F_inputs_ID,'Company data'!$C172,F_inputs_company,'Company data'!$E172)*thousand</f>
        <v>137707</v>
      </c>
      <c r="M172" s="115">
        <f>SUMIFS(F_Inputs!L:L,F_inputs_ID,'Company data'!$C172,F_inputs_company,'Company data'!$E172)*thousand</f>
        <v>131212</v>
      </c>
      <c r="N172" s="115">
        <f>SUMIFS(F_Inputs!M:M,F_inputs_ID,'Company data'!$C172,F_inputs_company,'Company data'!$E172)*thousand</f>
        <v>125220</v>
      </c>
    </row>
    <row r="173" spans="3:14" x14ac:dyDescent="0.25">
      <c r="C173" s="9" t="s">
        <v>479</v>
      </c>
      <c r="D173" s="31" t="s">
        <v>171</v>
      </c>
      <c r="E173" s="31" t="s">
        <v>171</v>
      </c>
      <c r="F173" s="31" t="s">
        <v>500</v>
      </c>
      <c r="G173" s="115">
        <f>SUMIFS(F_Inputs!F:F,F_inputs_ID,'Company data'!$C173,F_inputs_company,'Company data'!$E173)*thousand</f>
        <v>911177</v>
      </c>
      <c r="H173" s="115">
        <f>SUMIFS(F_Inputs!G:G,F_inputs_ID,'Company data'!$C173,F_inputs_company,'Company data'!$E173)*thousand</f>
        <v>882784</v>
      </c>
      <c r="I173" s="115">
        <f>SUMIFS(F_Inputs!H:H,F_inputs_ID,'Company data'!$C173,F_inputs_company,'Company data'!$E173)*thousand</f>
        <v>831178</v>
      </c>
      <c r="J173" s="115">
        <f>SUMIFS(F_Inputs!I:I,F_inputs_ID,'Company data'!$C173,F_inputs_company,'Company data'!$E173)*thousand</f>
        <v>800983</v>
      </c>
      <c r="K173" s="115">
        <f>SUMIFS(F_Inputs!J:J,F_inputs_ID,'Company data'!$C173,F_inputs_company,'Company data'!$E173)*thousand</f>
        <v>770399</v>
      </c>
      <c r="L173" s="115">
        <f>SUMIFS(F_Inputs!K:K,F_inputs_ID,'Company data'!$C173,F_inputs_company,'Company data'!$E173)*thousand</f>
        <v>742527</v>
      </c>
      <c r="M173" s="115">
        <f>SUMIFS(F_Inputs!L:L,F_inputs_ID,'Company data'!$C173,F_inputs_company,'Company data'!$E173)*thousand</f>
        <v>717144</v>
      </c>
      <c r="N173" s="115">
        <f>SUMIFS(F_Inputs!M:M,F_inputs_ID,'Company data'!$C173,F_inputs_company,'Company data'!$E173)*thousand</f>
        <v>694044</v>
      </c>
    </row>
    <row r="174" spans="3:14" x14ac:dyDescent="0.25">
      <c r="C174" s="9"/>
      <c r="D174" s="9"/>
      <c r="E174" s="9"/>
      <c r="F174" s="9"/>
      <c r="G174" s="9"/>
      <c r="H174" s="9"/>
      <c r="I174" s="9"/>
      <c r="J174" s="9"/>
      <c r="K174" s="9"/>
      <c r="L174" s="9"/>
      <c r="M174" s="9"/>
      <c r="N174" s="9"/>
    </row>
    <row r="175" spans="3:14" x14ac:dyDescent="0.25">
      <c r="C175" s="31" t="s">
        <v>498</v>
      </c>
      <c r="D175" s="31" t="s">
        <v>150</v>
      </c>
      <c r="E175" s="31" t="s">
        <v>499</v>
      </c>
      <c r="F175" s="31" t="s">
        <v>151</v>
      </c>
      <c r="G175" s="9" t="s">
        <v>375</v>
      </c>
      <c r="H175" s="9" t="s">
        <v>376</v>
      </c>
      <c r="I175" s="9" t="s">
        <v>377</v>
      </c>
      <c r="J175" s="9" t="s">
        <v>174</v>
      </c>
      <c r="K175" s="9" t="s">
        <v>175</v>
      </c>
      <c r="L175" s="9" t="s">
        <v>176</v>
      </c>
      <c r="M175" s="9" t="s">
        <v>177</v>
      </c>
      <c r="N175" s="9" t="s">
        <v>178</v>
      </c>
    </row>
    <row r="176" spans="3:14" x14ac:dyDescent="0.25">
      <c r="C176" s="9" t="s">
        <v>481</v>
      </c>
      <c r="D176" s="31" t="s">
        <v>231</v>
      </c>
      <c r="E176" s="31" t="s">
        <v>231</v>
      </c>
      <c r="F176" s="31" t="s">
        <v>500</v>
      </c>
      <c r="G176" s="115">
        <f>SUMIFS(F_Inputs!F:F,F_inputs_ID,'Company data'!$C176,F_inputs_company,'Company data'!$E176)*thousand</f>
        <v>0</v>
      </c>
      <c r="H176" s="115">
        <f>SUMIFS(F_Inputs!G:G,F_inputs_ID,'Company data'!$C176,F_inputs_company,'Company data'!$E176)*thousand</f>
        <v>0</v>
      </c>
      <c r="I176" s="115">
        <f>SUMIFS(F_Inputs!H:H,F_inputs_ID,'Company data'!$C176,F_inputs_company,'Company data'!$E176)*thousand</f>
        <v>0</v>
      </c>
      <c r="J176" s="115">
        <f>SUMIFS(F_Inputs!I:I,F_inputs_ID,'Company data'!$C176,F_inputs_company,'Company data'!$E176)*thousand</f>
        <v>0</v>
      </c>
      <c r="K176" s="115">
        <f>SUMIFS(F_Inputs!J:J,F_inputs_ID,'Company data'!$C176,F_inputs_company,'Company data'!$E176)*thousand</f>
        <v>0</v>
      </c>
      <c r="L176" s="115">
        <f>SUMIFS(F_Inputs!K:K,F_inputs_ID,'Company data'!$C176,F_inputs_company,'Company data'!$E176)*thousand</f>
        <v>0</v>
      </c>
      <c r="M176" s="115">
        <f>SUMIFS(F_Inputs!L:L,F_inputs_ID,'Company data'!$C176,F_inputs_company,'Company data'!$E176)*thousand</f>
        <v>0</v>
      </c>
      <c r="N176" s="115">
        <f>SUMIFS(F_Inputs!M:M,F_inputs_ID,'Company data'!$C176,F_inputs_company,'Company data'!$E176)*thousand</f>
        <v>0</v>
      </c>
    </row>
    <row r="177" spans="3:14" x14ac:dyDescent="0.25">
      <c r="C177" s="9" t="s">
        <v>481</v>
      </c>
      <c r="D177" s="31" t="s">
        <v>157</v>
      </c>
      <c r="E177" s="31" t="s">
        <v>157</v>
      </c>
      <c r="F177" s="31" t="s">
        <v>500</v>
      </c>
      <c r="G177" s="115">
        <f>SUMIFS(F_Inputs!F:F,F_inputs_ID,'Company data'!$C177,F_inputs_company,'Company data'!$E177)*thousand</f>
        <v>1454665</v>
      </c>
      <c r="H177" s="115">
        <f>SUMIFS(F_Inputs!G:G,F_inputs_ID,'Company data'!$C177,F_inputs_company,'Company data'!$E177)*thousand</f>
        <v>1499123.74</v>
      </c>
      <c r="I177" s="115">
        <f>SUMIFS(F_Inputs!H:H,F_inputs_ID,'Company data'!$C177,F_inputs_company,'Company data'!$E177)*thousand</f>
        <v>1494560</v>
      </c>
      <c r="J177" s="115">
        <f>SUMIFS(F_Inputs!I:I,F_inputs_ID,'Company data'!$C177,F_inputs_company,'Company data'!$E177)*thousand</f>
        <v>1533663</v>
      </c>
      <c r="K177" s="115">
        <f>SUMIFS(F_Inputs!J:J,F_inputs_ID,'Company data'!$C177,F_inputs_company,'Company data'!$E177)*thousand</f>
        <v>1579417</v>
      </c>
      <c r="L177" s="115">
        <f>SUMIFS(F_Inputs!K:K,F_inputs_ID,'Company data'!$C177,F_inputs_company,'Company data'!$E177)*thousand</f>
        <v>1630180</v>
      </c>
      <c r="M177" s="115">
        <f>SUMIFS(F_Inputs!L:L,F_inputs_ID,'Company data'!$C177,F_inputs_company,'Company data'!$E177)*thousand</f>
        <v>1681576</v>
      </c>
      <c r="N177" s="115">
        <f>SUMIFS(F_Inputs!M:M,F_inputs_ID,'Company data'!$C177,F_inputs_company,'Company data'!$E177)*thousand</f>
        <v>1729351</v>
      </c>
    </row>
    <row r="178" spans="3:14" x14ac:dyDescent="0.25">
      <c r="C178" s="9" t="s">
        <v>481</v>
      </c>
      <c r="D178" s="31" t="s">
        <v>235</v>
      </c>
      <c r="E178" s="31" t="s">
        <v>235</v>
      </c>
      <c r="F178" s="31" t="s">
        <v>500</v>
      </c>
      <c r="G178" s="115">
        <f>SUMIFS(F_Inputs!F:F,F_inputs_ID,'Company data'!$C178,F_inputs_company,'Company data'!$E178)*thousand</f>
        <v>0</v>
      </c>
      <c r="H178" s="115">
        <f>SUMIFS(F_Inputs!G:G,F_inputs_ID,'Company data'!$C178,F_inputs_company,'Company data'!$E178)*thousand</f>
        <v>0</v>
      </c>
      <c r="I178" s="115">
        <f>SUMIFS(F_Inputs!H:H,F_inputs_ID,'Company data'!$C178,F_inputs_company,'Company data'!$E178)*thousand</f>
        <v>0</v>
      </c>
      <c r="J178" s="115">
        <f>SUMIFS(F_Inputs!I:I,F_inputs_ID,'Company data'!$C178,F_inputs_company,'Company data'!$E178)*thousand</f>
        <v>0</v>
      </c>
      <c r="K178" s="115">
        <f>SUMIFS(F_Inputs!J:J,F_inputs_ID,'Company data'!$C178,F_inputs_company,'Company data'!$E178)*thousand</f>
        <v>0</v>
      </c>
      <c r="L178" s="115">
        <f>SUMIFS(F_Inputs!K:K,F_inputs_ID,'Company data'!$C178,F_inputs_company,'Company data'!$E178)*thousand</f>
        <v>0</v>
      </c>
      <c r="M178" s="115">
        <f>SUMIFS(F_Inputs!L:L,F_inputs_ID,'Company data'!$C178,F_inputs_company,'Company data'!$E178)*thousand</f>
        <v>0</v>
      </c>
      <c r="N178" s="115">
        <f>SUMIFS(F_Inputs!M:M,F_inputs_ID,'Company data'!$C178,F_inputs_company,'Company data'!$E178)*thousand</f>
        <v>0</v>
      </c>
    </row>
    <row r="179" spans="3:14" x14ac:dyDescent="0.25">
      <c r="C179" s="9" t="s">
        <v>481</v>
      </c>
      <c r="D179" s="31" t="s">
        <v>237</v>
      </c>
      <c r="E179" s="31" t="s">
        <v>237</v>
      </c>
      <c r="F179" s="31" t="s">
        <v>500</v>
      </c>
      <c r="G179" s="115">
        <f>SUMIFS(F_Inputs!F:F,F_inputs_ID,'Company data'!$C179,F_inputs_company,'Company data'!$E179)*thousand</f>
        <v>9621.2955900113393</v>
      </c>
      <c r="H179" s="115">
        <f>SUMIFS(F_Inputs!G:G,F_inputs_ID,'Company data'!$C179,F_inputs_company,'Company data'!$E179)*thousand</f>
        <v>7318</v>
      </c>
      <c r="I179" s="115">
        <f>SUMIFS(F_Inputs!H:H,F_inputs_ID,'Company data'!$C179,F_inputs_company,'Company data'!$E179)*thousand</f>
        <v>7605</v>
      </c>
      <c r="J179" s="115">
        <f>SUMIFS(F_Inputs!I:I,F_inputs_ID,'Company data'!$C179,F_inputs_company,'Company data'!$E179)*thousand</f>
        <v>8287</v>
      </c>
      <c r="K179" s="115">
        <f>SUMIFS(F_Inputs!J:J,F_inputs_ID,'Company data'!$C179,F_inputs_company,'Company data'!$E179)*thousand</f>
        <v>8968</v>
      </c>
      <c r="L179" s="115">
        <f>SUMIFS(F_Inputs!K:K,F_inputs_ID,'Company data'!$C179,F_inputs_company,'Company data'!$E179)*thousand</f>
        <v>9654</v>
      </c>
      <c r="M179" s="115">
        <f>SUMIFS(F_Inputs!L:L,F_inputs_ID,'Company data'!$C179,F_inputs_company,'Company data'!$E179)*thousand</f>
        <v>10339</v>
      </c>
      <c r="N179" s="115">
        <f>SUMIFS(F_Inputs!M:M,F_inputs_ID,'Company data'!$C179,F_inputs_company,'Company data'!$E179)*thousand</f>
        <v>11024</v>
      </c>
    </row>
    <row r="180" spans="3:14" x14ac:dyDescent="0.25">
      <c r="C180" s="9" t="s">
        <v>481</v>
      </c>
      <c r="D180" s="31" t="s">
        <v>186</v>
      </c>
      <c r="E180" s="31" t="s">
        <v>186</v>
      </c>
      <c r="F180" s="31" t="s">
        <v>500</v>
      </c>
      <c r="G180" s="115">
        <f>SUMIFS(F_Inputs!F:F,F_inputs_ID,'Company data'!$C180,F_inputs_company,'Company data'!$E180)*thousand</f>
        <v>385005</v>
      </c>
      <c r="H180" s="115">
        <f>SUMIFS(F_Inputs!G:G,F_inputs_ID,'Company data'!$C180,F_inputs_company,'Company data'!$E180)*thousand</f>
        <v>409654</v>
      </c>
      <c r="I180" s="115">
        <f>SUMIFS(F_Inputs!H:H,F_inputs_ID,'Company data'!$C180,F_inputs_company,'Company data'!$E180)*thousand</f>
        <v>425523</v>
      </c>
      <c r="J180" s="115">
        <f>SUMIFS(F_Inputs!I:I,F_inputs_ID,'Company data'!$C180,F_inputs_company,'Company data'!$E180)*thousand</f>
        <v>452367</v>
      </c>
      <c r="K180" s="115">
        <f>SUMIFS(F_Inputs!J:J,F_inputs_ID,'Company data'!$C180,F_inputs_company,'Company data'!$E180)*thousand</f>
        <v>476675</v>
      </c>
      <c r="L180" s="115">
        <f>SUMIFS(F_Inputs!K:K,F_inputs_ID,'Company data'!$C180,F_inputs_company,'Company data'!$E180)*thousand</f>
        <v>500485</v>
      </c>
      <c r="M180" s="115">
        <f>SUMIFS(F_Inputs!L:L,F_inputs_ID,'Company data'!$C180,F_inputs_company,'Company data'!$E180)*thousand</f>
        <v>524054.99999999994</v>
      </c>
      <c r="N180" s="115">
        <f>SUMIFS(F_Inputs!M:M,F_inputs_ID,'Company data'!$C180,F_inputs_company,'Company data'!$E180)*thousand</f>
        <v>547510</v>
      </c>
    </row>
    <row r="181" spans="3:14" x14ac:dyDescent="0.25">
      <c r="C181" s="9" t="s">
        <v>481</v>
      </c>
      <c r="D181" s="31" t="s">
        <v>239</v>
      </c>
      <c r="E181" s="31" t="s">
        <v>239</v>
      </c>
      <c r="F181" s="31" t="s">
        <v>500</v>
      </c>
      <c r="G181" s="115">
        <f>SUMIFS(F_Inputs!F:F,F_inputs_ID,'Company data'!$C181,F_inputs_company,'Company data'!$E181)*thousand</f>
        <v>0</v>
      </c>
      <c r="H181" s="115">
        <f>SUMIFS(F_Inputs!G:G,F_inputs_ID,'Company data'!$C181,F_inputs_company,'Company data'!$E181)*thousand</f>
        <v>0</v>
      </c>
      <c r="I181" s="115">
        <f>SUMIFS(F_Inputs!H:H,F_inputs_ID,'Company data'!$C181,F_inputs_company,'Company data'!$E181)*thousand</f>
        <v>0</v>
      </c>
      <c r="J181" s="115">
        <f>SUMIFS(F_Inputs!I:I,F_inputs_ID,'Company data'!$C181,F_inputs_company,'Company data'!$E181)*thousand</f>
        <v>0</v>
      </c>
      <c r="K181" s="115">
        <f>SUMIFS(F_Inputs!J:J,F_inputs_ID,'Company data'!$C181,F_inputs_company,'Company data'!$E181)*thousand</f>
        <v>0</v>
      </c>
      <c r="L181" s="115">
        <f>SUMIFS(F_Inputs!K:K,F_inputs_ID,'Company data'!$C181,F_inputs_company,'Company data'!$E181)*thousand</f>
        <v>0</v>
      </c>
      <c r="M181" s="115">
        <f>SUMIFS(F_Inputs!L:L,F_inputs_ID,'Company data'!$C181,F_inputs_company,'Company data'!$E181)*thousand</f>
        <v>0</v>
      </c>
      <c r="N181" s="115">
        <f>SUMIFS(F_Inputs!M:M,F_inputs_ID,'Company data'!$C181,F_inputs_company,'Company data'!$E181)*thousand</f>
        <v>0</v>
      </c>
    </row>
    <row r="182" spans="3:14" x14ac:dyDescent="0.25">
      <c r="C182" s="9" t="s">
        <v>481</v>
      </c>
      <c r="D182" s="31" t="s">
        <v>165</v>
      </c>
      <c r="E182" s="31" t="s">
        <v>165</v>
      </c>
      <c r="F182" s="31" t="s">
        <v>500</v>
      </c>
      <c r="G182" s="115">
        <f>SUMIFS(F_Inputs!F:F,F_inputs_ID,'Company data'!$C182,F_inputs_company,'Company data'!$E182)*thousand</f>
        <v>0</v>
      </c>
      <c r="H182" s="115">
        <f>SUMIFS(F_Inputs!G:G,F_inputs_ID,'Company data'!$C182,F_inputs_company,'Company data'!$E182)*thousand</f>
        <v>0</v>
      </c>
      <c r="I182" s="115">
        <f>SUMIFS(F_Inputs!H:H,F_inputs_ID,'Company data'!$C182,F_inputs_company,'Company data'!$E182)*thousand</f>
        <v>0</v>
      </c>
      <c r="J182" s="115">
        <f>SUMIFS(F_Inputs!I:I,F_inputs_ID,'Company data'!$C182,F_inputs_company,'Company data'!$E182)*thousand</f>
        <v>0</v>
      </c>
      <c r="K182" s="115">
        <f>SUMIFS(F_Inputs!J:J,F_inputs_ID,'Company data'!$C182,F_inputs_company,'Company data'!$E182)*thousand</f>
        <v>0</v>
      </c>
      <c r="L182" s="115">
        <f>SUMIFS(F_Inputs!K:K,F_inputs_ID,'Company data'!$C182,F_inputs_company,'Company data'!$E182)*thousand</f>
        <v>0</v>
      </c>
      <c r="M182" s="115">
        <f>SUMIFS(F_Inputs!L:L,F_inputs_ID,'Company data'!$C182,F_inputs_company,'Company data'!$E182)*thousand</f>
        <v>0</v>
      </c>
      <c r="N182" s="115">
        <f>SUMIFS(F_Inputs!M:M,F_inputs_ID,'Company data'!$C182,F_inputs_company,'Company data'!$E182)*thousand</f>
        <v>0</v>
      </c>
    </row>
    <row r="183" spans="3:14" x14ac:dyDescent="0.25">
      <c r="C183" s="9" t="s">
        <v>481</v>
      </c>
      <c r="D183" s="31" t="s">
        <v>241</v>
      </c>
      <c r="E183" s="31" t="s">
        <v>241</v>
      </c>
      <c r="F183" s="31" t="s">
        <v>500</v>
      </c>
      <c r="G183" s="115">
        <f>SUMIFS(F_Inputs!F:F,F_inputs_ID,'Company data'!$C183,F_inputs_company,'Company data'!$E183)*thousand</f>
        <v>0</v>
      </c>
      <c r="H183" s="115">
        <f>SUMIFS(F_Inputs!G:G,F_inputs_ID,'Company data'!$C183,F_inputs_company,'Company data'!$E183)*thousand</f>
        <v>0</v>
      </c>
      <c r="I183" s="115">
        <f>SUMIFS(F_Inputs!H:H,F_inputs_ID,'Company data'!$C183,F_inputs_company,'Company data'!$E183)*thousand</f>
        <v>0</v>
      </c>
      <c r="J183" s="115">
        <f>SUMIFS(F_Inputs!I:I,F_inputs_ID,'Company data'!$C183,F_inputs_company,'Company data'!$E183)*thousand</f>
        <v>0</v>
      </c>
      <c r="K183" s="115">
        <f>SUMIFS(F_Inputs!J:J,F_inputs_ID,'Company data'!$C183,F_inputs_company,'Company data'!$E183)*thousand</f>
        <v>0</v>
      </c>
      <c r="L183" s="115">
        <f>SUMIFS(F_Inputs!K:K,F_inputs_ID,'Company data'!$C183,F_inputs_company,'Company data'!$E183)*thousand</f>
        <v>0</v>
      </c>
      <c r="M183" s="115">
        <f>SUMIFS(F_Inputs!L:L,F_inputs_ID,'Company data'!$C183,F_inputs_company,'Company data'!$E183)*thousand</f>
        <v>0</v>
      </c>
      <c r="N183" s="115">
        <f>SUMIFS(F_Inputs!M:M,F_inputs_ID,'Company data'!$C183,F_inputs_company,'Company data'!$E183)*thousand</f>
        <v>0</v>
      </c>
    </row>
    <row r="184" spans="3:14" x14ac:dyDescent="0.25">
      <c r="C184" s="9" t="s">
        <v>481</v>
      </c>
      <c r="D184" s="31" t="s">
        <v>205</v>
      </c>
      <c r="E184" s="31" t="s">
        <v>205</v>
      </c>
      <c r="F184" s="31" t="s">
        <v>500</v>
      </c>
      <c r="G184" s="115">
        <f>SUMIFS(F_Inputs!F:F,F_inputs_ID,'Company data'!$C184,F_inputs_company,'Company data'!$E184)*thousand</f>
        <v>817207</v>
      </c>
      <c r="H184" s="115">
        <f>SUMIFS(F_Inputs!G:G,F_inputs_ID,'Company data'!$C184,F_inputs_company,'Company data'!$E184)*thousand</f>
        <v>824631</v>
      </c>
      <c r="I184" s="115">
        <f>SUMIFS(F_Inputs!H:H,F_inputs_ID,'Company data'!$C184,F_inputs_company,'Company data'!$E184)*thousand</f>
        <v>835044</v>
      </c>
      <c r="J184" s="115">
        <f>SUMIFS(F_Inputs!I:I,F_inputs_ID,'Company data'!$C184,F_inputs_company,'Company data'!$E184)*thousand</f>
        <v>856628</v>
      </c>
      <c r="K184" s="115">
        <f>SUMIFS(F_Inputs!J:J,F_inputs_ID,'Company data'!$C184,F_inputs_company,'Company data'!$E184)*thousand</f>
        <v>876327</v>
      </c>
      <c r="L184" s="115">
        <f>SUMIFS(F_Inputs!K:K,F_inputs_ID,'Company data'!$C184,F_inputs_company,'Company data'!$E184)*thousand</f>
        <v>894564</v>
      </c>
      <c r="M184" s="115">
        <f>SUMIFS(F_Inputs!L:L,F_inputs_ID,'Company data'!$C184,F_inputs_company,'Company data'!$E184)*thousand</f>
        <v>912715</v>
      </c>
      <c r="N184" s="115">
        <f>SUMIFS(F_Inputs!M:M,F_inputs_ID,'Company data'!$C184,F_inputs_company,'Company data'!$E184)*thousand</f>
        <v>930354</v>
      </c>
    </row>
    <row r="185" spans="3:14" x14ac:dyDescent="0.25">
      <c r="C185" s="9" t="s">
        <v>481</v>
      </c>
      <c r="D185" s="31" t="s">
        <v>297</v>
      </c>
      <c r="E185" s="31" t="s">
        <v>297</v>
      </c>
      <c r="F185" s="31" t="s">
        <v>500</v>
      </c>
      <c r="G185" s="115">
        <f>SUMIFS(F_Inputs!F:F,F_inputs_ID,'Company data'!$C185,F_inputs_company,'Company data'!$E185)*thousand</f>
        <v>0</v>
      </c>
      <c r="H185" s="115">
        <f>SUMIFS(F_Inputs!G:G,F_inputs_ID,'Company data'!$C185,F_inputs_company,'Company data'!$E185)*thousand</f>
        <v>0</v>
      </c>
      <c r="I185" s="115">
        <f>SUMIFS(F_Inputs!H:H,F_inputs_ID,'Company data'!$C185,F_inputs_company,'Company data'!$E185)*thousand</f>
        <v>0</v>
      </c>
      <c r="J185" s="115">
        <f>SUMIFS(F_Inputs!I:I,F_inputs_ID,'Company data'!$C185,F_inputs_company,'Company data'!$E185)*thousand</f>
        <v>0</v>
      </c>
      <c r="K185" s="115">
        <f>SUMIFS(F_Inputs!J:J,F_inputs_ID,'Company data'!$C185,F_inputs_company,'Company data'!$E185)*thousand</f>
        <v>0</v>
      </c>
      <c r="L185" s="115">
        <f>SUMIFS(F_Inputs!K:K,F_inputs_ID,'Company data'!$C185,F_inputs_company,'Company data'!$E185)*thousand</f>
        <v>0</v>
      </c>
      <c r="M185" s="115">
        <f>SUMIFS(F_Inputs!L:L,F_inputs_ID,'Company data'!$C185,F_inputs_company,'Company data'!$E185)*thousand</f>
        <v>0</v>
      </c>
      <c r="N185" s="115">
        <f>SUMIFS(F_Inputs!M:M,F_inputs_ID,'Company data'!$C185,F_inputs_company,'Company data'!$E185)*thousand</f>
        <v>0</v>
      </c>
    </row>
    <row r="186" spans="3:14" x14ac:dyDescent="0.25">
      <c r="C186" s="9" t="s">
        <v>481</v>
      </c>
      <c r="D186" s="31" t="s">
        <v>198</v>
      </c>
      <c r="E186" s="31" t="s">
        <v>198</v>
      </c>
      <c r="F186" s="31" t="s">
        <v>500</v>
      </c>
      <c r="G186" s="115">
        <f>SUMIFS(F_Inputs!F:F,F_inputs_ID,'Company data'!$C186,F_inputs_company,'Company data'!$E186)*thousand</f>
        <v>1325715.70440999</v>
      </c>
      <c r="H186" s="115">
        <f>SUMIFS(F_Inputs!G:G,F_inputs_ID,'Company data'!$C186,F_inputs_company,'Company data'!$E186)*thousand</f>
        <v>1362241</v>
      </c>
      <c r="I186" s="115">
        <f>SUMIFS(F_Inputs!H:H,F_inputs_ID,'Company data'!$C186,F_inputs_company,'Company data'!$E186)*thousand</f>
        <v>1409738.4111500601</v>
      </c>
      <c r="J186" s="115">
        <f>SUMIFS(F_Inputs!I:I,F_inputs_ID,'Company data'!$C186,F_inputs_company,'Company data'!$E186)*thousand</f>
        <v>1506433.5074243399</v>
      </c>
      <c r="K186" s="115">
        <f>SUMIFS(F_Inputs!J:J,F_inputs_ID,'Company data'!$C186,F_inputs_company,'Company data'!$E186)*thousand</f>
        <v>1603022.5055947402</v>
      </c>
      <c r="L186" s="115">
        <f>SUMIFS(F_Inputs!K:K,F_inputs_ID,'Company data'!$C186,F_inputs_company,'Company data'!$E186)*thousand</f>
        <v>1700309.919341</v>
      </c>
      <c r="M186" s="115">
        <f>SUMIFS(F_Inputs!L:L,F_inputs_ID,'Company data'!$C186,F_inputs_company,'Company data'!$E186)*thousand</f>
        <v>1797507.2641933099</v>
      </c>
      <c r="N186" s="115">
        <f>SUMIFS(F_Inputs!M:M,F_inputs_ID,'Company data'!$C186,F_inputs_company,'Company data'!$E186)*thousand</f>
        <v>1894621.4098131</v>
      </c>
    </row>
    <row r="187" spans="3:14" x14ac:dyDescent="0.25">
      <c r="C187" s="9" t="s">
        <v>481</v>
      </c>
      <c r="D187" s="31" t="s">
        <v>167</v>
      </c>
      <c r="E187" s="31" t="s">
        <v>167</v>
      </c>
      <c r="F187" s="31" t="s">
        <v>500</v>
      </c>
      <c r="G187" s="115">
        <f>SUMIFS(F_Inputs!F:F,F_inputs_ID,'Company data'!$C187,F_inputs_company,'Company data'!$E187)*thousand</f>
        <v>571272</v>
      </c>
      <c r="H187" s="115">
        <f>SUMIFS(F_Inputs!G:G,F_inputs_ID,'Company data'!$C187,F_inputs_company,'Company data'!$E187)*thousand</f>
        <v>0</v>
      </c>
      <c r="I187" s="115">
        <f>SUMIFS(F_Inputs!H:H,F_inputs_ID,'Company data'!$C187,F_inputs_company,'Company data'!$E187)*thousand</f>
        <v>593784</v>
      </c>
      <c r="J187" s="115">
        <f>SUMIFS(F_Inputs!I:I,F_inputs_ID,'Company data'!$C187,F_inputs_company,'Company data'!$E187)*thousand</f>
        <v>605958</v>
      </c>
      <c r="K187" s="115">
        <f>SUMIFS(F_Inputs!J:J,F_inputs_ID,'Company data'!$C187,F_inputs_company,'Company data'!$E187)*thousand</f>
        <v>619227</v>
      </c>
      <c r="L187" s="115">
        <f>SUMIFS(F_Inputs!K:K,F_inputs_ID,'Company data'!$C187,F_inputs_company,'Company data'!$E187)*thousand</f>
        <v>630368</v>
      </c>
      <c r="M187" s="115">
        <f>SUMIFS(F_Inputs!L:L,F_inputs_ID,'Company data'!$C187,F_inputs_company,'Company data'!$E187)*thousand</f>
        <v>641016</v>
      </c>
      <c r="N187" s="115">
        <f>SUMIFS(F_Inputs!M:M,F_inputs_ID,'Company data'!$C187,F_inputs_company,'Company data'!$E187)*thousand</f>
        <v>650951</v>
      </c>
    </row>
    <row r="188" spans="3:14" x14ac:dyDescent="0.25">
      <c r="C188" s="9" t="s">
        <v>481</v>
      </c>
      <c r="D188" s="31" t="s">
        <v>249</v>
      </c>
      <c r="E188" s="31" t="s">
        <v>249</v>
      </c>
      <c r="F188" s="31" t="s">
        <v>500</v>
      </c>
      <c r="G188" s="115">
        <f>SUMIFS(F_Inputs!F:F,F_inputs_ID,'Company data'!$C188,F_inputs_company,'Company data'!$E188)*thousand</f>
        <v>1336323</v>
      </c>
      <c r="H188" s="115">
        <f>SUMIFS(F_Inputs!G:G,F_inputs_ID,'Company data'!$C188,F_inputs_company,'Company data'!$E188)*thousand</f>
        <v>1438803</v>
      </c>
      <c r="I188" s="115">
        <f>SUMIFS(F_Inputs!H:H,F_inputs_ID,'Company data'!$C188,F_inputs_company,'Company data'!$E188)*thousand</f>
        <v>1580342</v>
      </c>
      <c r="J188" s="115">
        <f>SUMIFS(F_Inputs!I:I,F_inputs_ID,'Company data'!$C188,F_inputs_company,'Company data'!$E188)*thousand</f>
        <v>1716269</v>
      </c>
      <c r="K188" s="115">
        <f>SUMIFS(F_Inputs!J:J,F_inputs_ID,'Company data'!$C188,F_inputs_company,'Company data'!$E188)*thousand</f>
        <v>1806991</v>
      </c>
      <c r="L188" s="115">
        <f>SUMIFS(F_Inputs!K:K,F_inputs_ID,'Company data'!$C188,F_inputs_company,'Company data'!$E188)*thousand</f>
        <v>1935964</v>
      </c>
      <c r="M188" s="115">
        <f>SUMIFS(F_Inputs!L:L,F_inputs_ID,'Company data'!$C188,F_inputs_company,'Company data'!$E188)*thousand</f>
        <v>2069768.9999999998</v>
      </c>
      <c r="N188" s="115">
        <f>SUMIFS(F_Inputs!M:M,F_inputs_ID,'Company data'!$C188,F_inputs_company,'Company data'!$E188)*thousand</f>
        <v>2208899</v>
      </c>
    </row>
    <row r="189" spans="3:14" x14ac:dyDescent="0.25">
      <c r="C189" s="9" t="s">
        <v>481</v>
      </c>
      <c r="D189" s="31" t="s">
        <v>190</v>
      </c>
      <c r="E189" s="31" t="s">
        <v>501</v>
      </c>
      <c r="F189" s="31" t="s">
        <v>500</v>
      </c>
      <c r="G189" s="115">
        <f>SUMIFS(F_Inputs!F:F,F_inputs_ID,'Company data'!$C189,F_inputs_company,'Company data'!$E189)*thousand</f>
        <v>1186979.84615385</v>
      </c>
      <c r="H189" s="115">
        <f>SUMIFS(F_Inputs!G:G,F_inputs_ID,'Company data'!$C189,F_inputs_company,'Company data'!$E189)*thousand</f>
        <v>1238611</v>
      </c>
      <c r="I189" s="115">
        <f>SUMIFS(F_Inputs!H:H,F_inputs_ID,'Company data'!$C189,F_inputs_company,'Company data'!$E189)*thousand</f>
        <v>1296902.86745951</v>
      </c>
      <c r="J189" s="115">
        <f>SUMIFS(F_Inputs!I:I,F_inputs_ID,'Company data'!$C189,F_inputs_company,'Company data'!$E189)*thousand</f>
        <v>1353078.79311476</v>
      </c>
      <c r="K189" s="115">
        <f>SUMIFS(F_Inputs!J:J,F_inputs_ID,'Company data'!$C189,F_inputs_company,'Company data'!$E189)*thousand</f>
        <v>1409909.48667138</v>
      </c>
      <c r="L189" s="115">
        <f>SUMIFS(F_Inputs!K:K,F_inputs_ID,'Company data'!$C189,F_inputs_company,'Company data'!$E189)*thousand</f>
        <v>1467360.36107967</v>
      </c>
      <c r="M189" s="115">
        <f>SUMIFS(F_Inputs!L:L,F_inputs_ID,'Company data'!$C189,F_inputs_company,'Company data'!$E189)*thousand</f>
        <v>1525345.42299624</v>
      </c>
      <c r="N189" s="115">
        <f>SUMIFS(F_Inputs!M:M,F_inputs_ID,'Company data'!$C189,F_inputs_company,'Company data'!$E189)*thousand</f>
        <v>1583821.32131077</v>
      </c>
    </row>
    <row r="190" spans="3:14" x14ac:dyDescent="0.25">
      <c r="C190" s="9" t="s">
        <v>481</v>
      </c>
      <c r="D190" s="31" t="s">
        <v>252</v>
      </c>
      <c r="E190" s="31" t="s">
        <v>252</v>
      </c>
      <c r="F190" s="31" t="s">
        <v>500</v>
      </c>
      <c r="G190" s="115">
        <f>SUMIFS(F_Inputs!F:F,F_inputs_ID,'Company data'!$C190,F_inputs_company,'Company data'!$E190)*thousand</f>
        <v>505302</v>
      </c>
      <c r="H190" s="115">
        <f>SUMIFS(F_Inputs!G:G,F_inputs_ID,'Company data'!$C190,F_inputs_company,'Company data'!$E190)*thousand</f>
        <v>525460</v>
      </c>
      <c r="I190" s="115">
        <f>SUMIFS(F_Inputs!H:H,F_inputs_ID,'Company data'!$C190,F_inputs_company,'Company data'!$E190)*thousand</f>
        <v>538377</v>
      </c>
      <c r="J190" s="115">
        <f>SUMIFS(F_Inputs!I:I,F_inputs_ID,'Company data'!$C190,F_inputs_company,'Company data'!$E190)*thousand</f>
        <v>556777</v>
      </c>
      <c r="K190" s="115">
        <f>SUMIFS(F_Inputs!J:J,F_inputs_ID,'Company data'!$C190,F_inputs_company,'Company data'!$E190)*thousand</f>
        <v>575061</v>
      </c>
      <c r="L190" s="115">
        <f>SUMIFS(F_Inputs!K:K,F_inputs_ID,'Company data'!$C190,F_inputs_company,'Company data'!$E190)*thousand</f>
        <v>593234</v>
      </c>
      <c r="M190" s="115">
        <f>SUMIFS(F_Inputs!L:L,F_inputs_ID,'Company data'!$C190,F_inputs_company,'Company data'!$E190)*thousand</f>
        <v>611210</v>
      </c>
      <c r="N190" s="115">
        <f>SUMIFS(F_Inputs!M:M,F_inputs_ID,'Company data'!$C190,F_inputs_company,'Company data'!$E190)*thousand</f>
        <v>628992</v>
      </c>
    </row>
    <row r="191" spans="3:14" x14ac:dyDescent="0.25">
      <c r="C191" s="9" t="s">
        <v>481</v>
      </c>
      <c r="D191" s="31" t="s">
        <v>169</v>
      </c>
      <c r="E191" s="31" t="s">
        <v>169</v>
      </c>
      <c r="F191" s="31" t="s">
        <v>500</v>
      </c>
      <c r="G191" s="115">
        <f>SUMIFS(F_Inputs!F:F,F_inputs_ID,'Company data'!$C191,F_inputs_company,'Company data'!$E191)*thousand</f>
        <v>332502</v>
      </c>
      <c r="H191" s="115">
        <f>SUMIFS(F_Inputs!G:G,F_inputs_ID,'Company data'!$C191,F_inputs_company,'Company data'!$E191)*thousand</f>
        <v>345610</v>
      </c>
      <c r="I191" s="115">
        <f>SUMIFS(F_Inputs!H:H,F_inputs_ID,'Company data'!$C191,F_inputs_company,'Company data'!$E191)*thousand</f>
        <v>365215</v>
      </c>
      <c r="J191" s="115">
        <f>SUMIFS(F_Inputs!I:I,F_inputs_ID,'Company data'!$C191,F_inputs_company,'Company data'!$E191)*thousand</f>
        <v>380195</v>
      </c>
      <c r="K191" s="115">
        <f>SUMIFS(F_Inputs!J:J,F_inputs_ID,'Company data'!$C191,F_inputs_company,'Company data'!$E191)*thousand</f>
        <v>394011</v>
      </c>
      <c r="L191" s="115">
        <f>SUMIFS(F_Inputs!K:K,F_inputs_ID,'Company data'!$C191,F_inputs_company,'Company data'!$E191)*thousand</f>
        <v>406952</v>
      </c>
      <c r="M191" s="115">
        <f>SUMIFS(F_Inputs!L:L,F_inputs_ID,'Company data'!$C191,F_inputs_company,'Company data'!$E191)*thousand</f>
        <v>419173</v>
      </c>
      <c r="N191" s="115">
        <f>SUMIFS(F_Inputs!M:M,F_inputs_ID,'Company data'!$C191,F_inputs_company,'Company data'!$E191)*thousand</f>
        <v>430641</v>
      </c>
    </row>
    <row r="192" spans="3:14" x14ac:dyDescent="0.25">
      <c r="C192" s="9" t="s">
        <v>481</v>
      </c>
      <c r="D192" s="31" t="s">
        <v>171</v>
      </c>
      <c r="E192" s="31" t="s">
        <v>171</v>
      </c>
      <c r="F192" s="31" t="s">
        <v>500</v>
      </c>
      <c r="G192" s="115">
        <f>SUMIFS(F_Inputs!F:F,F_inputs_ID,'Company data'!$C192,F_inputs_company,'Company data'!$E192)*thousand</f>
        <v>1035429.0000000001</v>
      </c>
      <c r="H192" s="115">
        <f>SUMIFS(F_Inputs!G:G,F_inputs_ID,'Company data'!$C192,F_inputs_company,'Company data'!$E192)*thousand</f>
        <v>1072363</v>
      </c>
      <c r="I192" s="115">
        <f>SUMIFS(F_Inputs!H:H,F_inputs_ID,'Company data'!$C192,F_inputs_company,'Company data'!$E192)*thousand</f>
        <v>1145430</v>
      </c>
      <c r="J192" s="115">
        <f>SUMIFS(F_Inputs!I:I,F_inputs_ID,'Company data'!$C192,F_inputs_company,'Company data'!$E192)*thousand</f>
        <v>1196349</v>
      </c>
      <c r="K192" s="115">
        <f>SUMIFS(F_Inputs!J:J,F_inputs_ID,'Company data'!$C192,F_inputs_company,'Company data'!$E192)*thousand</f>
        <v>1246485</v>
      </c>
      <c r="L192" s="115">
        <f>SUMIFS(F_Inputs!K:K,F_inputs_ID,'Company data'!$C192,F_inputs_company,'Company data'!$E192)*thousand</f>
        <v>1294005</v>
      </c>
      <c r="M192" s="115">
        <f>SUMIFS(F_Inputs!L:L,F_inputs_ID,'Company data'!$C192,F_inputs_company,'Company data'!$E192)*thousand</f>
        <v>1339001</v>
      </c>
      <c r="N192" s="115">
        <f>SUMIFS(F_Inputs!M:M,F_inputs_ID,'Company data'!$C192,F_inputs_company,'Company data'!$E192)*thousand</f>
        <v>1381756</v>
      </c>
    </row>
    <row r="194" spans="2:16" ht="15" x14ac:dyDescent="0.35">
      <c r="B194" s="1" t="s">
        <v>507</v>
      </c>
      <c r="C194" s="9"/>
      <c r="D194" s="9"/>
      <c r="E194" s="9"/>
      <c r="F194" s="9"/>
      <c r="G194" s="9"/>
      <c r="H194" s="9"/>
      <c r="I194" s="9"/>
      <c r="J194" s="9"/>
      <c r="K194" s="9"/>
      <c r="L194" s="9"/>
      <c r="M194" s="9"/>
      <c r="N194" s="9"/>
      <c r="O194" s="9"/>
      <c r="P194" s="9"/>
    </row>
    <row r="196" spans="2:16" x14ac:dyDescent="0.25">
      <c r="B196" s="9"/>
      <c r="C196" s="31" t="s">
        <v>498</v>
      </c>
      <c r="D196" s="31" t="s">
        <v>150</v>
      </c>
      <c r="E196" s="31" t="s">
        <v>499</v>
      </c>
      <c r="F196" s="31" t="s">
        <v>151</v>
      </c>
      <c r="G196" s="9" t="s">
        <v>375</v>
      </c>
      <c r="H196" s="9" t="s">
        <v>376</v>
      </c>
      <c r="I196" s="9" t="s">
        <v>377</v>
      </c>
      <c r="J196" s="9" t="s">
        <v>174</v>
      </c>
      <c r="K196" s="9" t="s">
        <v>175</v>
      </c>
      <c r="L196" s="9" t="s">
        <v>176</v>
      </c>
      <c r="M196" s="9" t="s">
        <v>177</v>
      </c>
      <c r="N196" s="9" t="s">
        <v>178</v>
      </c>
      <c r="O196" s="9"/>
      <c r="P196" s="9"/>
    </row>
    <row r="197" spans="2:16" x14ac:dyDescent="0.25">
      <c r="B197" s="9"/>
      <c r="C197" s="9" t="s">
        <v>492</v>
      </c>
      <c r="D197" s="31" t="s">
        <v>231</v>
      </c>
      <c r="E197" s="31" t="s">
        <v>231</v>
      </c>
      <c r="F197" s="31" t="s">
        <v>500</v>
      </c>
      <c r="G197" s="115">
        <f>SUM(G81,G100,G157,G176)</f>
        <v>1364566</v>
      </c>
      <c r="H197" s="115">
        <f t="shared" ref="H197:N197" si="0">SUM(H81,H100,H157,H176)</f>
        <v>1373157</v>
      </c>
      <c r="I197" s="115">
        <f t="shared" si="0"/>
        <v>1388532</v>
      </c>
      <c r="J197" s="115">
        <f t="shared" si="0"/>
        <v>1408608</v>
      </c>
      <c r="K197" s="115">
        <f t="shared" si="0"/>
        <v>1428685</v>
      </c>
      <c r="L197" s="115">
        <f t="shared" si="0"/>
        <v>1445408</v>
      </c>
      <c r="M197" s="115">
        <f t="shared" si="0"/>
        <v>1462132</v>
      </c>
      <c r="N197" s="115">
        <f t="shared" si="0"/>
        <v>1478856</v>
      </c>
      <c r="O197" s="9"/>
      <c r="P197" s="119"/>
    </row>
    <row r="198" spans="2:16" x14ac:dyDescent="0.25">
      <c r="B198" s="9"/>
      <c r="C198" s="9" t="s">
        <v>492</v>
      </c>
      <c r="D198" s="31" t="s">
        <v>157</v>
      </c>
      <c r="E198" s="31" t="s">
        <v>157</v>
      </c>
      <c r="F198" s="31" t="s">
        <v>500</v>
      </c>
      <c r="G198" s="115">
        <f t="shared" ref="G198:N213" si="1">SUM(G82,G101,G158,G177)</f>
        <v>1959478</v>
      </c>
      <c r="H198" s="115">
        <f t="shared" si="1"/>
        <v>1989478</v>
      </c>
      <c r="I198" s="115">
        <f t="shared" si="1"/>
        <v>2008133</v>
      </c>
      <c r="J198" s="115">
        <f t="shared" si="1"/>
        <v>2040741</v>
      </c>
      <c r="K198" s="115">
        <f t="shared" si="1"/>
        <v>2077183</v>
      </c>
      <c r="L198" s="115">
        <f t="shared" si="1"/>
        <v>2115365</v>
      </c>
      <c r="M198" s="115">
        <f t="shared" si="1"/>
        <v>2153380</v>
      </c>
      <c r="N198" s="115">
        <f t="shared" si="1"/>
        <v>2188385</v>
      </c>
      <c r="O198" s="9"/>
      <c r="P198" s="9"/>
    </row>
    <row r="199" spans="2:16" x14ac:dyDescent="0.25">
      <c r="B199" s="9"/>
      <c r="C199" s="9" t="s">
        <v>492</v>
      </c>
      <c r="D199" s="31" t="s">
        <v>235</v>
      </c>
      <c r="E199" s="31" t="s">
        <v>235</v>
      </c>
      <c r="F199" s="31" t="s">
        <v>500</v>
      </c>
      <c r="G199" s="115">
        <f t="shared" si="1"/>
        <v>489955</v>
      </c>
      <c r="H199" s="115">
        <f t="shared" si="1"/>
        <v>493832</v>
      </c>
      <c r="I199" s="115">
        <f t="shared" si="1"/>
        <v>501977</v>
      </c>
      <c r="J199" s="115">
        <f t="shared" si="1"/>
        <v>508069</v>
      </c>
      <c r="K199" s="115">
        <f t="shared" si="1"/>
        <v>514020</v>
      </c>
      <c r="L199" s="115">
        <f t="shared" si="1"/>
        <v>519486</v>
      </c>
      <c r="M199" s="115">
        <f t="shared" si="1"/>
        <v>524860</v>
      </c>
      <c r="N199" s="115">
        <f t="shared" si="1"/>
        <v>530110</v>
      </c>
      <c r="O199" s="9"/>
      <c r="P199" s="9"/>
    </row>
    <row r="200" spans="2:16" x14ac:dyDescent="0.25">
      <c r="B200" s="9"/>
      <c r="C200" s="9" t="s">
        <v>492</v>
      </c>
      <c r="D200" s="31" t="s">
        <v>237</v>
      </c>
      <c r="E200" s="31" t="s">
        <v>237</v>
      </c>
      <c r="F200" s="31" t="s">
        <v>500</v>
      </c>
      <c r="G200" s="115">
        <f t="shared" si="1"/>
        <v>90608.509893436654</v>
      </c>
      <c r="H200" s="115">
        <f t="shared" si="1"/>
        <v>92477</v>
      </c>
      <c r="I200" s="115">
        <f t="shared" si="1"/>
        <v>92939</v>
      </c>
      <c r="J200" s="115">
        <f t="shared" si="1"/>
        <v>93446</v>
      </c>
      <c r="K200" s="115">
        <f t="shared" si="1"/>
        <v>93956</v>
      </c>
      <c r="L200" s="115">
        <f t="shared" si="1"/>
        <v>94474</v>
      </c>
      <c r="M200" s="115">
        <f t="shared" si="1"/>
        <v>94994</v>
      </c>
      <c r="N200" s="115">
        <f t="shared" si="1"/>
        <v>95518</v>
      </c>
      <c r="O200" s="9"/>
      <c r="P200" s="9"/>
    </row>
    <row r="201" spans="2:16" x14ac:dyDescent="0.25">
      <c r="B201" s="9"/>
      <c r="C201" s="9" t="s">
        <v>492</v>
      </c>
      <c r="D201" s="31" t="s">
        <v>186</v>
      </c>
      <c r="E201" s="31" t="s">
        <v>186</v>
      </c>
      <c r="F201" s="31" t="s">
        <v>500</v>
      </c>
      <c r="G201" s="115">
        <f t="shared" si="1"/>
        <v>1812677</v>
      </c>
      <c r="H201" s="115">
        <f t="shared" si="1"/>
        <v>1823698</v>
      </c>
      <c r="I201" s="115">
        <f t="shared" si="1"/>
        <v>1860568</v>
      </c>
      <c r="J201" s="115">
        <f t="shared" si="1"/>
        <v>1883155</v>
      </c>
      <c r="K201" s="115">
        <f t="shared" si="1"/>
        <v>1900777</v>
      </c>
      <c r="L201" s="115">
        <f t="shared" si="1"/>
        <v>1917877</v>
      </c>
      <c r="M201" s="115">
        <f t="shared" si="1"/>
        <v>1934360</v>
      </c>
      <c r="N201" s="115">
        <f t="shared" si="1"/>
        <v>1950799</v>
      </c>
      <c r="O201" s="9"/>
      <c r="P201" s="9"/>
    </row>
    <row r="202" spans="2:16" x14ac:dyDescent="0.25">
      <c r="B202" s="9"/>
      <c r="C202" s="9" t="s">
        <v>492</v>
      </c>
      <c r="D202" s="31" t="s">
        <v>239</v>
      </c>
      <c r="E202" s="31" t="s">
        <v>239</v>
      </c>
      <c r="F202" s="31" t="s">
        <v>500</v>
      </c>
      <c r="G202" s="115">
        <f t="shared" si="1"/>
        <v>293450</v>
      </c>
      <c r="H202" s="115">
        <f t="shared" si="1"/>
        <v>294614</v>
      </c>
      <c r="I202" s="115">
        <f t="shared" si="1"/>
        <v>298325</v>
      </c>
      <c r="J202" s="115">
        <f t="shared" si="1"/>
        <v>300217</v>
      </c>
      <c r="K202" s="115">
        <f t="shared" si="1"/>
        <v>302077</v>
      </c>
      <c r="L202" s="115">
        <f t="shared" si="1"/>
        <v>303950</v>
      </c>
      <c r="M202" s="115">
        <f t="shared" si="1"/>
        <v>305860</v>
      </c>
      <c r="N202" s="115">
        <f t="shared" si="1"/>
        <v>307834</v>
      </c>
      <c r="O202" s="9"/>
      <c r="P202" s="9"/>
    </row>
    <row r="203" spans="2:16" x14ac:dyDescent="0.25">
      <c r="B203" s="9"/>
      <c r="C203" s="9" t="s">
        <v>492</v>
      </c>
      <c r="D203" s="31" t="s">
        <v>165</v>
      </c>
      <c r="E203" s="31" t="s">
        <v>165</v>
      </c>
      <c r="F203" s="31" t="s">
        <v>500</v>
      </c>
      <c r="G203" s="115">
        <f t="shared" si="1"/>
        <v>265852</v>
      </c>
      <c r="H203" s="115">
        <f t="shared" si="1"/>
        <v>268450</v>
      </c>
      <c r="I203" s="115">
        <f t="shared" si="1"/>
        <v>274236</v>
      </c>
      <c r="J203" s="115">
        <f t="shared" si="1"/>
        <v>276642</v>
      </c>
      <c r="K203" s="115">
        <f t="shared" si="1"/>
        <v>279091</v>
      </c>
      <c r="L203" s="115">
        <f t="shared" si="1"/>
        <v>281631</v>
      </c>
      <c r="M203" s="115">
        <f t="shared" si="1"/>
        <v>284251</v>
      </c>
      <c r="N203" s="115">
        <f t="shared" si="1"/>
        <v>286862</v>
      </c>
      <c r="O203" s="9"/>
      <c r="P203" s="9"/>
    </row>
    <row r="204" spans="2:16" x14ac:dyDescent="0.25">
      <c r="B204" s="9"/>
      <c r="C204" s="9" t="s">
        <v>492</v>
      </c>
      <c r="D204" s="31" t="s">
        <v>241</v>
      </c>
      <c r="E204" s="31" t="s">
        <v>241</v>
      </c>
      <c r="F204" s="31" t="s">
        <v>500</v>
      </c>
      <c r="G204" s="115">
        <f t="shared" si="1"/>
        <v>854369</v>
      </c>
      <c r="H204" s="115">
        <f t="shared" si="1"/>
        <v>861522</v>
      </c>
      <c r="I204" s="115">
        <f t="shared" si="1"/>
        <v>870593</v>
      </c>
      <c r="J204" s="115">
        <f t="shared" si="1"/>
        <v>879054</v>
      </c>
      <c r="K204" s="115">
        <f t="shared" si="1"/>
        <v>887641</v>
      </c>
      <c r="L204" s="115">
        <f t="shared" si="1"/>
        <v>896357</v>
      </c>
      <c r="M204" s="115">
        <f t="shared" si="1"/>
        <v>905202</v>
      </c>
      <c r="N204" s="115">
        <f t="shared" si="1"/>
        <v>914182</v>
      </c>
      <c r="O204" s="9"/>
      <c r="P204" s="9"/>
    </row>
    <row r="205" spans="2:16" x14ac:dyDescent="0.25">
      <c r="B205" s="9"/>
      <c r="C205" s="9" t="s">
        <v>492</v>
      </c>
      <c r="D205" s="31" t="s">
        <v>205</v>
      </c>
      <c r="E205" s="31" t="s">
        <v>205</v>
      </c>
      <c r="F205" s="31" t="s">
        <v>500</v>
      </c>
      <c r="G205" s="115">
        <f t="shared" si="1"/>
        <v>1012012</v>
      </c>
      <c r="H205" s="115">
        <f t="shared" si="1"/>
        <v>1022098</v>
      </c>
      <c r="I205" s="115">
        <f t="shared" si="1"/>
        <v>1032983</v>
      </c>
      <c r="J205" s="115">
        <f t="shared" si="1"/>
        <v>1050172</v>
      </c>
      <c r="K205" s="115">
        <f t="shared" si="1"/>
        <v>1065122</v>
      </c>
      <c r="L205" s="115">
        <f t="shared" si="1"/>
        <v>1078156</v>
      </c>
      <c r="M205" s="115">
        <f t="shared" si="1"/>
        <v>1091120</v>
      </c>
      <c r="N205" s="115">
        <f t="shared" si="1"/>
        <v>1103495</v>
      </c>
      <c r="O205" s="9"/>
      <c r="P205" s="9"/>
    </row>
    <row r="206" spans="2:16" x14ac:dyDescent="0.25">
      <c r="B206" s="9"/>
      <c r="C206" s="9" t="s">
        <v>492</v>
      </c>
      <c r="D206" s="31" t="s">
        <v>297</v>
      </c>
      <c r="E206" s="31" t="s">
        <v>297</v>
      </c>
      <c r="F206" s="31" t="s">
        <v>500</v>
      </c>
      <c r="G206" s="115">
        <f t="shared" si="1"/>
        <v>670660.71506818105</v>
      </c>
      <c r="H206" s="115">
        <f t="shared" si="1"/>
        <v>678581</v>
      </c>
      <c r="I206" s="115">
        <f t="shared" si="1"/>
        <v>686220.67574509606</v>
      </c>
      <c r="J206" s="115">
        <f t="shared" si="1"/>
        <v>697763.93983684503</v>
      </c>
      <c r="K206" s="115">
        <f t="shared" si="1"/>
        <v>706451.58898644103</v>
      </c>
      <c r="L206" s="115">
        <f t="shared" si="1"/>
        <v>714773.19526440604</v>
      </c>
      <c r="M206" s="115">
        <f t="shared" si="1"/>
        <v>723601.08610310592</v>
      </c>
      <c r="N206" s="115">
        <f t="shared" si="1"/>
        <v>732251.26722597599</v>
      </c>
      <c r="O206" s="9"/>
      <c r="P206" s="9"/>
    </row>
    <row r="207" spans="2:16" x14ac:dyDescent="0.25">
      <c r="B207" s="9"/>
      <c r="C207" s="9" t="s">
        <v>492</v>
      </c>
      <c r="D207" s="31" t="s">
        <v>198</v>
      </c>
      <c r="E207" s="31" t="s">
        <v>198</v>
      </c>
      <c r="F207" s="31" t="s">
        <v>500</v>
      </c>
      <c r="G207" s="115">
        <f t="shared" si="1"/>
        <v>3242468.4901065687</v>
      </c>
      <c r="H207" s="115">
        <f t="shared" si="1"/>
        <v>3274478</v>
      </c>
      <c r="I207" s="115">
        <f t="shared" si="1"/>
        <v>3288255.9433149952</v>
      </c>
      <c r="J207" s="115">
        <f t="shared" si="1"/>
        <v>3315304.5670230016</v>
      </c>
      <c r="K207" s="115">
        <f t="shared" si="1"/>
        <v>3342673.381917364</v>
      </c>
      <c r="L207" s="115">
        <f t="shared" si="1"/>
        <v>3371234.610060602</v>
      </c>
      <c r="M207" s="115">
        <f t="shared" si="1"/>
        <v>3400117.9359635739</v>
      </c>
      <c r="N207" s="115">
        <f t="shared" si="1"/>
        <v>3429322.8135288302</v>
      </c>
      <c r="O207" s="9"/>
      <c r="P207" s="9"/>
    </row>
    <row r="208" spans="2:16" x14ac:dyDescent="0.25">
      <c r="B208" s="9"/>
      <c r="C208" s="9" t="s">
        <v>492</v>
      </c>
      <c r="D208" s="31" t="s">
        <v>167</v>
      </c>
      <c r="E208" s="31" t="s">
        <v>167</v>
      </c>
      <c r="F208" s="31" t="s">
        <v>500</v>
      </c>
      <c r="G208" s="115">
        <f t="shared" si="1"/>
        <v>940552</v>
      </c>
      <c r="H208" s="115">
        <f t="shared" si="1"/>
        <v>0</v>
      </c>
      <c r="I208" s="115">
        <f t="shared" si="1"/>
        <v>955622</v>
      </c>
      <c r="J208" s="115">
        <f t="shared" si="1"/>
        <v>966256</v>
      </c>
      <c r="K208" s="115">
        <f t="shared" si="1"/>
        <v>978289</v>
      </c>
      <c r="L208" s="115">
        <f t="shared" si="1"/>
        <v>987079</v>
      </c>
      <c r="M208" s="115">
        <f t="shared" si="1"/>
        <v>996012</v>
      </c>
      <c r="N208" s="115">
        <f t="shared" si="1"/>
        <v>1004729</v>
      </c>
      <c r="O208" s="9"/>
      <c r="P208" s="9"/>
    </row>
    <row r="209" spans="1:24" x14ac:dyDescent="0.25">
      <c r="A209" s="9"/>
      <c r="B209" s="9"/>
      <c r="C209" s="9" t="s">
        <v>492</v>
      </c>
      <c r="D209" s="31" t="s">
        <v>249</v>
      </c>
      <c r="E209" s="31" t="s">
        <v>249</v>
      </c>
      <c r="F209" s="31" t="s">
        <v>500</v>
      </c>
      <c r="G209" s="115">
        <f t="shared" si="1"/>
        <v>3475846</v>
      </c>
      <c r="H209" s="115">
        <f t="shared" si="1"/>
        <v>3511452</v>
      </c>
      <c r="I209" s="115">
        <f t="shared" si="1"/>
        <v>3527028</v>
      </c>
      <c r="J209" s="115">
        <f t="shared" si="1"/>
        <v>3583401</v>
      </c>
      <c r="K209" s="115">
        <f t="shared" si="1"/>
        <v>3631836</v>
      </c>
      <c r="L209" s="115">
        <f t="shared" si="1"/>
        <v>3677720</v>
      </c>
      <c r="M209" s="115">
        <f t="shared" si="1"/>
        <v>3723765</v>
      </c>
      <c r="N209" s="115">
        <f t="shared" si="1"/>
        <v>3762746</v>
      </c>
      <c r="O209" s="9"/>
      <c r="P209" s="9"/>
      <c r="Q209" s="9"/>
      <c r="R209" s="9"/>
      <c r="S209" s="9"/>
      <c r="T209" s="9"/>
      <c r="U209" s="9"/>
      <c r="V209" s="9"/>
      <c r="W209" s="9"/>
      <c r="X209" s="9"/>
    </row>
    <row r="210" spans="1:24" x14ac:dyDescent="0.25">
      <c r="A210" s="9"/>
      <c r="B210" s="9"/>
      <c r="C210" s="9" t="s">
        <v>492</v>
      </c>
      <c r="D210" s="31" t="s">
        <v>190</v>
      </c>
      <c r="E210" s="31" t="s">
        <v>501</v>
      </c>
      <c r="F210" s="31" t="s">
        <v>500</v>
      </c>
      <c r="G210" s="115">
        <f t="shared" si="1"/>
        <v>2901344.769230776</v>
      </c>
      <c r="H210" s="115">
        <f t="shared" si="1"/>
        <v>2923050</v>
      </c>
      <c r="I210" s="115">
        <f t="shared" si="1"/>
        <v>2945387.8853618144</v>
      </c>
      <c r="J210" s="115">
        <f t="shared" si="1"/>
        <v>2967211.8462264538</v>
      </c>
      <c r="K210" s="115">
        <f t="shared" si="1"/>
        <v>2990071.6792447111</v>
      </c>
      <c r="L210" s="115">
        <f t="shared" si="1"/>
        <v>3013958.571262897</v>
      </c>
      <c r="M210" s="115">
        <f t="shared" si="1"/>
        <v>3038871.189381713</v>
      </c>
      <c r="N210" s="115">
        <f t="shared" si="1"/>
        <v>3064807.8706498602</v>
      </c>
      <c r="O210" s="9"/>
      <c r="P210" s="9"/>
      <c r="Q210" s="9"/>
      <c r="R210" s="9"/>
      <c r="S210" s="9"/>
      <c r="T210" s="9"/>
      <c r="U210" s="9"/>
      <c r="V210" s="9"/>
      <c r="W210" s="9"/>
      <c r="X210" s="9"/>
    </row>
    <row r="211" spans="1:24" x14ac:dyDescent="0.25">
      <c r="A211" s="9"/>
      <c r="B211" s="9"/>
      <c r="C211" s="9" t="s">
        <v>492</v>
      </c>
      <c r="D211" s="31" t="s">
        <v>252</v>
      </c>
      <c r="E211" s="31" t="s">
        <v>252</v>
      </c>
      <c r="F211" s="31" t="s">
        <v>500</v>
      </c>
      <c r="G211" s="115">
        <f t="shared" si="1"/>
        <v>1259184</v>
      </c>
      <c r="H211" s="115">
        <f t="shared" si="1"/>
        <v>1270002</v>
      </c>
      <c r="I211" s="115">
        <f t="shared" si="1"/>
        <v>1277871</v>
      </c>
      <c r="J211" s="115">
        <f t="shared" si="1"/>
        <v>1288960</v>
      </c>
      <c r="K211" s="115">
        <f t="shared" si="1"/>
        <v>1298763</v>
      </c>
      <c r="L211" s="115">
        <f t="shared" si="1"/>
        <v>1308734</v>
      </c>
      <c r="M211" s="115">
        <f t="shared" si="1"/>
        <v>1318770</v>
      </c>
      <c r="N211" s="115">
        <f t="shared" si="1"/>
        <v>1328869</v>
      </c>
      <c r="O211" s="9"/>
      <c r="P211" s="9"/>
      <c r="Q211" s="9"/>
      <c r="R211" s="9"/>
      <c r="S211" s="9"/>
      <c r="T211" s="9"/>
      <c r="U211" s="9"/>
      <c r="V211" s="9"/>
      <c r="W211" s="9"/>
      <c r="X211" s="9"/>
    </row>
    <row r="212" spans="1:24" x14ac:dyDescent="0.25">
      <c r="A212" s="9"/>
      <c r="B212" s="9"/>
      <c r="C212" s="9" t="s">
        <v>492</v>
      </c>
      <c r="D212" s="31" t="s">
        <v>169</v>
      </c>
      <c r="E212" s="31" t="s">
        <v>169</v>
      </c>
      <c r="F212" s="31" t="s">
        <v>500</v>
      </c>
      <c r="G212" s="115">
        <f t="shared" si="1"/>
        <v>552815</v>
      </c>
      <c r="H212" s="115">
        <f t="shared" si="1"/>
        <v>555871</v>
      </c>
      <c r="I212" s="115">
        <f t="shared" si="1"/>
        <v>566990</v>
      </c>
      <c r="J212" s="115">
        <f t="shared" si="1"/>
        <v>573985</v>
      </c>
      <c r="K212" s="115">
        <f t="shared" si="1"/>
        <v>580495</v>
      </c>
      <c r="L212" s="115">
        <f t="shared" si="1"/>
        <v>586739</v>
      </c>
      <c r="M212" s="115">
        <f t="shared" si="1"/>
        <v>592813</v>
      </c>
      <c r="N212" s="115">
        <f t="shared" si="1"/>
        <v>598616</v>
      </c>
      <c r="O212" s="9"/>
      <c r="P212" s="9"/>
      <c r="Q212" s="9"/>
      <c r="R212" s="9"/>
      <c r="S212" s="9"/>
      <c r="T212" s="9"/>
      <c r="U212" s="9"/>
      <c r="V212" s="9"/>
      <c r="W212" s="9"/>
      <c r="X212" s="9"/>
    </row>
    <row r="213" spans="1:24" x14ac:dyDescent="0.25">
      <c r="A213" s="9"/>
      <c r="B213" s="9"/>
      <c r="C213" s="9" t="s">
        <v>492</v>
      </c>
      <c r="D213" s="31" t="s">
        <v>171</v>
      </c>
      <c r="E213" s="31" t="s">
        <v>171</v>
      </c>
      <c r="F213" s="31" t="s">
        <v>500</v>
      </c>
      <c r="G213" s="115">
        <f t="shared" si="1"/>
        <v>2054099</v>
      </c>
      <c r="H213" s="115">
        <f t="shared" si="1"/>
        <v>2064783</v>
      </c>
      <c r="I213" s="115">
        <f t="shared" si="1"/>
        <v>2084102</v>
      </c>
      <c r="J213" s="115">
        <f t="shared" si="1"/>
        <v>2106907</v>
      </c>
      <c r="K213" s="115">
        <f t="shared" si="1"/>
        <v>2127531</v>
      </c>
      <c r="L213" s="115">
        <f t="shared" si="1"/>
        <v>2148256</v>
      </c>
      <c r="M213" s="115">
        <f t="shared" si="1"/>
        <v>2168945</v>
      </c>
      <c r="N213" s="115">
        <f t="shared" si="1"/>
        <v>2189679</v>
      </c>
      <c r="O213" s="9"/>
      <c r="P213" s="9"/>
      <c r="Q213" s="9"/>
      <c r="R213" s="9"/>
      <c r="S213" s="9"/>
      <c r="T213" s="9"/>
      <c r="U213" s="9"/>
      <c r="V213" s="9"/>
      <c r="W213" s="9"/>
      <c r="X213" s="9"/>
    </row>
    <row r="214" spans="1:24" x14ac:dyDescent="0.25">
      <c r="A214" s="9"/>
      <c r="B214" s="9"/>
      <c r="C214" s="9"/>
      <c r="D214" s="31"/>
      <c r="E214" s="31"/>
      <c r="F214" s="31"/>
      <c r="G214" s="115"/>
      <c r="H214" s="115"/>
      <c r="I214" s="115"/>
      <c r="J214" s="115"/>
      <c r="K214" s="115"/>
      <c r="L214" s="115"/>
      <c r="M214" s="115"/>
      <c r="N214" s="115"/>
      <c r="O214" s="9"/>
      <c r="P214" s="9"/>
      <c r="Q214" s="9"/>
      <c r="R214" s="9"/>
      <c r="S214" s="9"/>
      <c r="T214" s="9"/>
      <c r="U214" s="9"/>
      <c r="V214" s="9"/>
      <c r="W214" s="9"/>
      <c r="X214" s="9"/>
    </row>
    <row r="215" spans="1:24" x14ac:dyDescent="0.25">
      <c r="A215" s="9"/>
      <c r="B215" s="9"/>
      <c r="C215" s="9"/>
      <c r="D215" s="31"/>
      <c r="E215" s="31"/>
      <c r="F215" s="31"/>
      <c r="G215" s="115"/>
      <c r="H215" s="115"/>
      <c r="I215" s="115"/>
      <c r="J215" s="115"/>
      <c r="K215" s="115"/>
      <c r="L215" s="115"/>
      <c r="M215" s="9" t="s">
        <v>508</v>
      </c>
      <c r="N215" s="119">
        <f>SUM(N197:N213)</f>
        <v>24967061.951404665</v>
      </c>
      <c r="O215" s="9"/>
      <c r="P215" s="9"/>
      <c r="Q215" s="9"/>
      <c r="R215" s="9"/>
      <c r="S215" s="9"/>
      <c r="T215" s="9"/>
      <c r="U215" s="9"/>
      <c r="V215" s="9"/>
      <c r="W215" s="9"/>
      <c r="X215" s="9"/>
    </row>
    <row r="216" spans="1:24" x14ac:dyDescent="0.25">
      <c r="A216" s="9"/>
      <c r="B216" s="9"/>
      <c r="C216" s="9"/>
      <c r="D216" s="9"/>
      <c r="E216" s="9"/>
      <c r="F216" s="9"/>
      <c r="G216" s="9"/>
      <c r="H216" s="9"/>
      <c r="I216" s="9"/>
      <c r="J216" s="9"/>
      <c r="K216" s="9"/>
      <c r="L216" s="9"/>
      <c r="M216" s="9" t="s">
        <v>509</v>
      </c>
      <c r="N216" s="119">
        <f>AVERAGE(N197:N213)</f>
        <v>1468650.7030238039</v>
      </c>
      <c r="O216" s="9"/>
      <c r="P216" s="9"/>
      <c r="Q216" s="9"/>
      <c r="R216" s="9"/>
      <c r="S216" s="9"/>
      <c r="T216" s="9"/>
      <c r="U216" s="9"/>
      <c r="V216" s="9"/>
      <c r="W216" s="9"/>
      <c r="X216" s="9"/>
    </row>
    <row r="217" spans="1:24" ht="15" x14ac:dyDescent="0.35">
      <c r="A217" s="9"/>
      <c r="B217" s="1" t="s">
        <v>510</v>
      </c>
      <c r="C217" s="9"/>
      <c r="D217" s="9"/>
      <c r="E217" s="9"/>
      <c r="F217" s="9"/>
      <c r="G217" s="9"/>
      <c r="H217" s="9"/>
      <c r="I217" s="9"/>
      <c r="J217" s="9"/>
      <c r="K217" s="9"/>
      <c r="L217" s="9"/>
      <c r="M217" s="9"/>
      <c r="N217" s="9"/>
      <c r="O217" s="9"/>
      <c r="P217" s="9"/>
      <c r="Q217" s="9"/>
      <c r="R217" s="9"/>
      <c r="S217" s="9"/>
      <c r="T217" s="9"/>
      <c r="U217" s="9"/>
      <c r="V217" s="9"/>
      <c r="W217" s="9"/>
      <c r="X217" s="9"/>
    </row>
    <row r="218" spans="1:24" x14ac:dyDescent="0.25">
      <c r="A218" s="9"/>
      <c r="B218" s="9"/>
      <c r="C218" s="9"/>
      <c r="D218" s="9"/>
      <c r="E218" s="9"/>
      <c r="F218" s="9"/>
      <c r="G218" s="9"/>
      <c r="H218" s="9"/>
      <c r="I218" s="9"/>
      <c r="J218" s="9"/>
      <c r="K218" s="9"/>
      <c r="L218" s="9"/>
      <c r="M218" s="9"/>
      <c r="N218" s="9"/>
      <c r="O218" s="9"/>
      <c r="P218" s="9"/>
      <c r="Q218" s="9"/>
      <c r="R218" s="9"/>
      <c r="S218" s="9"/>
      <c r="T218" s="9"/>
      <c r="U218" s="9"/>
      <c r="V218" s="9"/>
      <c r="W218" s="9"/>
      <c r="X218" s="9"/>
    </row>
    <row r="219" spans="1:24" x14ac:dyDescent="0.25">
      <c r="A219" s="9"/>
      <c r="B219" s="9"/>
      <c r="C219" s="31" t="s">
        <v>498</v>
      </c>
      <c r="D219" s="31" t="s">
        <v>150</v>
      </c>
      <c r="E219" s="31" t="s">
        <v>499</v>
      </c>
      <c r="F219" s="31" t="s">
        <v>151</v>
      </c>
      <c r="G219" s="9" t="s">
        <v>375</v>
      </c>
      <c r="H219" s="9" t="s">
        <v>376</v>
      </c>
      <c r="I219" s="9" t="s">
        <v>377</v>
      </c>
      <c r="J219" s="9" t="s">
        <v>174</v>
      </c>
      <c r="K219" s="9" t="s">
        <v>175</v>
      </c>
      <c r="L219" s="9" t="s">
        <v>176</v>
      </c>
      <c r="M219" s="9" t="s">
        <v>177</v>
      </c>
      <c r="N219" s="9" t="s">
        <v>178</v>
      </c>
      <c r="O219" s="9"/>
      <c r="P219" s="9"/>
      <c r="Q219" s="9"/>
      <c r="R219" s="9"/>
      <c r="S219" s="9"/>
      <c r="T219" s="9"/>
      <c r="U219" s="9"/>
      <c r="V219" s="9"/>
      <c r="W219" s="9"/>
      <c r="X219" s="9"/>
    </row>
    <row r="220" spans="1:24" x14ac:dyDescent="0.25">
      <c r="A220" s="9"/>
      <c r="B220" s="9"/>
      <c r="C220" s="9" t="s">
        <v>494</v>
      </c>
      <c r="D220" s="31" t="s">
        <v>231</v>
      </c>
      <c r="E220" s="31" t="s">
        <v>231</v>
      </c>
      <c r="F220" s="31" t="s">
        <v>500</v>
      </c>
      <c r="G220" s="120" t="str">
        <f>IF(SUM(G119,G138,G157,G176)=0,"",SUM(G119,G138,G157,G176))</f>
        <v/>
      </c>
      <c r="H220" s="120" t="str">
        <f t="shared" ref="H220:N220" si="2">IF(SUM(H119,H138,H157,H176)=0,"",SUM(H119,H138,H157,H176))</f>
        <v/>
      </c>
      <c r="I220" s="120" t="str">
        <f t="shared" si="2"/>
        <v/>
      </c>
      <c r="J220" s="120" t="str">
        <f t="shared" si="2"/>
        <v/>
      </c>
      <c r="K220" s="120" t="str">
        <f t="shared" si="2"/>
        <v/>
      </c>
      <c r="L220" s="120" t="str">
        <f t="shared" si="2"/>
        <v/>
      </c>
      <c r="M220" s="120" t="str">
        <f t="shared" si="2"/>
        <v/>
      </c>
      <c r="N220" s="120" t="str">
        <f t="shared" si="2"/>
        <v/>
      </c>
      <c r="O220" s="9"/>
      <c r="P220" s="119"/>
      <c r="Q220" s="9"/>
      <c r="R220" s="9"/>
      <c r="S220" s="9"/>
      <c r="T220" s="9"/>
      <c r="U220" s="9"/>
      <c r="V220" s="9"/>
      <c r="W220" s="9"/>
      <c r="X220" s="9"/>
    </row>
    <row r="221" spans="1:24" x14ac:dyDescent="0.25">
      <c r="A221" s="9"/>
      <c r="B221" s="9"/>
      <c r="C221" s="9" t="s">
        <v>494</v>
      </c>
      <c r="D221" s="31" t="s">
        <v>157</v>
      </c>
      <c r="E221" s="31" t="s">
        <v>157</v>
      </c>
      <c r="F221" s="31" t="s">
        <v>500</v>
      </c>
      <c r="G221" s="120">
        <f t="shared" ref="G221:N236" si="3">IF(SUM(G120,G139,G158,G177)=0,"",SUM(G120,G139,G158,G177))</f>
        <v>2540181</v>
      </c>
      <c r="H221" s="120">
        <f t="shared" si="3"/>
        <v>2568684</v>
      </c>
      <c r="I221" s="120">
        <f t="shared" si="3"/>
        <v>2596189</v>
      </c>
      <c r="J221" s="120">
        <f t="shared" si="3"/>
        <v>2634446</v>
      </c>
      <c r="K221" s="120">
        <f t="shared" si="3"/>
        <v>2676626</v>
      </c>
      <c r="L221" s="120">
        <f t="shared" si="3"/>
        <v>2719911</v>
      </c>
      <c r="M221" s="120">
        <f t="shared" si="3"/>
        <v>2762867</v>
      </c>
      <c r="N221" s="120">
        <f t="shared" si="3"/>
        <v>2803321</v>
      </c>
      <c r="O221" s="9"/>
      <c r="P221" s="120"/>
      <c r="Q221" s="9"/>
      <c r="R221" s="9"/>
      <c r="S221" s="9"/>
      <c r="T221" s="9"/>
      <c r="U221" s="9"/>
      <c r="V221" s="9"/>
      <c r="W221" s="9"/>
      <c r="X221" s="9"/>
    </row>
    <row r="222" spans="1:24" x14ac:dyDescent="0.25">
      <c r="A222" s="9"/>
      <c r="B222" s="9"/>
      <c r="C222" s="9" t="s">
        <v>494</v>
      </c>
      <c r="D222" s="31" t="s">
        <v>235</v>
      </c>
      <c r="E222" s="31" t="s">
        <v>235</v>
      </c>
      <c r="F222" s="31" t="s">
        <v>500</v>
      </c>
      <c r="G222" s="120" t="str">
        <f t="shared" si="3"/>
        <v/>
      </c>
      <c r="H222" s="120" t="str">
        <f t="shared" si="3"/>
        <v/>
      </c>
      <c r="I222" s="120" t="str">
        <f t="shared" si="3"/>
        <v/>
      </c>
      <c r="J222" s="120" t="str">
        <f t="shared" si="3"/>
        <v/>
      </c>
      <c r="K222" s="120" t="str">
        <f t="shared" si="3"/>
        <v/>
      </c>
      <c r="L222" s="120" t="str">
        <f t="shared" si="3"/>
        <v/>
      </c>
      <c r="M222" s="120" t="str">
        <f t="shared" si="3"/>
        <v/>
      </c>
      <c r="N222" s="120" t="str">
        <f t="shared" si="3"/>
        <v/>
      </c>
      <c r="O222" s="9"/>
      <c r="P222" s="9"/>
      <c r="Q222" s="9"/>
      <c r="R222" s="9"/>
      <c r="S222" s="9"/>
      <c r="T222" s="9"/>
      <c r="U222" s="9"/>
      <c r="V222" s="9"/>
      <c r="W222" s="9"/>
      <c r="X222" s="9"/>
    </row>
    <row r="223" spans="1:24" x14ac:dyDescent="0.25">
      <c r="A223" s="9"/>
      <c r="B223" s="9"/>
      <c r="C223" s="9" t="s">
        <v>494</v>
      </c>
      <c r="D223" s="31" t="s">
        <v>237</v>
      </c>
      <c r="E223" s="31" t="s">
        <v>237</v>
      </c>
      <c r="F223" s="31" t="s">
        <v>500</v>
      </c>
      <c r="G223" s="120">
        <f t="shared" si="3"/>
        <v>26932.198460452564</v>
      </c>
      <c r="H223" s="120">
        <f t="shared" si="3"/>
        <v>18848</v>
      </c>
      <c r="I223" s="120">
        <f t="shared" si="3"/>
        <v>18220</v>
      </c>
      <c r="J223" s="120">
        <f t="shared" si="3"/>
        <v>18364</v>
      </c>
      <c r="K223" s="120">
        <f t="shared" si="3"/>
        <v>18509</v>
      </c>
      <c r="L223" s="120">
        <f t="shared" si="3"/>
        <v>18665</v>
      </c>
      <c r="M223" s="120">
        <f t="shared" si="3"/>
        <v>18823</v>
      </c>
      <c r="N223" s="120">
        <f t="shared" si="3"/>
        <v>18984</v>
      </c>
      <c r="O223" s="9"/>
      <c r="P223" s="9"/>
      <c r="Q223" s="9"/>
      <c r="R223" s="9"/>
      <c r="S223" s="9"/>
      <c r="T223" s="9"/>
      <c r="U223" s="9"/>
      <c r="V223" s="9"/>
      <c r="W223" s="9"/>
      <c r="X223" s="9"/>
    </row>
    <row r="224" spans="1:24" x14ac:dyDescent="0.25">
      <c r="A224" s="9"/>
      <c r="B224" s="9"/>
      <c r="C224" s="9" t="s">
        <v>494</v>
      </c>
      <c r="D224" s="31" t="s">
        <v>186</v>
      </c>
      <c r="E224" s="31" t="s">
        <v>186</v>
      </c>
      <c r="F224" s="31" t="s">
        <v>500</v>
      </c>
      <c r="G224" s="120">
        <f t="shared" si="3"/>
        <v>1137191</v>
      </c>
      <c r="H224" s="120">
        <f t="shared" si="3"/>
        <v>1141685</v>
      </c>
      <c r="I224" s="120">
        <f t="shared" si="3"/>
        <v>1153326</v>
      </c>
      <c r="J224" s="120">
        <f t="shared" si="3"/>
        <v>1164977</v>
      </c>
      <c r="K224" s="120">
        <f t="shared" si="3"/>
        <v>1174131</v>
      </c>
      <c r="L224" s="120">
        <f t="shared" si="3"/>
        <v>1182708</v>
      </c>
      <c r="M224" s="120">
        <f t="shared" si="3"/>
        <v>1190989</v>
      </c>
      <c r="N224" s="120">
        <f t="shared" si="3"/>
        <v>1199146</v>
      </c>
      <c r="O224" s="9"/>
      <c r="P224" s="9"/>
      <c r="Q224" s="9"/>
      <c r="R224" s="9"/>
      <c r="S224" s="9"/>
      <c r="T224" s="9"/>
      <c r="U224" s="9"/>
      <c r="V224" s="9"/>
      <c r="W224" s="9"/>
      <c r="X224" s="9"/>
    </row>
    <row r="225" spans="1:24" x14ac:dyDescent="0.25">
      <c r="A225" s="9"/>
      <c r="B225" s="9"/>
      <c r="C225" s="9" t="s">
        <v>494</v>
      </c>
      <c r="D225" s="31" t="s">
        <v>239</v>
      </c>
      <c r="E225" s="31" t="s">
        <v>239</v>
      </c>
      <c r="F225" s="31" t="s">
        <v>500</v>
      </c>
      <c r="G225" s="120" t="str">
        <f t="shared" si="3"/>
        <v/>
      </c>
      <c r="H225" s="120" t="str">
        <f t="shared" si="3"/>
        <v/>
      </c>
      <c r="I225" s="120" t="str">
        <f t="shared" si="3"/>
        <v/>
      </c>
      <c r="J225" s="120" t="str">
        <f t="shared" si="3"/>
        <v/>
      </c>
      <c r="K225" s="120" t="str">
        <f t="shared" si="3"/>
        <v/>
      </c>
      <c r="L225" s="120" t="str">
        <f t="shared" si="3"/>
        <v/>
      </c>
      <c r="M225" s="120" t="str">
        <f t="shared" si="3"/>
        <v/>
      </c>
      <c r="N225" s="120" t="str">
        <f t="shared" si="3"/>
        <v/>
      </c>
      <c r="O225" s="9"/>
      <c r="P225" s="9"/>
      <c r="Q225" s="9"/>
      <c r="R225" s="9"/>
      <c r="S225" s="9"/>
      <c r="T225" s="9"/>
      <c r="U225" s="9"/>
      <c r="V225" s="9"/>
      <c r="W225" s="9"/>
      <c r="X225" s="9"/>
    </row>
    <row r="226" spans="1:24" x14ac:dyDescent="0.25">
      <c r="A226" s="9"/>
      <c r="B226" s="9"/>
      <c r="C226" s="9" t="s">
        <v>494</v>
      </c>
      <c r="D226" s="31" t="s">
        <v>165</v>
      </c>
      <c r="E226" s="31" t="s">
        <v>165</v>
      </c>
      <c r="F226" s="31" t="s">
        <v>500</v>
      </c>
      <c r="G226" s="120" t="str">
        <f t="shared" si="3"/>
        <v/>
      </c>
      <c r="H226" s="120" t="str">
        <f t="shared" si="3"/>
        <v/>
      </c>
      <c r="I226" s="120" t="str">
        <f t="shared" si="3"/>
        <v/>
      </c>
      <c r="J226" s="120" t="str">
        <f t="shared" si="3"/>
        <v/>
      </c>
      <c r="K226" s="120" t="str">
        <f t="shared" si="3"/>
        <v/>
      </c>
      <c r="L226" s="120" t="str">
        <f t="shared" si="3"/>
        <v/>
      </c>
      <c r="M226" s="120" t="str">
        <f t="shared" si="3"/>
        <v/>
      </c>
      <c r="N226" s="120" t="str">
        <f t="shared" si="3"/>
        <v/>
      </c>
      <c r="O226" s="9"/>
      <c r="P226" s="9"/>
      <c r="Q226" s="9"/>
      <c r="R226" s="9"/>
      <c r="S226" s="9"/>
      <c r="T226" s="9"/>
      <c r="U226" s="9"/>
      <c r="V226" s="9"/>
      <c r="W226" s="9"/>
      <c r="X226" s="9"/>
    </row>
    <row r="227" spans="1:24" x14ac:dyDescent="0.25">
      <c r="A227" s="9"/>
      <c r="B227" s="9"/>
      <c r="C227" s="9" t="s">
        <v>494</v>
      </c>
      <c r="D227" s="31" t="s">
        <v>241</v>
      </c>
      <c r="E227" s="31" t="s">
        <v>241</v>
      </c>
      <c r="F227" s="31" t="s">
        <v>500</v>
      </c>
      <c r="G227" s="120" t="str">
        <f t="shared" si="3"/>
        <v/>
      </c>
      <c r="H227" s="120" t="str">
        <f t="shared" si="3"/>
        <v/>
      </c>
      <c r="I227" s="120" t="str">
        <f t="shared" si="3"/>
        <v/>
      </c>
      <c r="J227" s="120" t="str">
        <f t="shared" si="3"/>
        <v/>
      </c>
      <c r="K227" s="120" t="str">
        <f t="shared" si="3"/>
        <v/>
      </c>
      <c r="L227" s="120" t="str">
        <f t="shared" si="3"/>
        <v/>
      </c>
      <c r="M227" s="120" t="str">
        <f t="shared" si="3"/>
        <v/>
      </c>
      <c r="N227" s="120" t="str">
        <f t="shared" si="3"/>
        <v/>
      </c>
      <c r="O227" s="9"/>
      <c r="P227" s="9"/>
      <c r="Q227" s="9"/>
      <c r="R227" s="9"/>
      <c r="S227" s="9"/>
      <c r="T227" s="9"/>
      <c r="U227" s="9"/>
      <c r="V227" s="9"/>
      <c r="W227" s="9"/>
      <c r="X227" s="9"/>
    </row>
    <row r="228" spans="1:24" x14ac:dyDescent="0.25">
      <c r="A228" s="9"/>
      <c r="B228" s="9"/>
      <c r="C228" s="9" t="s">
        <v>494</v>
      </c>
      <c r="D228" s="31" t="s">
        <v>205</v>
      </c>
      <c r="E228" s="31" t="s">
        <v>205</v>
      </c>
      <c r="F228" s="31" t="s">
        <v>500</v>
      </c>
      <c r="G228" s="120">
        <f t="shared" si="3"/>
        <v>1823210</v>
      </c>
      <c r="H228" s="120">
        <f t="shared" si="3"/>
        <v>1834482</v>
      </c>
      <c r="I228" s="120">
        <f t="shared" si="3"/>
        <v>1860255</v>
      </c>
      <c r="J228" s="120">
        <f t="shared" si="3"/>
        <v>1887615</v>
      </c>
      <c r="K228" s="120">
        <f t="shared" si="3"/>
        <v>1912513</v>
      </c>
      <c r="L228" s="120">
        <f t="shared" si="3"/>
        <v>1935614</v>
      </c>
      <c r="M228" s="120">
        <f t="shared" si="3"/>
        <v>1957908</v>
      </c>
      <c r="N228" s="120">
        <f t="shared" si="3"/>
        <v>1978945</v>
      </c>
      <c r="O228" s="9"/>
      <c r="P228" s="9"/>
      <c r="Q228" s="9"/>
      <c r="R228" s="9"/>
      <c r="S228" s="9"/>
      <c r="T228" s="9"/>
      <c r="U228" s="9"/>
      <c r="V228" s="9"/>
      <c r="W228" s="9"/>
      <c r="X228" s="9"/>
    </row>
    <row r="229" spans="1:24" x14ac:dyDescent="0.25">
      <c r="A229" s="9"/>
      <c r="B229" s="9"/>
      <c r="C229" s="9" t="s">
        <v>494</v>
      </c>
      <c r="D229" s="31" t="s">
        <v>297</v>
      </c>
      <c r="E229" s="31" t="s">
        <v>297</v>
      </c>
      <c r="F229" s="31" t="s">
        <v>500</v>
      </c>
      <c r="G229" s="120" t="str">
        <f t="shared" si="3"/>
        <v/>
      </c>
      <c r="H229" s="120" t="str">
        <f t="shared" si="3"/>
        <v/>
      </c>
      <c r="I229" s="120" t="str">
        <f t="shared" si="3"/>
        <v/>
      </c>
      <c r="J229" s="120" t="str">
        <f t="shared" si="3"/>
        <v/>
      </c>
      <c r="K229" s="120" t="str">
        <f t="shared" si="3"/>
        <v/>
      </c>
      <c r="L229" s="120" t="str">
        <f t="shared" si="3"/>
        <v/>
      </c>
      <c r="M229" s="120" t="str">
        <f t="shared" si="3"/>
        <v/>
      </c>
      <c r="N229" s="120" t="str">
        <f t="shared" si="3"/>
        <v/>
      </c>
      <c r="O229" s="9"/>
      <c r="P229" s="9"/>
      <c r="Q229" s="9"/>
      <c r="R229" s="9"/>
      <c r="S229" s="9"/>
      <c r="T229" s="9"/>
      <c r="U229" s="9"/>
      <c r="V229" s="9"/>
      <c r="W229" s="9"/>
      <c r="X229" s="9"/>
    </row>
    <row r="230" spans="1:24" x14ac:dyDescent="0.25">
      <c r="A230" s="9"/>
      <c r="B230" s="9"/>
      <c r="C230" s="9" t="s">
        <v>494</v>
      </c>
      <c r="D230" s="31" t="s">
        <v>198</v>
      </c>
      <c r="E230" s="31" t="s">
        <v>198</v>
      </c>
      <c r="F230" s="31" t="s">
        <v>500</v>
      </c>
      <c r="G230" s="120">
        <f t="shared" si="3"/>
        <v>3743092.8015395529</v>
      </c>
      <c r="H230" s="120">
        <f t="shared" si="3"/>
        <v>3703052</v>
      </c>
      <c r="I230" s="120">
        <f t="shared" si="3"/>
        <v>3787182.8192581031</v>
      </c>
      <c r="J230" s="120">
        <f t="shared" si="3"/>
        <v>3806694.0900715636</v>
      </c>
      <c r="K230" s="120">
        <f t="shared" si="3"/>
        <v>3826613.3626032723</v>
      </c>
      <c r="L230" s="120">
        <f t="shared" si="3"/>
        <v>3847902.656839909</v>
      </c>
      <c r="M230" s="120">
        <f t="shared" si="3"/>
        <v>3869599.59042235</v>
      </c>
      <c r="N230" s="120">
        <f t="shared" si="3"/>
        <v>3891703.0691519603</v>
      </c>
      <c r="O230" s="9"/>
      <c r="P230" s="9"/>
      <c r="Q230" s="9"/>
      <c r="R230" s="9"/>
      <c r="S230" s="9"/>
      <c r="T230" s="9"/>
      <c r="U230" s="9"/>
      <c r="V230" s="9"/>
      <c r="W230" s="9"/>
      <c r="X230" s="9"/>
    </row>
    <row r="231" spans="1:24" x14ac:dyDescent="0.25">
      <c r="A231" s="9"/>
      <c r="B231" s="9"/>
      <c r="C231" s="9" t="s">
        <v>494</v>
      </c>
      <c r="D231" s="31" t="s">
        <v>167</v>
      </c>
      <c r="E231" s="31" t="s">
        <v>167</v>
      </c>
      <c r="F231" s="31" t="s">
        <v>500</v>
      </c>
      <c r="G231" s="120">
        <f t="shared" si="3"/>
        <v>685621</v>
      </c>
      <c r="H231" s="120" t="str">
        <f t="shared" si="3"/>
        <v/>
      </c>
      <c r="I231" s="120">
        <f t="shared" si="3"/>
        <v>698652</v>
      </c>
      <c r="J231" s="120">
        <f t="shared" si="3"/>
        <v>706920</v>
      </c>
      <c r="K231" s="120">
        <f t="shared" si="3"/>
        <v>716273</v>
      </c>
      <c r="L231" s="120">
        <f t="shared" si="3"/>
        <v>723114</v>
      </c>
      <c r="M231" s="120">
        <f t="shared" si="3"/>
        <v>730070</v>
      </c>
      <c r="N231" s="120">
        <f t="shared" si="3"/>
        <v>736848</v>
      </c>
      <c r="O231" s="9"/>
      <c r="P231" s="9"/>
      <c r="Q231" s="9"/>
      <c r="R231" s="9"/>
      <c r="S231" s="9"/>
      <c r="T231" s="9"/>
      <c r="U231" s="9"/>
      <c r="V231" s="9"/>
      <c r="W231" s="9"/>
      <c r="X231" s="9"/>
    </row>
    <row r="232" spans="1:24" x14ac:dyDescent="0.25">
      <c r="A232" s="9"/>
      <c r="B232" s="9"/>
      <c r="C232" s="9" t="s">
        <v>494</v>
      </c>
      <c r="D232" s="31" t="s">
        <v>249</v>
      </c>
      <c r="E232" s="31" t="s">
        <v>249</v>
      </c>
      <c r="F232" s="31" t="s">
        <v>500</v>
      </c>
      <c r="G232" s="120">
        <f t="shared" si="3"/>
        <v>5361933</v>
      </c>
      <c r="H232" s="120">
        <f t="shared" si="3"/>
        <v>5407430</v>
      </c>
      <c r="I232" s="120">
        <f t="shared" si="3"/>
        <v>5448105</v>
      </c>
      <c r="J232" s="120">
        <f t="shared" si="3"/>
        <v>5523104</v>
      </c>
      <c r="K232" s="120">
        <f t="shared" si="3"/>
        <v>5595374</v>
      </c>
      <c r="L232" s="120">
        <f t="shared" si="3"/>
        <v>5662904</v>
      </c>
      <c r="M232" s="120">
        <f t="shared" si="3"/>
        <v>5731675</v>
      </c>
      <c r="N232" s="120">
        <f t="shared" si="3"/>
        <v>5789272</v>
      </c>
      <c r="O232" s="9"/>
      <c r="P232" s="9"/>
      <c r="Q232" s="9"/>
      <c r="R232" s="9"/>
      <c r="S232" s="9"/>
      <c r="T232" s="9"/>
      <c r="U232" s="9"/>
      <c r="V232" s="9"/>
      <c r="W232" s="9"/>
      <c r="X232" s="9"/>
    </row>
    <row r="233" spans="1:24" x14ac:dyDescent="0.25">
      <c r="A233" s="9"/>
      <c r="B233" s="9"/>
      <c r="C233" s="9" t="s">
        <v>494</v>
      </c>
      <c r="D233" s="31" t="s">
        <v>190</v>
      </c>
      <c r="E233" s="31" t="s">
        <v>501</v>
      </c>
      <c r="F233" s="31" t="s">
        <v>500</v>
      </c>
      <c r="G233" s="120">
        <f t="shared" si="3"/>
        <v>2903899.1153846225</v>
      </c>
      <c r="H233" s="120">
        <f t="shared" si="3"/>
        <v>2926025</v>
      </c>
      <c r="I233" s="120">
        <f t="shared" si="3"/>
        <v>2948229.9869848629</v>
      </c>
      <c r="J233" s="120">
        <f t="shared" si="3"/>
        <v>2969728.337849502</v>
      </c>
      <c r="K233" s="120">
        <f t="shared" si="3"/>
        <v>2992090.6508677593</v>
      </c>
      <c r="L233" s="120">
        <f t="shared" si="3"/>
        <v>3015458.1128859455</v>
      </c>
      <c r="M233" s="120">
        <f t="shared" si="3"/>
        <v>3039829.4010047624</v>
      </c>
      <c r="N233" s="120">
        <f t="shared" si="3"/>
        <v>3065202.8522729091</v>
      </c>
      <c r="O233" s="9"/>
      <c r="P233" s="9"/>
      <c r="Q233" s="9"/>
      <c r="R233" s="9"/>
      <c r="S233" s="9"/>
      <c r="T233" s="9"/>
      <c r="U233" s="9"/>
      <c r="V233" s="9"/>
      <c r="W233" s="9"/>
      <c r="X233" s="9"/>
    </row>
    <row r="234" spans="1:24" x14ac:dyDescent="0.25">
      <c r="A234" s="9"/>
      <c r="B234" s="9"/>
      <c r="C234" s="9" t="s">
        <v>494</v>
      </c>
      <c r="D234" s="31" t="s">
        <v>252</v>
      </c>
      <c r="E234" s="31" t="s">
        <v>252</v>
      </c>
      <c r="F234" s="31" t="s">
        <v>500</v>
      </c>
      <c r="G234" s="120">
        <f t="shared" si="3"/>
        <v>1311347</v>
      </c>
      <c r="H234" s="120">
        <f t="shared" si="3"/>
        <v>1320163</v>
      </c>
      <c r="I234" s="120">
        <f t="shared" si="3"/>
        <v>1328855</v>
      </c>
      <c r="J234" s="120">
        <f t="shared" si="3"/>
        <v>1339681</v>
      </c>
      <c r="K234" s="120">
        <f t="shared" si="3"/>
        <v>1349309</v>
      </c>
      <c r="L234" s="120">
        <f t="shared" si="3"/>
        <v>1359101</v>
      </c>
      <c r="M234" s="120">
        <f t="shared" si="3"/>
        <v>1368957</v>
      </c>
      <c r="N234" s="120">
        <f t="shared" si="3"/>
        <v>1378874</v>
      </c>
      <c r="O234" s="9"/>
      <c r="P234" s="9"/>
      <c r="Q234" s="9"/>
      <c r="R234" s="9"/>
      <c r="S234" s="9"/>
      <c r="T234" s="9"/>
      <c r="U234" s="9"/>
      <c r="V234" s="9"/>
      <c r="W234" s="9"/>
      <c r="X234" s="9"/>
    </row>
    <row r="235" spans="1:24" x14ac:dyDescent="0.25">
      <c r="A235" s="9"/>
      <c r="B235" s="9"/>
      <c r="C235" s="9" t="s">
        <v>494</v>
      </c>
      <c r="D235" s="31" t="s">
        <v>169</v>
      </c>
      <c r="E235" s="31" t="s">
        <v>169</v>
      </c>
      <c r="F235" s="31" t="s">
        <v>500</v>
      </c>
      <c r="G235" s="120">
        <f t="shared" si="3"/>
        <v>1151261</v>
      </c>
      <c r="H235" s="120">
        <f t="shared" si="3"/>
        <v>1158250</v>
      </c>
      <c r="I235" s="120">
        <f t="shared" si="3"/>
        <v>1179109</v>
      </c>
      <c r="J235" s="120">
        <f t="shared" si="3"/>
        <v>1191791</v>
      </c>
      <c r="K235" s="120">
        <f t="shared" si="3"/>
        <v>1204318</v>
      </c>
      <c r="L235" s="120">
        <f t="shared" si="3"/>
        <v>1216627</v>
      </c>
      <c r="M235" s="120">
        <f t="shared" si="3"/>
        <v>1228648</v>
      </c>
      <c r="N235" s="120">
        <f t="shared" si="3"/>
        <v>1240117</v>
      </c>
      <c r="O235" s="9"/>
      <c r="P235" s="9"/>
      <c r="Q235" s="9"/>
      <c r="R235" s="9"/>
      <c r="S235" s="9"/>
      <c r="T235" s="9"/>
      <c r="U235" s="9"/>
      <c r="V235" s="9"/>
      <c r="W235" s="9"/>
      <c r="X235" s="9"/>
    </row>
    <row r="236" spans="1:24" x14ac:dyDescent="0.25">
      <c r="A236" s="9"/>
      <c r="B236" s="9"/>
      <c r="C236" s="9" t="s">
        <v>494</v>
      </c>
      <c r="D236" s="31" t="s">
        <v>171</v>
      </c>
      <c r="E236" s="31" t="s">
        <v>171</v>
      </c>
      <c r="F236" s="31" t="s">
        <v>500</v>
      </c>
      <c r="G236" s="120">
        <f t="shared" si="3"/>
        <v>2057263</v>
      </c>
      <c r="H236" s="120">
        <f t="shared" si="3"/>
        <v>2068202</v>
      </c>
      <c r="I236" s="120">
        <f t="shared" si="3"/>
        <v>2087266</v>
      </c>
      <c r="J236" s="120">
        <f t="shared" si="3"/>
        <v>2109215</v>
      </c>
      <c r="K236" s="120">
        <f t="shared" si="3"/>
        <v>2129067</v>
      </c>
      <c r="L236" s="120">
        <f t="shared" si="3"/>
        <v>2149015</v>
      </c>
      <c r="M236" s="120">
        <f t="shared" si="3"/>
        <v>2168928</v>
      </c>
      <c r="N236" s="120">
        <f t="shared" si="3"/>
        <v>2188885</v>
      </c>
      <c r="O236" s="9"/>
      <c r="P236" s="9"/>
      <c r="Q236" s="9"/>
      <c r="R236" s="9"/>
      <c r="S236" s="9"/>
      <c r="T236" s="9"/>
      <c r="U236" s="9"/>
      <c r="V236" s="9"/>
      <c r="W236" s="9"/>
      <c r="X236" s="9"/>
    </row>
    <row r="237" spans="1:24" x14ac:dyDescent="0.25">
      <c r="A237" s="9"/>
      <c r="B237" s="9"/>
      <c r="C237" s="9"/>
      <c r="D237" s="31"/>
      <c r="E237" s="31"/>
      <c r="F237" s="31"/>
      <c r="G237" s="120"/>
      <c r="H237" s="120"/>
      <c r="I237" s="120"/>
      <c r="J237" s="120"/>
      <c r="K237" s="120"/>
      <c r="L237" s="120"/>
      <c r="M237" s="120"/>
      <c r="N237" s="120"/>
      <c r="O237" s="9"/>
      <c r="P237" s="9"/>
      <c r="Q237" s="9"/>
      <c r="R237" s="9"/>
      <c r="S237" s="9"/>
      <c r="T237" s="9"/>
      <c r="U237" s="9"/>
      <c r="V237" s="9"/>
      <c r="W237" s="9"/>
      <c r="X237" s="9"/>
    </row>
    <row r="238" spans="1:24" x14ac:dyDescent="0.25">
      <c r="A238" s="9"/>
      <c r="B238" s="9"/>
      <c r="C238" s="9"/>
      <c r="D238" s="31"/>
      <c r="E238" s="31"/>
      <c r="F238" s="31"/>
      <c r="G238" s="120"/>
      <c r="H238" s="120"/>
      <c r="I238" s="120"/>
      <c r="J238" s="120"/>
      <c r="K238" s="120"/>
      <c r="L238" s="120"/>
      <c r="M238" s="127" t="s">
        <v>508</v>
      </c>
      <c r="N238" s="128">
        <f>SUM(N220:N236)</f>
        <v>24291297.921424869</v>
      </c>
      <c r="O238" s="9"/>
      <c r="P238" s="9"/>
      <c r="Q238" s="9"/>
      <c r="R238" s="9"/>
      <c r="S238" s="9"/>
      <c r="T238" s="9"/>
      <c r="U238" s="9"/>
      <c r="V238" s="9"/>
      <c r="W238" s="9"/>
      <c r="X238" s="9"/>
    </row>
    <row r="239" spans="1:24" x14ac:dyDescent="0.25">
      <c r="A239" s="9"/>
      <c r="B239" s="9"/>
      <c r="C239" s="9"/>
      <c r="D239" s="9"/>
      <c r="E239" s="9"/>
      <c r="F239" s="9"/>
      <c r="G239" s="9"/>
      <c r="H239" s="9"/>
      <c r="I239" s="9"/>
      <c r="J239" s="9"/>
      <c r="K239" s="9"/>
      <c r="L239" s="9"/>
      <c r="M239" s="87" t="s">
        <v>509</v>
      </c>
      <c r="N239" s="127">
        <f>AVERAGEIF(N220:N236,"&lt;&gt;")</f>
        <v>2208299.8110386245</v>
      </c>
      <c r="O239" s="9"/>
      <c r="P239" s="9"/>
      <c r="Q239" s="9"/>
      <c r="R239" s="9"/>
      <c r="S239" s="9"/>
      <c r="T239" s="9"/>
      <c r="U239" s="9"/>
      <c r="V239" s="9"/>
      <c r="W239" s="9"/>
      <c r="X239" s="9"/>
    </row>
    <row r="241" spans="1:24" ht="13.8" x14ac:dyDescent="0.3">
      <c r="A241" s="10" t="s">
        <v>22</v>
      </c>
      <c r="B241" s="10"/>
      <c r="C241" s="10"/>
      <c r="D241" s="10"/>
      <c r="E241" s="10"/>
      <c r="F241" s="10"/>
      <c r="G241" s="10"/>
      <c r="H241" s="10"/>
      <c r="I241" s="10"/>
      <c r="J241" s="10"/>
      <c r="K241" s="10"/>
      <c r="L241" s="10"/>
      <c r="M241" s="10"/>
      <c r="N241" s="10"/>
      <c r="O241" s="10"/>
      <c r="P241" s="10"/>
      <c r="Q241" s="10"/>
      <c r="R241" s="10"/>
      <c r="S241" s="10"/>
      <c r="T241" s="10"/>
      <c r="U241" s="10"/>
      <c r="V241" s="10"/>
      <c r="W241" s="10"/>
      <c r="X241" s="10"/>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CEABF"/>
  </sheetPr>
  <dimension ref="A1:V121"/>
  <sheetViews>
    <sheetView zoomScaleNormal="100" workbookViewId="0">
      <pane ySplit="1" topLeftCell="A2" activePane="bottomLeft" state="frozen"/>
      <selection pane="bottomLeft" activeCell="A2" sqref="A2"/>
    </sheetView>
  </sheetViews>
  <sheetFormatPr defaultColWidth="9" defaultRowHeight="13.2" x14ac:dyDescent="0.25"/>
  <cols>
    <col min="1" max="2" width="2.77734375" style="9" customWidth="1"/>
    <col min="3" max="3" width="22.21875" style="9" bestFit="1" customWidth="1"/>
    <col min="4" max="4" width="27.21875" style="9" customWidth="1"/>
    <col min="5" max="5" width="16.21875" style="9" bestFit="1" customWidth="1"/>
    <col min="6" max="6" width="32" style="9" customWidth="1"/>
    <col min="7" max="7" width="2.77734375" style="9" customWidth="1"/>
    <col min="8" max="9" width="21" style="9" customWidth="1"/>
    <col min="10" max="16384" width="9" style="9"/>
  </cols>
  <sheetData>
    <row r="1" spans="1:22" ht="30" x14ac:dyDescent="0.5">
      <c r="A1" s="3" t="s">
        <v>511</v>
      </c>
      <c r="B1" s="3"/>
      <c r="C1" s="3"/>
      <c r="D1" s="3"/>
      <c r="E1" s="3"/>
      <c r="F1" s="3"/>
      <c r="G1" s="3"/>
      <c r="H1" s="3"/>
      <c r="I1" s="3"/>
      <c r="J1" s="3"/>
      <c r="K1" s="3"/>
      <c r="L1" s="3"/>
      <c r="M1" s="3"/>
      <c r="N1" s="3"/>
      <c r="O1" s="3"/>
      <c r="P1" s="3"/>
      <c r="Q1" s="3"/>
      <c r="R1" s="3"/>
      <c r="S1" s="3"/>
      <c r="T1" s="3"/>
      <c r="U1" s="3"/>
      <c r="V1" s="3"/>
    </row>
    <row r="2" spans="1:22" customFormat="1" x14ac:dyDescent="0.25">
      <c r="A2" s="9"/>
      <c r="B2" s="9"/>
      <c r="C2" s="9"/>
      <c r="D2" s="9"/>
      <c r="E2" s="9"/>
      <c r="F2" s="9"/>
      <c r="G2" s="9"/>
      <c r="H2" s="9"/>
      <c r="I2" s="9"/>
      <c r="J2" s="9"/>
      <c r="K2" s="9"/>
      <c r="L2" s="9"/>
      <c r="M2" s="9"/>
      <c r="N2" s="9"/>
      <c r="O2" s="9"/>
      <c r="P2" s="9"/>
      <c r="Q2" s="9"/>
      <c r="R2" s="9"/>
      <c r="S2" s="9"/>
      <c r="T2" s="9"/>
      <c r="U2" s="9"/>
      <c r="V2" s="9"/>
    </row>
    <row r="3" spans="1:22" customFormat="1" x14ac:dyDescent="0.25">
      <c r="A3" s="9"/>
      <c r="B3" s="4" t="s">
        <v>512</v>
      </c>
      <c r="C3" s="9"/>
      <c r="D3" s="9"/>
      <c r="E3" s="9"/>
      <c r="F3" s="9"/>
      <c r="G3" s="9"/>
      <c r="H3" s="9"/>
      <c r="I3" s="9"/>
      <c r="J3" s="9"/>
      <c r="K3" s="9"/>
      <c r="L3" s="9"/>
      <c r="M3" s="9"/>
      <c r="N3" s="9"/>
      <c r="O3" s="9"/>
      <c r="P3" s="9"/>
      <c r="Q3" s="9"/>
      <c r="R3" s="9"/>
      <c r="S3" s="9"/>
      <c r="T3" s="9"/>
      <c r="U3" s="9"/>
      <c r="V3" s="9"/>
    </row>
    <row r="5" spans="1:22" ht="13.8" x14ac:dyDescent="0.3">
      <c r="A5" s="8" t="s">
        <v>147</v>
      </c>
      <c r="B5" s="8"/>
      <c r="C5" s="8"/>
      <c r="D5" s="8"/>
      <c r="E5" s="8"/>
      <c r="F5" s="8"/>
      <c r="G5" s="8"/>
      <c r="H5" s="8"/>
      <c r="I5" s="8"/>
      <c r="J5" s="16"/>
      <c r="K5" s="8"/>
      <c r="L5" s="8"/>
      <c r="M5" s="8"/>
      <c r="N5" s="8"/>
      <c r="O5" s="8"/>
      <c r="P5" s="8"/>
      <c r="Q5" s="8"/>
      <c r="R5" s="8"/>
      <c r="S5" s="8"/>
      <c r="T5" s="8"/>
      <c r="U5" s="8"/>
      <c r="V5" s="8"/>
    </row>
    <row r="6" spans="1:22" x14ac:dyDescent="0.25">
      <c r="J6" s="17"/>
    </row>
    <row r="7" spans="1:22" ht="15" x14ac:dyDescent="0.35">
      <c r="A7" s="1" t="s">
        <v>513</v>
      </c>
      <c r="J7" s="17"/>
    </row>
    <row r="8" spans="1:22" x14ac:dyDescent="0.25">
      <c r="B8" s="4"/>
      <c r="J8" s="17"/>
    </row>
    <row r="9" spans="1:22" x14ac:dyDescent="0.25">
      <c r="C9" s="9" t="s">
        <v>220</v>
      </c>
      <c r="D9" s="9" t="s">
        <v>149</v>
      </c>
      <c r="E9" s="9" t="s">
        <v>150</v>
      </c>
      <c r="F9" s="9" t="s">
        <v>151</v>
      </c>
      <c r="H9" s="18" t="s">
        <v>514</v>
      </c>
      <c r="I9" s="18" t="s">
        <v>515</v>
      </c>
      <c r="J9" s="19"/>
    </row>
    <row r="10" spans="1:22" x14ac:dyDescent="0.25">
      <c r="C10" s="9" t="s">
        <v>147</v>
      </c>
      <c r="D10" s="9" t="s">
        <v>230</v>
      </c>
      <c r="E10" s="9" t="s">
        <v>231</v>
      </c>
      <c r="F10" s="9" t="s">
        <v>158</v>
      </c>
      <c r="H10" s="26">
        <v>-0.16</v>
      </c>
      <c r="I10" s="20">
        <v>0.13333333333333333</v>
      </c>
      <c r="J10" s="17"/>
    </row>
    <row r="11" spans="1:22" x14ac:dyDescent="0.25">
      <c r="C11" s="9" t="s">
        <v>147</v>
      </c>
      <c r="D11" s="9" t="s">
        <v>156</v>
      </c>
      <c r="E11" s="9" t="s">
        <v>157</v>
      </c>
      <c r="F11" s="9" t="s">
        <v>158</v>
      </c>
      <c r="H11" s="26">
        <v>-0.36506100000000002</v>
      </c>
      <c r="I11" s="20">
        <v>0.21935499999999999</v>
      </c>
      <c r="J11" s="17"/>
    </row>
    <row r="12" spans="1:22" x14ac:dyDescent="0.25">
      <c r="C12" s="9" t="s">
        <v>147</v>
      </c>
      <c r="D12" s="9" t="s">
        <v>234</v>
      </c>
      <c r="E12" s="9" t="s">
        <v>235</v>
      </c>
      <c r="F12" s="9" t="s">
        <v>158</v>
      </c>
      <c r="H12" s="26">
        <v>-0.1912318214499229</v>
      </c>
      <c r="I12" s="20">
        <v>0.1639166816351619</v>
      </c>
      <c r="J12" s="17"/>
    </row>
    <row r="13" spans="1:22" x14ac:dyDescent="0.25">
      <c r="C13" s="9" t="s">
        <v>147</v>
      </c>
      <c r="D13" s="9" t="s">
        <v>236</v>
      </c>
      <c r="E13" s="9" t="s">
        <v>237</v>
      </c>
      <c r="F13" s="9" t="s">
        <v>158</v>
      </c>
      <c r="H13" s="26">
        <v>-0.10185950000000001</v>
      </c>
      <c r="I13" s="20" t="s">
        <v>516</v>
      </c>
      <c r="J13" s="17"/>
    </row>
    <row r="14" spans="1:22" s="21" customFormat="1" x14ac:dyDescent="0.25">
      <c r="C14" s="9" t="s">
        <v>147</v>
      </c>
      <c r="D14" s="21" t="s">
        <v>160</v>
      </c>
      <c r="E14" s="21" t="s">
        <v>161</v>
      </c>
      <c r="F14" s="9" t="s">
        <v>158</v>
      </c>
      <c r="G14" s="9"/>
      <c r="H14" s="26">
        <v>-0.17453828366834817</v>
      </c>
      <c r="I14" s="20">
        <v>0.14960761268858241</v>
      </c>
      <c r="J14" s="27"/>
      <c r="L14" s="9"/>
    </row>
    <row r="15" spans="1:22" s="21" customFormat="1" x14ac:dyDescent="0.25">
      <c r="C15" s="9" t="s">
        <v>147</v>
      </c>
      <c r="D15" s="21" t="s">
        <v>162</v>
      </c>
      <c r="E15" s="21" t="s">
        <v>163</v>
      </c>
      <c r="F15" s="9" t="s">
        <v>158</v>
      </c>
      <c r="G15" s="9"/>
      <c r="H15" s="26">
        <v>-0.17979168051100672</v>
      </c>
      <c r="I15" s="20">
        <v>0.15411062568731976</v>
      </c>
      <c r="J15" s="27"/>
      <c r="L15" s="9"/>
    </row>
    <row r="16" spans="1:22" x14ac:dyDescent="0.25">
      <c r="C16" s="9" t="s">
        <v>147</v>
      </c>
      <c r="D16" s="9" t="s">
        <v>238</v>
      </c>
      <c r="E16" s="9" t="s">
        <v>239</v>
      </c>
      <c r="F16" s="9" t="s">
        <v>158</v>
      </c>
      <c r="H16" s="26">
        <v>-0.16032487421907213</v>
      </c>
      <c r="I16" s="20">
        <v>0.13360406184922677</v>
      </c>
      <c r="J16" s="17"/>
    </row>
    <row r="17" spans="1:22" s="21" customFormat="1" x14ac:dyDescent="0.25">
      <c r="C17" s="9" t="s">
        <v>147</v>
      </c>
      <c r="D17" s="21" t="s">
        <v>164</v>
      </c>
      <c r="E17" s="21" t="s">
        <v>165</v>
      </c>
      <c r="F17" s="9" t="s">
        <v>158</v>
      </c>
      <c r="G17" s="9"/>
      <c r="H17" s="26">
        <v>-0.41465719094563624</v>
      </c>
      <c r="I17" s="20">
        <v>0.34554765912136354</v>
      </c>
      <c r="J17" s="27"/>
      <c r="L17" s="9"/>
    </row>
    <row r="18" spans="1:22" s="21" customFormat="1" x14ac:dyDescent="0.25">
      <c r="C18" s="9" t="s">
        <v>147</v>
      </c>
      <c r="D18" s="21" t="s">
        <v>240</v>
      </c>
      <c r="E18" s="21" t="s">
        <v>241</v>
      </c>
      <c r="F18" s="9" t="s">
        <v>158</v>
      </c>
      <c r="G18" s="9"/>
      <c r="H18" s="26">
        <v>-0.45430079999999995</v>
      </c>
      <c r="I18" s="20">
        <v>0.37858399999999998</v>
      </c>
      <c r="J18" s="27"/>
      <c r="L18" s="9"/>
    </row>
    <row r="19" spans="1:22" s="21" customFormat="1" x14ac:dyDescent="0.25">
      <c r="C19" s="9" t="s">
        <v>147</v>
      </c>
      <c r="D19" s="21" t="s">
        <v>242</v>
      </c>
      <c r="E19" s="21" t="s">
        <v>205</v>
      </c>
      <c r="F19" s="9" t="s">
        <v>158</v>
      </c>
      <c r="G19" s="9"/>
      <c r="H19" s="26">
        <v>-0.2650855849817304</v>
      </c>
      <c r="I19" s="20">
        <v>0.13717030120481938</v>
      </c>
      <c r="J19" s="27"/>
      <c r="L19" s="9"/>
    </row>
    <row r="20" spans="1:22" s="21" customFormat="1" x14ac:dyDescent="0.25">
      <c r="C20" s="9" t="s">
        <v>147</v>
      </c>
      <c r="D20" s="21" t="s">
        <v>243</v>
      </c>
      <c r="E20" s="21" t="s">
        <v>244</v>
      </c>
      <c r="F20" s="9" t="s">
        <v>158</v>
      </c>
      <c r="G20" s="9"/>
      <c r="H20" s="26">
        <v>-0.23528816438554187</v>
      </c>
      <c r="I20" s="20">
        <v>0.19607347032128489</v>
      </c>
      <c r="J20" s="27"/>
      <c r="L20" s="9"/>
    </row>
    <row r="21" spans="1:22" s="21" customFormat="1" x14ac:dyDescent="0.25">
      <c r="C21" s="9" t="s">
        <v>147</v>
      </c>
      <c r="D21" s="21" t="s">
        <v>245</v>
      </c>
      <c r="E21" s="21" t="s">
        <v>246</v>
      </c>
      <c r="F21" s="9" t="s">
        <v>158</v>
      </c>
      <c r="G21" s="9"/>
      <c r="H21" s="26">
        <v>-0.25352999999999998</v>
      </c>
      <c r="I21" s="20">
        <v>0.21127499999999999</v>
      </c>
      <c r="J21" s="27"/>
      <c r="L21" s="9"/>
    </row>
    <row r="22" spans="1:22" s="21" customFormat="1" x14ac:dyDescent="0.25">
      <c r="C22" s="9" t="s">
        <v>147</v>
      </c>
      <c r="D22" s="21" t="s">
        <v>247</v>
      </c>
      <c r="E22" s="21" t="s">
        <v>198</v>
      </c>
      <c r="F22" s="9" t="s">
        <v>158</v>
      </c>
      <c r="G22" s="9"/>
      <c r="H22" s="26">
        <v>-0.324853</v>
      </c>
      <c r="I22" s="20">
        <v>0.324853</v>
      </c>
      <c r="J22" s="9"/>
      <c r="K22" s="9"/>
      <c r="L22" s="9"/>
      <c r="M22" s="9"/>
      <c r="N22" s="9"/>
      <c r="O22" s="9"/>
    </row>
    <row r="23" spans="1:22" s="21" customFormat="1" x14ac:dyDescent="0.25">
      <c r="C23" s="9" t="s">
        <v>147</v>
      </c>
      <c r="D23" s="21" t="s">
        <v>166</v>
      </c>
      <c r="E23" s="21" t="s">
        <v>167</v>
      </c>
      <c r="F23" s="9" t="s">
        <v>158</v>
      </c>
      <c r="G23" s="9"/>
      <c r="H23" s="26">
        <v>-0.61526000000000003</v>
      </c>
      <c r="I23" s="20">
        <v>0.37</v>
      </c>
      <c r="J23" s="9"/>
      <c r="K23" s="9"/>
      <c r="L23" s="9"/>
      <c r="M23" s="9"/>
      <c r="N23" s="9"/>
      <c r="O23" s="9"/>
    </row>
    <row r="24" spans="1:22" s="21" customFormat="1" x14ac:dyDescent="0.25">
      <c r="C24" s="9" t="s">
        <v>147</v>
      </c>
      <c r="D24" s="21" t="s">
        <v>248</v>
      </c>
      <c r="E24" s="21" t="s">
        <v>249</v>
      </c>
      <c r="F24" s="9" t="s">
        <v>158</v>
      </c>
      <c r="G24" s="9"/>
      <c r="H24" s="26">
        <v>-0.38897311256396749</v>
      </c>
      <c r="I24" s="20">
        <v>0.30740261463773022</v>
      </c>
      <c r="J24" s="9"/>
      <c r="K24" s="9"/>
      <c r="L24" s="9"/>
      <c r="M24" s="9"/>
      <c r="N24" s="9"/>
      <c r="O24" s="9"/>
    </row>
    <row r="25" spans="1:22" s="21" customFormat="1" x14ac:dyDescent="0.25">
      <c r="C25" s="9" t="s">
        <v>147</v>
      </c>
      <c r="D25" s="21" t="s">
        <v>250</v>
      </c>
      <c r="E25" s="21" t="s">
        <v>190</v>
      </c>
      <c r="F25" s="9" t="s">
        <v>158</v>
      </c>
      <c r="G25" s="9"/>
      <c r="H25" s="26">
        <v>-0.17499999999999999</v>
      </c>
      <c r="I25" s="20">
        <v>0.14583333333333334</v>
      </c>
      <c r="J25" s="9"/>
      <c r="K25" s="9"/>
      <c r="L25" s="9"/>
      <c r="M25" s="9"/>
      <c r="N25" s="9"/>
      <c r="O25" s="9"/>
    </row>
    <row r="26" spans="1:22" s="21" customFormat="1" x14ac:dyDescent="0.25">
      <c r="C26" s="9" t="s">
        <v>147</v>
      </c>
      <c r="D26" s="21" t="s">
        <v>251</v>
      </c>
      <c r="E26" s="21" t="s">
        <v>252</v>
      </c>
      <c r="F26" s="9" t="s">
        <v>158</v>
      </c>
      <c r="G26" s="9"/>
      <c r="H26" s="26">
        <v>-0.16800000000000001</v>
      </c>
      <c r="I26" s="20">
        <v>0.14299999999999999</v>
      </c>
      <c r="J26" s="9"/>
      <c r="K26" s="9"/>
      <c r="L26" s="9"/>
      <c r="M26" s="9"/>
      <c r="N26" s="9"/>
      <c r="O26" s="9"/>
    </row>
    <row r="27" spans="1:22" x14ac:dyDescent="0.25">
      <c r="C27" s="9" t="s">
        <v>147</v>
      </c>
      <c r="D27" s="9" t="s">
        <v>168</v>
      </c>
      <c r="E27" s="9" t="s">
        <v>169</v>
      </c>
      <c r="F27" s="9" t="s">
        <v>158</v>
      </c>
      <c r="H27" s="26">
        <v>-0.33</v>
      </c>
      <c r="I27" s="20">
        <v>0.22</v>
      </c>
    </row>
    <row r="28" spans="1:22" x14ac:dyDescent="0.25">
      <c r="C28" s="9" t="s">
        <v>147</v>
      </c>
      <c r="D28" s="9" t="s">
        <v>170</v>
      </c>
      <c r="E28" s="9" t="s">
        <v>171</v>
      </c>
      <c r="F28" s="9" t="s">
        <v>158</v>
      </c>
      <c r="H28" s="26">
        <v>-0.16674293013006877</v>
      </c>
      <c r="I28" s="20">
        <v>0.13895244177505731</v>
      </c>
    </row>
    <row r="29" spans="1:22" x14ac:dyDescent="0.25">
      <c r="H29" s="23"/>
      <c r="I29" s="23"/>
    </row>
    <row r="30" spans="1:22" x14ac:dyDescent="0.25">
      <c r="B30" s="4" t="s">
        <v>517</v>
      </c>
      <c r="H30" s="21"/>
      <c r="I30" s="21"/>
      <c r="J30" s="21"/>
    </row>
    <row r="32" spans="1:22" ht="13.8" x14ac:dyDescent="0.3">
      <c r="A32" s="8" t="s">
        <v>518</v>
      </c>
      <c r="B32" s="8"/>
      <c r="C32" s="8"/>
      <c r="D32" s="8"/>
      <c r="E32" s="8"/>
      <c r="F32" s="8"/>
      <c r="G32" s="8"/>
      <c r="H32" s="8"/>
      <c r="I32" s="8"/>
      <c r="J32" s="16"/>
      <c r="K32" s="8"/>
      <c r="L32" s="8"/>
      <c r="M32" s="8"/>
      <c r="N32" s="8"/>
      <c r="O32" s="8"/>
      <c r="P32" s="8"/>
      <c r="Q32" s="8"/>
      <c r="R32" s="8"/>
      <c r="S32" s="8"/>
      <c r="T32" s="8"/>
      <c r="U32" s="8"/>
      <c r="V32" s="8"/>
    </row>
    <row r="33" spans="1:10" x14ac:dyDescent="0.25">
      <c r="J33" s="17"/>
    </row>
    <row r="34" spans="1:10" ht="15" x14ac:dyDescent="0.35">
      <c r="A34" s="1" t="s">
        <v>513</v>
      </c>
      <c r="J34" s="17"/>
    </row>
    <row r="35" spans="1:10" x14ac:dyDescent="0.25">
      <c r="B35" s="4"/>
      <c r="J35" s="17"/>
    </row>
    <row r="36" spans="1:10" x14ac:dyDescent="0.25">
      <c r="C36" s="9" t="s">
        <v>220</v>
      </c>
      <c r="D36" s="9" t="s">
        <v>149</v>
      </c>
      <c r="E36" s="9" t="s">
        <v>150</v>
      </c>
      <c r="F36" s="9" t="s">
        <v>151</v>
      </c>
      <c r="H36" s="18" t="s">
        <v>514</v>
      </c>
      <c r="I36" s="18" t="s">
        <v>515</v>
      </c>
      <c r="J36" s="19"/>
    </row>
    <row r="37" spans="1:10" s="21" customFormat="1" x14ac:dyDescent="0.25">
      <c r="C37" s="21" t="s">
        <v>183</v>
      </c>
      <c r="D37" s="21" t="s">
        <v>253</v>
      </c>
      <c r="E37" s="21" t="s">
        <v>157</v>
      </c>
      <c r="F37" s="21" t="s">
        <v>254</v>
      </c>
      <c r="H37" s="26">
        <v>-0.44507805937219364</v>
      </c>
      <c r="I37" s="26">
        <v>0.29482900000000001</v>
      </c>
      <c r="J37" s="27"/>
    </row>
    <row r="38" spans="1:10" s="21" customFormat="1" x14ac:dyDescent="0.25">
      <c r="C38" s="21" t="s">
        <v>183</v>
      </c>
      <c r="D38" s="21" t="s">
        <v>257</v>
      </c>
      <c r="E38" s="21" t="s">
        <v>237</v>
      </c>
      <c r="F38" s="21" t="s">
        <v>254</v>
      </c>
      <c r="H38" s="26">
        <v>-2.2806479148166059E-3</v>
      </c>
      <c r="I38" s="26" t="s">
        <v>516</v>
      </c>
      <c r="J38" s="27"/>
    </row>
    <row r="39" spans="1:10" s="21" customFormat="1" x14ac:dyDescent="0.25">
      <c r="C39" s="21" t="s">
        <v>183</v>
      </c>
      <c r="D39" s="21" t="s">
        <v>185</v>
      </c>
      <c r="E39" s="21" t="s">
        <v>186</v>
      </c>
      <c r="F39" s="21" t="s">
        <v>254</v>
      </c>
      <c r="H39" s="26">
        <v>-0.36545699999999998</v>
      </c>
      <c r="I39" s="26">
        <v>0.29922500000000002</v>
      </c>
      <c r="J39" s="27"/>
    </row>
    <row r="40" spans="1:10" s="21" customFormat="1" x14ac:dyDescent="0.25">
      <c r="C40" s="21" t="s">
        <v>183</v>
      </c>
      <c r="D40" s="21" t="s">
        <v>258</v>
      </c>
      <c r="E40" s="21" t="s">
        <v>205</v>
      </c>
      <c r="F40" s="21" t="s">
        <v>254</v>
      </c>
      <c r="H40" s="26">
        <v>-0.31486213776073257</v>
      </c>
      <c r="I40" s="26">
        <v>0.27034329978749999</v>
      </c>
      <c r="J40" s="27"/>
    </row>
    <row r="41" spans="1:10" x14ac:dyDescent="0.25">
      <c r="C41" s="21" t="s">
        <v>183</v>
      </c>
      <c r="D41" s="9" t="s">
        <v>259</v>
      </c>
      <c r="E41" s="9" t="s">
        <v>198</v>
      </c>
      <c r="F41" s="21" t="s">
        <v>254</v>
      </c>
      <c r="G41" s="21"/>
      <c r="H41" s="26">
        <v>-0.61</v>
      </c>
      <c r="I41" s="26">
        <v>0.59653</v>
      </c>
      <c r="J41" s="27"/>
    </row>
    <row r="42" spans="1:10" x14ac:dyDescent="0.25">
      <c r="C42" s="21" t="s">
        <v>183</v>
      </c>
      <c r="D42" s="9" t="s">
        <v>260</v>
      </c>
      <c r="E42" s="9" t="s">
        <v>167</v>
      </c>
      <c r="F42" s="21" t="s">
        <v>254</v>
      </c>
      <c r="G42" s="21"/>
      <c r="H42" s="26">
        <v>-0.115</v>
      </c>
      <c r="I42" s="26" t="s">
        <v>516</v>
      </c>
      <c r="J42" s="27"/>
    </row>
    <row r="43" spans="1:10" x14ac:dyDescent="0.25">
      <c r="C43" s="21" t="s">
        <v>183</v>
      </c>
      <c r="D43" s="9" t="s">
        <v>261</v>
      </c>
      <c r="E43" s="9" t="s">
        <v>249</v>
      </c>
      <c r="F43" s="21" t="s">
        <v>254</v>
      </c>
      <c r="G43" s="21"/>
      <c r="H43" s="26">
        <v>-1.268370065</v>
      </c>
      <c r="I43" s="26" t="s">
        <v>516</v>
      </c>
      <c r="J43" s="27"/>
    </row>
    <row r="44" spans="1:10" x14ac:dyDescent="0.25">
      <c r="C44" s="21" t="s">
        <v>183</v>
      </c>
      <c r="D44" s="9" t="s">
        <v>189</v>
      </c>
      <c r="E44" s="9" t="s">
        <v>190</v>
      </c>
      <c r="F44" s="21" t="s">
        <v>254</v>
      </c>
      <c r="G44" s="21"/>
      <c r="H44" s="26">
        <v>-0.91199999999999992</v>
      </c>
      <c r="I44" s="26">
        <v>0.76</v>
      </c>
      <c r="J44" s="27"/>
    </row>
    <row r="45" spans="1:10" x14ac:dyDescent="0.25">
      <c r="C45" s="21" t="s">
        <v>183</v>
      </c>
      <c r="D45" s="9" t="s">
        <v>262</v>
      </c>
      <c r="E45" s="9" t="s">
        <v>252</v>
      </c>
      <c r="F45" s="21" t="s">
        <v>254</v>
      </c>
      <c r="G45" s="21"/>
      <c r="H45" s="26">
        <v>-0.21490000000000001</v>
      </c>
      <c r="I45" s="26">
        <v>0.17757064339258521</v>
      </c>
      <c r="J45" s="27"/>
    </row>
    <row r="46" spans="1:10" x14ac:dyDescent="0.25">
      <c r="C46" s="21" t="s">
        <v>183</v>
      </c>
      <c r="D46" s="9" t="s">
        <v>191</v>
      </c>
      <c r="E46" s="9" t="s">
        <v>169</v>
      </c>
      <c r="F46" s="21" t="s">
        <v>254</v>
      </c>
      <c r="G46" s="21"/>
      <c r="H46" s="26">
        <v>-0.27</v>
      </c>
      <c r="I46" s="26">
        <v>0.26</v>
      </c>
      <c r="J46" s="27"/>
    </row>
    <row r="47" spans="1:10" x14ac:dyDescent="0.25">
      <c r="C47" s="21" t="s">
        <v>183</v>
      </c>
      <c r="D47" s="9" t="s">
        <v>192</v>
      </c>
      <c r="E47" s="9" t="s">
        <v>171</v>
      </c>
      <c r="F47" s="21" t="s">
        <v>254</v>
      </c>
      <c r="G47" s="21"/>
      <c r="H47" s="26">
        <v>-0.68554846258380109</v>
      </c>
      <c r="I47" s="26">
        <v>0.43614199999999997</v>
      </c>
      <c r="J47" s="27"/>
    </row>
    <row r="49" spans="1:22" x14ac:dyDescent="0.25">
      <c r="B49" s="4" t="s">
        <v>517</v>
      </c>
      <c r="H49" s="21"/>
      <c r="I49" s="21"/>
      <c r="J49" s="21"/>
    </row>
    <row r="51" spans="1:22" ht="13.8" x14ac:dyDescent="0.3">
      <c r="A51" s="8" t="s">
        <v>196</v>
      </c>
      <c r="B51" s="8"/>
      <c r="C51" s="8"/>
      <c r="D51" s="8"/>
      <c r="E51" s="8"/>
      <c r="F51" s="8"/>
      <c r="G51" s="8"/>
      <c r="H51" s="8"/>
      <c r="I51" s="8"/>
      <c r="J51" s="16"/>
      <c r="K51" s="8"/>
      <c r="L51" s="8"/>
      <c r="M51" s="8"/>
      <c r="N51" s="8"/>
      <c r="O51" s="8"/>
      <c r="P51" s="8"/>
      <c r="Q51" s="8"/>
      <c r="R51" s="8"/>
      <c r="S51" s="8"/>
      <c r="T51" s="8"/>
      <c r="U51" s="8"/>
      <c r="V51" s="8"/>
    </row>
    <row r="52" spans="1:22" x14ac:dyDescent="0.25">
      <c r="J52" s="17"/>
    </row>
    <row r="53" spans="1:22" ht="15" x14ac:dyDescent="0.35">
      <c r="A53" s="1" t="s">
        <v>513</v>
      </c>
      <c r="J53" s="17"/>
    </row>
    <row r="54" spans="1:22" x14ac:dyDescent="0.25">
      <c r="B54" s="4"/>
      <c r="H54" s="18"/>
      <c r="I54" s="18"/>
      <c r="J54" s="17"/>
    </row>
    <row r="55" spans="1:22" ht="14.7" customHeight="1" x14ac:dyDescent="0.25">
      <c r="C55" s="9" t="s">
        <v>220</v>
      </c>
      <c r="D55" s="9" t="s">
        <v>149</v>
      </c>
      <c r="E55" s="9" t="s">
        <v>150</v>
      </c>
      <c r="F55" s="9" t="s">
        <v>151</v>
      </c>
      <c r="H55" s="18" t="s">
        <v>514</v>
      </c>
      <c r="I55" s="18" t="s">
        <v>515</v>
      </c>
      <c r="J55" s="19"/>
    </row>
    <row r="56" spans="1:22" x14ac:dyDescent="0.25">
      <c r="C56" s="9" t="s">
        <v>196</v>
      </c>
      <c r="D56" s="9" t="s">
        <v>263</v>
      </c>
      <c r="E56" s="9" t="s">
        <v>157</v>
      </c>
      <c r="F56" s="9" t="s">
        <v>264</v>
      </c>
      <c r="H56" s="26">
        <v>-21.121872</v>
      </c>
      <c r="I56" s="26">
        <v>10.99377</v>
      </c>
      <c r="J56" s="27"/>
    </row>
    <row r="57" spans="1:22" x14ac:dyDescent="0.25">
      <c r="C57" s="9" t="s">
        <v>196</v>
      </c>
      <c r="D57" s="9" t="s">
        <v>265</v>
      </c>
      <c r="E57" s="9" t="s">
        <v>237</v>
      </c>
      <c r="F57" s="9" t="s">
        <v>264</v>
      </c>
      <c r="H57" s="26">
        <v>-4.2526033440608985E-2</v>
      </c>
      <c r="I57" s="26">
        <v>3.5438361200507487E-2</v>
      </c>
      <c r="J57" s="27"/>
    </row>
    <row r="58" spans="1:22" x14ac:dyDescent="0.25">
      <c r="C58" s="9" t="s">
        <v>196</v>
      </c>
      <c r="D58" s="9" t="s">
        <v>266</v>
      </c>
      <c r="E58" s="9" t="s">
        <v>186</v>
      </c>
      <c r="F58" s="9" t="s">
        <v>264</v>
      </c>
      <c r="H58" s="26">
        <v>-3.2464995652173911</v>
      </c>
      <c r="I58" s="26">
        <v>2.5227556481149009</v>
      </c>
      <c r="J58" s="27"/>
    </row>
    <row r="59" spans="1:22" x14ac:dyDescent="0.25">
      <c r="C59" s="9" t="s">
        <v>196</v>
      </c>
      <c r="D59" s="9" t="s">
        <v>267</v>
      </c>
      <c r="E59" s="9" t="s">
        <v>205</v>
      </c>
      <c r="F59" s="9" t="s">
        <v>264</v>
      </c>
      <c r="H59" s="26">
        <v>-5.5566932043731132</v>
      </c>
      <c r="I59" s="26">
        <v>5.5566932043731132</v>
      </c>
      <c r="J59" s="27"/>
    </row>
    <row r="60" spans="1:22" s="21" customFormat="1" x14ac:dyDescent="0.25">
      <c r="C60" s="9" t="s">
        <v>196</v>
      </c>
      <c r="D60" s="21" t="s">
        <v>197</v>
      </c>
      <c r="E60" s="21" t="s">
        <v>198</v>
      </c>
      <c r="F60" s="9" t="s">
        <v>264</v>
      </c>
      <c r="G60" s="9"/>
      <c r="H60" s="26">
        <v>-22.602484</v>
      </c>
      <c r="I60" s="26">
        <v>18.72</v>
      </c>
      <c r="J60" s="27"/>
    </row>
    <row r="61" spans="1:22" s="21" customFormat="1" x14ac:dyDescent="0.25">
      <c r="C61" s="9" t="s">
        <v>196</v>
      </c>
      <c r="D61" s="21" t="s">
        <v>200</v>
      </c>
      <c r="E61" s="21" t="s">
        <v>167</v>
      </c>
      <c r="F61" s="9" t="s">
        <v>264</v>
      </c>
      <c r="G61" s="9"/>
      <c r="H61" s="26">
        <v>-9.512067</v>
      </c>
      <c r="I61" s="26">
        <v>3.52</v>
      </c>
      <c r="J61" s="27"/>
    </row>
    <row r="62" spans="1:22" s="21" customFormat="1" x14ac:dyDescent="0.25">
      <c r="C62" s="9" t="s">
        <v>196</v>
      </c>
      <c r="D62" s="21" t="s">
        <v>268</v>
      </c>
      <c r="E62" s="21" t="s">
        <v>249</v>
      </c>
      <c r="F62" s="9" t="s">
        <v>264</v>
      </c>
      <c r="G62" s="9"/>
      <c r="H62" s="26">
        <v>-21.6351925371604</v>
      </c>
      <c r="I62" s="26">
        <v>16.761600742208557</v>
      </c>
      <c r="J62" s="27"/>
    </row>
    <row r="63" spans="1:22" s="21" customFormat="1" x14ac:dyDescent="0.25">
      <c r="C63" s="9" t="s">
        <v>196</v>
      </c>
      <c r="D63" s="21" t="s">
        <v>269</v>
      </c>
      <c r="E63" s="21" t="s">
        <v>190</v>
      </c>
      <c r="F63" s="9" t="s">
        <v>264</v>
      </c>
      <c r="G63" s="9"/>
      <c r="H63" s="26">
        <v>-8.1017476145336094</v>
      </c>
      <c r="I63" s="26">
        <v>6.7514563454446748</v>
      </c>
      <c r="J63" s="27"/>
    </row>
    <row r="64" spans="1:22" s="21" customFormat="1" x14ac:dyDescent="0.25">
      <c r="C64" s="9" t="s">
        <v>196</v>
      </c>
      <c r="D64" s="21" t="s">
        <v>270</v>
      </c>
      <c r="E64" s="21" t="s">
        <v>252</v>
      </c>
      <c r="F64" s="9" t="s">
        <v>264</v>
      </c>
      <c r="G64" s="9"/>
      <c r="H64" s="26">
        <v>-5.1280720452093718</v>
      </c>
      <c r="I64" s="26">
        <v>4.2733933710078098</v>
      </c>
      <c r="J64" s="27"/>
      <c r="S64" s="29"/>
    </row>
    <row r="65" spans="1:22" s="21" customFormat="1" x14ac:dyDescent="0.25">
      <c r="C65" s="9" t="s">
        <v>196</v>
      </c>
      <c r="D65" s="21" t="s">
        <v>201</v>
      </c>
      <c r="E65" s="21" t="s">
        <v>169</v>
      </c>
      <c r="F65" s="9" t="s">
        <v>264</v>
      </c>
      <c r="G65" s="9"/>
      <c r="H65" s="26">
        <v>-6.827532603224201</v>
      </c>
      <c r="I65" s="26">
        <v>5.6896105026868344</v>
      </c>
      <c r="J65" s="27"/>
    </row>
    <row r="66" spans="1:22" s="21" customFormat="1" x14ac:dyDescent="0.25">
      <c r="C66" s="9" t="s">
        <v>196</v>
      </c>
      <c r="D66" s="21" t="s">
        <v>271</v>
      </c>
      <c r="E66" s="21" t="s">
        <v>171</v>
      </c>
      <c r="F66" s="9" t="s">
        <v>264</v>
      </c>
      <c r="G66" s="9"/>
      <c r="H66" s="26">
        <v>-8.4349380000000007</v>
      </c>
      <c r="I66" s="26">
        <v>8.4349380000000007</v>
      </c>
      <c r="J66" s="27"/>
    </row>
    <row r="68" spans="1:22" x14ac:dyDescent="0.25">
      <c r="B68" s="4" t="s">
        <v>517</v>
      </c>
      <c r="H68" s="21"/>
      <c r="I68" s="21"/>
      <c r="J68" s="21"/>
    </row>
    <row r="70" spans="1:22" ht="13.8" x14ac:dyDescent="0.3">
      <c r="A70" s="8" t="s">
        <v>519</v>
      </c>
      <c r="B70" s="8"/>
      <c r="C70" s="8"/>
      <c r="D70" s="8"/>
      <c r="E70" s="8"/>
      <c r="F70" s="8"/>
      <c r="G70" s="8"/>
      <c r="H70" s="8"/>
      <c r="I70" s="8"/>
      <c r="J70" s="16"/>
      <c r="K70" s="8"/>
      <c r="L70" s="8"/>
      <c r="M70" s="8"/>
      <c r="N70" s="8"/>
      <c r="O70" s="8"/>
      <c r="P70" s="8"/>
      <c r="Q70" s="8"/>
      <c r="R70" s="8"/>
      <c r="S70" s="8"/>
      <c r="T70" s="8"/>
      <c r="U70" s="8"/>
      <c r="V70" s="8"/>
    </row>
    <row r="71" spans="1:22" x14ac:dyDescent="0.25">
      <c r="J71" s="17"/>
    </row>
    <row r="72" spans="1:22" ht="15" x14ac:dyDescent="0.35">
      <c r="A72" s="1" t="s">
        <v>513</v>
      </c>
      <c r="J72" s="17"/>
    </row>
    <row r="73" spans="1:22" x14ac:dyDescent="0.25">
      <c r="B73" s="4"/>
      <c r="H73" s="18"/>
      <c r="I73" s="18"/>
      <c r="J73" s="17"/>
    </row>
    <row r="74" spans="1:22" x14ac:dyDescent="0.25">
      <c r="C74" s="9" t="s">
        <v>220</v>
      </c>
      <c r="D74" s="9" t="s">
        <v>149</v>
      </c>
      <c r="E74" s="9" t="s">
        <v>150</v>
      </c>
      <c r="F74" s="9" t="s">
        <v>151</v>
      </c>
      <c r="H74" s="18" t="s">
        <v>514</v>
      </c>
      <c r="I74" s="18" t="s">
        <v>515</v>
      </c>
      <c r="J74" s="19"/>
    </row>
    <row r="75" spans="1:22" x14ac:dyDescent="0.25">
      <c r="C75" s="9" t="s">
        <v>203</v>
      </c>
      <c r="D75" s="9" t="s">
        <v>272</v>
      </c>
      <c r="E75" s="9" t="s">
        <v>231</v>
      </c>
      <c r="F75" s="9" t="s">
        <v>206</v>
      </c>
      <c r="H75" s="20">
        <v>-0.288684</v>
      </c>
      <c r="I75" s="20">
        <v>0.272646</v>
      </c>
      <c r="J75" s="27"/>
    </row>
    <row r="76" spans="1:22" x14ac:dyDescent="0.25">
      <c r="C76" s="9" t="s">
        <v>203</v>
      </c>
      <c r="D76" s="9" t="s">
        <v>274</v>
      </c>
      <c r="E76" s="9" t="s">
        <v>157</v>
      </c>
      <c r="F76" s="9" t="s">
        <v>206</v>
      </c>
      <c r="H76" s="20">
        <v>-0.37383852103810566</v>
      </c>
      <c r="I76" s="20">
        <v>0.31153210086508809</v>
      </c>
      <c r="J76" s="27"/>
    </row>
    <row r="77" spans="1:22" x14ac:dyDescent="0.25">
      <c r="C77" s="9" t="s">
        <v>203</v>
      </c>
      <c r="D77" s="9" t="s">
        <v>275</v>
      </c>
      <c r="E77" s="9" t="s">
        <v>235</v>
      </c>
      <c r="F77" s="9" t="s">
        <v>206</v>
      </c>
      <c r="H77" s="20">
        <v>-6.6599999999999993E-2</v>
      </c>
      <c r="I77" s="20">
        <v>5.5500000000000001E-2</v>
      </c>
      <c r="J77" s="27"/>
    </row>
    <row r="78" spans="1:22" x14ac:dyDescent="0.25">
      <c r="C78" s="9" t="s">
        <v>203</v>
      </c>
      <c r="D78" s="9" t="s">
        <v>276</v>
      </c>
      <c r="E78" s="9" t="s">
        <v>237</v>
      </c>
      <c r="F78" s="9" t="s">
        <v>206</v>
      </c>
      <c r="H78" s="20">
        <v>-1.4206205790161779E-2</v>
      </c>
      <c r="I78" s="20" t="s">
        <v>516</v>
      </c>
      <c r="J78" s="27"/>
    </row>
    <row r="79" spans="1:22" x14ac:dyDescent="0.25">
      <c r="C79" s="9" t="s">
        <v>203</v>
      </c>
      <c r="D79" s="9" t="s">
        <v>277</v>
      </c>
      <c r="E79" s="9" t="s">
        <v>186</v>
      </c>
      <c r="F79" s="9" t="s">
        <v>206</v>
      </c>
      <c r="H79" s="20">
        <v>-0.19754099999999999</v>
      </c>
      <c r="I79" s="20">
        <v>0.17452699999999999</v>
      </c>
      <c r="J79" s="27"/>
    </row>
    <row r="80" spans="1:22" x14ac:dyDescent="0.25">
      <c r="C80" s="9" t="s">
        <v>203</v>
      </c>
      <c r="D80" s="9" t="s">
        <v>278</v>
      </c>
      <c r="E80" s="9" t="s">
        <v>239</v>
      </c>
      <c r="F80" s="9" t="s">
        <v>206</v>
      </c>
      <c r="H80" s="20">
        <v>-3.3277059072735177E-2</v>
      </c>
      <c r="I80" s="20">
        <v>2.7730882560612648E-2</v>
      </c>
      <c r="J80" s="27"/>
    </row>
    <row r="81" spans="1:22" x14ac:dyDescent="0.25">
      <c r="C81" s="9" t="s">
        <v>203</v>
      </c>
      <c r="D81" s="9" t="s">
        <v>279</v>
      </c>
      <c r="E81" s="9" t="s">
        <v>165</v>
      </c>
      <c r="F81" s="9" t="s">
        <v>206</v>
      </c>
      <c r="H81" s="20">
        <v>-8.7589890176559548E-2</v>
      </c>
      <c r="I81" s="20" t="s">
        <v>516</v>
      </c>
      <c r="J81" s="27"/>
    </row>
    <row r="82" spans="1:22" x14ac:dyDescent="0.25">
      <c r="C82" s="9" t="s">
        <v>203</v>
      </c>
      <c r="D82" s="9" t="s">
        <v>280</v>
      </c>
      <c r="E82" s="9" t="s">
        <v>241</v>
      </c>
      <c r="F82" s="9" t="s">
        <v>206</v>
      </c>
      <c r="H82" s="20">
        <v>-0.136069</v>
      </c>
      <c r="I82" s="20">
        <v>0.136069</v>
      </c>
      <c r="J82" s="27"/>
    </row>
    <row r="83" spans="1:22" x14ac:dyDescent="0.25">
      <c r="C83" s="9" t="s">
        <v>203</v>
      </c>
      <c r="D83" s="9" t="s">
        <v>204</v>
      </c>
      <c r="E83" s="9" t="s">
        <v>205</v>
      </c>
      <c r="F83" s="9" t="s">
        <v>206</v>
      </c>
      <c r="H83" s="20">
        <v>-0.17801600000000001</v>
      </c>
      <c r="I83" s="20">
        <v>7.0148181521278968E-2</v>
      </c>
      <c r="J83" s="27"/>
    </row>
    <row r="84" spans="1:22" x14ac:dyDescent="0.25">
      <c r="C84" s="9" t="s">
        <v>203</v>
      </c>
      <c r="D84" s="9" t="s">
        <v>281</v>
      </c>
      <c r="E84" s="21" t="s">
        <v>244</v>
      </c>
      <c r="F84" s="9" t="s">
        <v>206</v>
      </c>
      <c r="H84" s="20">
        <v>-0.169212</v>
      </c>
      <c r="I84" s="20">
        <v>0.12467300000000001</v>
      </c>
      <c r="J84" s="27"/>
    </row>
    <row r="85" spans="1:22" x14ac:dyDescent="0.25">
      <c r="C85" s="9" t="s">
        <v>203</v>
      </c>
      <c r="D85" s="9" t="s">
        <v>282</v>
      </c>
      <c r="E85" s="21" t="s">
        <v>246</v>
      </c>
      <c r="F85" s="9" t="s">
        <v>206</v>
      </c>
      <c r="H85" s="20">
        <v>-2.5426799999999999E-2</v>
      </c>
      <c r="I85" s="20">
        <v>2.1189E-2</v>
      </c>
      <c r="J85" s="27"/>
    </row>
    <row r="86" spans="1:22" x14ac:dyDescent="0.25">
      <c r="C86" s="9" t="s">
        <v>203</v>
      </c>
      <c r="D86" s="9" t="s">
        <v>283</v>
      </c>
      <c r="E86" s="9" t="s">
        <v>198</v>
      </c>
      <c r="F86" s="9" t="s">
        <v>206</v>
      </c>
      <c r="H86" s="20">
        <v>-0.35</v>
      </c>
      <c r="I86" s="20" t="s">
        <v>516</v>
      </c>
      <c r="J86" s="27"/>
    </row>
    <row r="87" spans="1:22" x14ac:dyDescent="0.25">
      <c r="C87" s="9" t="s">
        <v>203</v>
      </c>
      <c r="D87" s="9" t="s">
        <v>284</v>
      </c>
      <c r="E87" s="9" t="s">
        <v>167</v>
      </c>
      <c r="F87" s="9" t="s">
        <v>206</v>
      </c>
      <c r="H87" s="20">
        <v>-0.27890100000000001</v>
      </c>
      <c r="I87" s="20">
        <v>0.25594499999999998</v>
      </c>
      <c r="J87" s="27"/>
    </row>
    <row r="88" spans="1:22" x14ac:dyDescent="0.25">
      <c r="C88" s="9" t="s">
        <v>203</v>
      </c>
      <c r="D88" s="9" t="s">
        <v>285</v>
      </c>
      <c r="E88" s="9" t="s">
        <v>249</v>
      </c>
      <c r="F88" s="9" t="s">
        <v>206</v>
      </c>
      <c r="H88" s="20">
        <v>-0.69645276455626404</v>
      </c>
      <c r="I88" s="20">
        <v>0.76042332946621305</v>
      </c>
      <c r="J88" s="27"/>
    </row>
    <row r="89" spans="1:22" x14ac:dyDescent="0.25">
      <c r="C89" s="9" t="s">
        <v>203</v>
      </c>
      <c r="D89" s="9" t="s">
        <v>286</v>
      </c>
      <c r="E89" s="9" t="s">
        <v>190</v>
      </c>
      <c r="F89" s="9" t="s">
        <v>206</v>
      </c>
      <c r="H89" s="20">
        <v>-0.39582069873138659</v>
      </c>
      <c r="I89" s="20">
        <v>0.32985058227615549</v>
      </c>
      <c r="J89" s="27"/>
    </row>
    <row r="90" spans="1:22" x14ac:dyDescent="0.25">
      <c r="C90" s="9" t="s">
        <v>203</v>
      </c>
      <c r="D90" s="9" t="s">
        <v>287</v>
      </c>
      <c r="E90" s="9" t="s">
        <v>252</v>
      </c>
      <c r="F90" s="9" t="s">
        <v>206</v>
      </c>
      <c r="H90" s="20">
        <v>-0.13526329194974213</v>
      </c>
      <c r="I90" s="20" t="s">
        <v>516</v>
      </c>
      <c r="J90" s="27"/>
    </row>
    <row r="91" spans="1:22" x14ac:dyDescent="0.25">
      <c r="C91" s="9" t="s">
        <v>203</v>
      </c>
      <c r="D91" s="9" t="s">
        <v>207</v>
      </c>
      <c r="E91" s="9" t="s">
        <v>169</v>
      </c>
      <c r="F91" s="9" t="s">
        <v>206</v>
      </c>
      <c r="H91" s="20">
        <v>-0.13</v>
      </c>
      <c r="I91" s="20">
        <v>9.0999999999999998E-2</v>
      </c>
      <c r="J91" s="27"/>
    </row>
    <row r="92" spans="1:22" x14ac:dyDescent="0.25">
      <c r="C92" s="9" t="s">
        <v>203</v>
      </c>
      <c r="D92" s="9" t="s">
        <v>208</v>
      </c>
      <c r="E92" s="9" t="s">
        <v>171</v>
      </c>
      <c r="F92" s="9" t="s">
        <v>206</v>
      </c>
      <c r="H92" s="20">
        <v>-0.2220315041183199</v>
      </c>
      <c r="I92" s="20">
        <v>0.18502625343193327</v>
      </c>
      <c r="J92" s="27"/>
    </row>
    <row r="94" spans="1:22" x14ac:dyDescent="0.25">
      <c r="B94" s="4" t="s">
        <v>517</v>
      </c>
      <c r="H94" s="21"/>
      <c r="I94" s="21"/>
      <c r="J94" s="21"/>
    </row>
    <row r="96" spans="1:22" ht="13.8" x14ac:dyDescent="0.3">
      <c r="A96" s="8" t="s">
        <v>211</v>
      </c>
      <c r="B96" s="8"/>
      <c r="C96" s="8"/>
      <c r="D96" s="8"/>
      <c r="E96" s="8"/>
      <c r="F96" s="8"/>
      <c r="G96" s="8"/>
      <c r="H96" s="8"/>
      <c r="I96" s="8"/>
      <c r="J96" s="16"/>
      <c r="K96" s="8"/>
      <c r="L96" s="8"/>
      <c r="M96" s="8"/>
      <c r="N96" s="8"/>
      <c r="O96" s="8"/>
      <c r="P96" s="8"/>
      <c r="Q96" s="8"/>
      <c r="R96" s="8"/>
      <c r="S96" s="8"/>
      <c r="T96" s="8"/>
      <c r="U96" s="8"/>
      <c r="V96" s="8"/>
    </row>
    <row r="97" spans="1:10" x14ac:dyDescent="0.25">
      <c r="J97" s="17"/>
    </row>
    <row r="98" spans="1:10" ht="15" x14ac:dyDescent="0.35">
      <c r="A98" s="1" t="s">
        <v>513</v>
      </c>
      <c r="J98" s="17"/>
    </row>
    <row r="99" spans="1:10" x14ac:dyDescent="0.25">
      <c r="B99" s="4"/>
      <c r="H99" s="18"/>
      <c r="I99" s="18"/>
      <c r="J99" s="17"/>
    </row>
    <row r="100" spans="1:10" x14ac:dyDescent="0.25">
      <c r="C100" s="9" t="s">
        <v>220</v>
      </c>
      <c r="D100" s="9" t="s">
        <v>149</v>
      </c>
      <c r="E100" s="9" t="s">
        <v>150</v>
      </c>
      <c r="F100" s="9" t="s">
        <v>151</v>
      </c>
      <c r="H100" s="18" t="s">
        <v>514</v>
      </c>
      <c r="I100" s="18" t="s">
        <v>515</v>
      </c>
      <c r="J100" s="19"/>
    </row>
    <row r="101" spans="1:10" x14ac:dyDescent="0.25">
      <c r="C101" s="9" t="s">
        <v>211</v>
      </c>
      <c r="D101" s="9" t="s">
        <v>288</v>
      </c>
      <c r="E101" s="9" t="s">
        <v>231</v>
      </c>
      <c r="F101" s="9" t="s">
        <v>213</v>
      </c>
      <c r="H101" s="26">
        <v>-0.73920600000000003</v>
      </c>
      <c r="I101" s="26">
        <v>0.52488000000000001</v>
      </c>
      <c r="J101" s="27"/>
    </row>
    <row r="102" spans="1:10" x14ac:dyDescent="0.25">
      <c r="C102" s="9" t="s">
        <v>211</v>
      </c>
      <c r="D102" s="9" t="s">
        <v>290</v>
      </c>
      <c r="E102" s="9" t="s">
        <v>157</v>
      </c>
      <c r="F102" s="9" t="s">
        <v>213</v>
      </c>
      <c r="H102" s="26">
        <v>-1.8542443492122225</v>
      </c>
      <c r="I102" s="26">
        <v>1.1459994547071932</v>
      </c>
      <c r="J102" s="27"/>
    </row>
    <row r="103" spans="1:10" x14ac:dyDescent="0.25">
      <c r="C103" s="9" t="s">
        <v>211</v>
      </c>
      <c r="D103" s="9" t="s">
        <v>291</v>
      </c>
      <c r="E103" s="9" t="s">
        <v>235</v>
      </c>
      <c r="F103" s="9" t="s">
        <v>213</v>
      </c>
      <c r="H103" s="26">
        <v>-0.12223574192448639</v>
      </c>
      <c r="I103" s="26">
        <v>9.5310270357579358E-2</v>
      </c>
      <c r="J103" s="27"/>
    </row>
    <row r="104" spans="1:10" x14ac:dyDescent="0.25">
      <c r="C104" s="9" t="s">
        <v>211</v>
      </c>
      <c r="D104" s="9" t="s">
        <v>292</v>
      </c>
      <c r="E104" s="9" t="s">
        <v>237</v>
      </c>
      <c r="F104" s="9" t="s">
        <v>213</v>
      </c>
      <c r="H104" s="26">
        <v>-4.7874429211702894E-2</v>
      </c>
      <c r="I104" s="26" t="s">
        <v>516</v>
      </c>
      <c r="J104" s="27"/>
    </row>
    <row r="105" spans="1:10" x14ac:dyDescent="0.25">
      <c r="C105" s="9" t="s">
        <v>211</v>
      </c>
      <c r="D105" s="9" t="s">
        <v>212</v>
      </c>
      <c r="E105" s="9" t="s">
        <v>186</v>
      </c>
      <c r="F105" s="9" t="s">
        <v>213</v>
      </c>
      <c r="H105" s="26">
        <v>-1.4921089999999999</v>
      </c>
      <c r="I105" s="26">
        <v>1.0279830000000001</v>
      </c>
      <c r="J105" s="27"/>
    </row>
    <row r="106" spans="1:10" x14ac:dyDescent="0.25">
      <c r="C106" s="9" t="s">
        <v>211</v>
      </c>
      <c r="D106" s="9" t="s">
        <v>293</v>
      </c>
      <c r="E106" s="9" t="s">
        <v>239</v>
      </c>
      <c r="F106" s="9" t="s">
        <v>213</v>
      </c>
      <c r="H106" s="26">
        <v>-8.2741901143768753E-2</v>
      </c>
      <c r="I106" s="26">
        <v>6.8951584286473966E-2</v>
      </c>
      <c r="J106" s="27"/>
    </row>
    <row r="107" spans="1:10" x14ac:dyDescent="0.25">
      <c r="C107" s="9" t="s">
        <v>211</v>
      </c>
      <c r="D107" s="9" t="s">
        <v>214</v>
      </c>
      <c r="E107" s="9" t="s">
        <v>165</v>
      </c>
      <c r="F107" s="9" t="s">
        <v>213</v>
      </c>
      <c r="H107" s="26">
        <v>-0.1453120122808195</v>
      </c>
      <c r="I107" s="26">
        <v>0.12109334356734959</v>
      </c>
      <c r="J107" s="27"/>
    </row>
    <row r="108" spans="1:10" x14ac:dyDescent="0.25">
      <c r="C108" s="9" t="s">
        <v>211</v>
      </c>
      <c r="D108" s="9" t="s">
        <v>294</v>
      </c>
      <c r="E108" s="9" t="s">
        <v>241</v>
      </c>
      <c r="F108" s="9" t="s">
        <v>213</v>
      </c>
      <c r="H108" s="26">
        <v>-0.22846278176328716</v>
      </c>
      <c r="I108" s="26">
        <v>0.19038565146940598</v>
      </c>
      <c r="J108" s="27"/>
    </row>
    <row r="109" spans="1:10" x14ac:dyDescent="0.25">
      <c r="C109" s="9" t="s">
        <v>211</v>
      </c>
      <c r="D109" s="9" t="s">
        <v>295</v>
      </c>
      <c r="E109" s="9" t="s">
        <v>205</v>
      </c>
      <c r="F109" s="9" t="s">
        <v>213</v>
      </c>
      <c r="H109" s="26">
        <v>-0.33593013822550216</v>
      </c>
      <c r="I109" s="26">
        <v>0.24368991667372675</v>
      </c>
      <c r="J109" s="27"/>
    </row>
    <row r="110" spans="1:10" x14ac:dyDescent="0.25">
      <c r="C110" s="9" t="s">
        <v>211</v>
      </c>
      <c r="D110" s="9" t="s">
        <v>296</v>
      </c>
      <c r="E110" s="9" t="s">
        <v>297</v>
      </c>
      <c r="F110" s="9" t="s">
        <v>213</v>
      </c>
      <c r="H110" s="26">
        <v>-0.23689902563359455</v>
      </c>
      <c r="I110" s="26">
        <v>0.19741585469466214</v>
      </c>
      <c r="J110" s="27"/>
    </row>
    <row r="111" spans="1:10" x14ac:dyDescent="0.25">
      <c r="C111" s="9" t="s">
        <v>211</v>
      </c>
      <c r="D111" s="9" t="s">
        <v>298</v>
      </c>
      <c r="E111" s="9" t="s">
        <v>198</v>
      </c>
      <c r="F111" s="9" t="s">
        <v>213</v>
      </c>
      <c r="H111" s="26">
        <v>-1.081045</v>
      </c>
      <c r="I111" s="26">
        <v>1.081045</v>
      </c>
      <c r="J111" s="27"/>
    </row>
    <row r="112" spans="1:10" x14ac:dyDescent="0.25">
      <c r="C112" s="9" t="s">
        <v>211</v>
      </c>
      <c r="D112" s="9" t="s">
        <v>299</v>
      </c>
      <c r="E112" s="9" t="s">
        <v>167</v>
      </c>
      <c r="F112" s="9" t="s">
        <v>213</v>
      </c>
      <c r="H112" s="26">
        <v>-0.46142899999999998</v>
      </c>
      <c r="I112" s="26">
        <v>9.1619000000000006E-2</v>
      </c>
      <c r="J112" s="27"/>
    </row>
    <row r="113" spans="1:22" x14ac:dyDescent="0.25">
      <c r="C113" s="9" t="s">
        <v>211</v>
      </c>
      <c r="D113" s="9" t="s">
        <v>300</v>
      </c>
      <c r="E113" s="9" t="s">
        <v>249</v>
      </c>
      <c r="F113" s="9" t="s">
        <v>213</v>
      </c>
      <c r="H113" s="26">
        <v>-1.863674088113809</v>
      </c>
      <c r="I113" s="26">
        <v>1.414577327915159</v>
      </c>
      <c r="J113" s="27"/>
    </row>
    <row r="114" spans="1:22" x14ac:dyDescent="0.25">
      <c r="C114" s="9" t="s">
        <v>211</v>
      </c>
      <c r="D114" s="9" t="s">
        <v>301</v>
      </c>
      <c r="E114" s="9" t="s">
        <v>190</v>
      </c>
      <c r="F114" s="9" t="s">
        <v>213</v>
      </c>
      <c r="H114" s="26">
        <v>-1.123657441554982</v>
      </c>
      <c r="I114" s="26">
        <v>0.93638120129581837</v>
      </c>
      <c r="J114" s="27"/>
    </row>
    <row r="115" spans="1:22" x14ac:dyDescent="0.25">
      <c r="C115" s="9" t="s">
        <v>211</v>
      </c>
      <c r="D115" s="9" t="s">
        <v>302</v>
      </c>
      <c r="E115" s="9" t="s">
        <v>252</v>
      </c>
      <c r="F115" s="9" t="s">
        <v>213</v>
      </c>
      <c r="H115" s="26">
        <v>-0.73232573674573176</v>
      </c>
      <c r="I115" s="26">
        <v>0.61027144728810978</v>
      </c>
      <c r="J115" s="27"/>
    </row>
    <row r="116" spans="1:22" x14ac:dyDescent="0.25">
      <c r="C116" s="9" t="s">
        <v>211</v>
      </c>
      <c r="D116" s="9" t="s">
        <v>215</v>
      </c>
      <c r="E116" s="9" t="s">
        <v>169</v>
      </c>
      <c r="F116" s="9" t="s">
        <v>213</v>
      </c>
      <c r="H116" s="26">
        <v>-0.16816415480050248</v>
      </c>
      <c r="I116" s="26">
        <v>0.1401367956670854</v>
      </c>
      <c r="J116" s="27"/>
    </row>
    <row r="117" spans="1:22" x14ac:dyDescent="0.25">
      <c r="C117" s="9" t="s">
        <v>211</v>
      </c>
      <c r="D117" s="9" t="s">
        <v>216</v>
      </c>
      <c r="E117" s="9" t="s">
        <v>171</v>
      </c>
      <c r="F117" s="9" t="s">
        <v>213</v>
      </c>
      <c r="H117" s="26">
        <v>-1.4823803962344111</v>
      </c>
      <c r="I117" s="26">
        <v>1.2353169968620092</v>
      </c>
      <c r="J117" s="27"/>
    </row>
    <row r="119" spans="1:22" x14ac:dyDescent="0.25">
      <c r="B119" s="4" t="s">
        <v>517</v>
      </c>
      <c r="H119" s="21"/>
      <c r="I119" s="21"/>
      <c r="J119" s="21"/>
    </row>
    <row r="121" spans="1:22" ht="13.8" x14ac:dyDescent="0.3">
      <c r="A121" s="10" t="s">
        <v>22</v>
      </c>
      <c r="B121" s="10"/>
      <c r="C121" s="10"/>
      <c r="D121" s="10"/>
      <c r="E121" s="10"/>
      <c r="F121" s="10"/>
      <c r="G121" s="10"/>
      <c r="H121" s="10"/>
      <c r="I121" s="10"/>
      <c r="J121" s="10"/>
      <c r="K121" s="10"/>
      <c r="L121" s="10"/>
      <c r="M121" s="10"/>
      <c r="N121" s="10"/>
      <c r="O121" s="10"/>
      <c r="P121" s="10"/>
      <c r="Q121" s="10"/>
      <c r="R121" s="10"/>
      <c r="S121" s="10"/>
      <c r="T121" s="10"/>
      <c r="U121" s="10"/>
      <c r="V121" s="1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workbookViewId="0">
      <pane ySplit="1" topLeftCell="A2" activePane="bottomLeft" state="frozen"/>
      <selection pane="bottomLeft" activeCell="A2" sqref="A2"/>
    </sheetView>
  </sheetViews>
  <sheetFormatPr defaultColWidth="9" defaultRowHeight="13.2" x14ac:dyDescent="0.25"/>
  <cols>
    <col min="1" max="4" width="2.77734375" style="9" customWidth="1"/>
    <col min="5" max="5" width="44.109375" style="9" customWidth="1"/>
    <col min="6" max="6" width="2.77734375" style="9" customWidth="1"/>
    <col min="7" max="7" width="34.77734375" style="9" customWidth="1"/>
    <col min="8" max="8" width="2.77734375" style="9" customWidth="1"/>
    <col min="9" max="9" width="40.21875" style="9" customWidth="1"/>
    <col min="10" max="10" width="2.77734375" style="9" customWidth="1"/>
    <col min="11" max="11" width="24" style="9" customWidth="1"/>
    <col min="12" max="16384" width="9" style="9"/>
  </cols>
  <sheetData>
    <row r="1" spans="1:11" ht="30" x14ac:dyDescent="0.5">
      <c r="A1" s="3" t="str">
        <f ca="1" xml:space="preserve"> RIGHT(CELL("filename", $A$1), LEN(CELL("filename", $A$1)) - SEARCH("]", CELL("filename", $A$1)))</f>
        <v>Style Guide</v>
      </c>
      <c r="B1" s="3"/>
      <c r="C1" s="3"/>
      <c r="D1" s="3"/>
      <c r="E1" s="3"/>
      <c r="F1" s="3"/>
      <c r="G1" s="3"/>
      <c r="H1" s="3"/>
      <c r="I1" s="3"/>
      <c r="J1" s="3"/>
      <c r="K1" s="3"/>
    </row>
    <row r="3" spans="1:11" ht="15" x14ac:dyDescent="0.35">
      <c r="A3" s="85" t="s">
        <v>23</v>
      </c>
      <c r="I3" s="1" t="s">
        <v>24</v>
      </c>
      <c r="K3" s="1" t="s">
        <v>25</v>
      </c>
    </row>
    <row r="5" spans="1:11" ht="13.8" x14ac:dyDescent="0.3">
      <c r="B5" s="2" t="s">
        <v>26</v>
      </c>
    </row>
    <row r="6" spans="1:11" x14ac:dyDescent="0.25">
      <c r="E6" s="7" t="s">
        <v>27</v>
      </c>
      <c r="G6" s="9" t="s">
        <v>28</v>
      </c>
      <c r="I6" s="9" t="s">
        <v>29</v>
      </c>
      <c r="K6" s="9" t="s">
        <v>17</v>
      </c>
    </row>
    <row r="7" spans="1:11" x14ac:dyDescent="0.25">
      <c r="I7" s="9" t="s">
        <v>30</v>
      </c>
    </row>
    <row r="8" spans="1:11" x14ac:dyDescent="0.25">
      <c r="E8" s="86" t="s">
        <v>31</v>
      </c>
      <c r="G8" s="9" t="s">
        <v>32</v>
      </c>
      <c r="I8" s="9" t="s">
        <v>33</v>
      </c>
      <c r="K8" s="9" t="s">
        <v>17</v>
      </c>
    </row>
    <row r="9" spans="1:11" x14ac:dyDescent="0.25">
      <c r="I9" s="9" t="s">
        <v>34</v>
      </c>
    </row>
    <row r="10" spans="1:11" x14ac:dyDescent="0.25">
      <c r="E10" s="87" t="s">
        <v>35</v>
      </c>
      <c r="G10" s="9" t="s">
        <v>36</v>
      </c>
      <c r="I10" s="9" t="s">
        <v>37</v>
      </c>
      <c r="K10" s="9" t="s">
        <v>17</v>
      </c>
    </row>
    <row r="12" spans="1:11" x14ac:dyDescent="0.25">
      <c r="E12" s="9" t="s">
        <v>38</v>
      </c>
    </row>
    <row r="13" spans="1:11" x14ac:dyDescent="0.25">
      <c r="E13" s="9" t="s">
        <v>39</v>
      </c>
    </row>
    <row r="15" spans="1:11" x14ac:dyDescent="0.25">
      <c r="E15" s="4" t="s">
        <v>40</v>
      </c>
      <c r="G15" s="9" t="s">
        <v>41</v>
      </c>
      <c r="I15" s="9" t="s">
        <v>42</v>
      </c>
      <c r="K15" s="9" t="s">
        <v>17</v>
      </c>
    </row>
    <row r="16" spans="1:11" x14ac:dyDescent="0.25">
      <c r="I16" s="9" t="s">
        <v>43</v>
      </c>
    </row>
    <row r="17" spans="2:11" ht="13.8" x14ac:dyDescent="0.3">
      <c r="B17" s="2" t="s">
        <v>44</v>
      </c>
    </row>
    <row r="18" spans="2:11" x14ac:dyDescent="0.25">
      <c r="E18" s="6" t="s">
        <v>45</v>
      </c>
      <c r="G18" s="9" t="s">
        <v>46</v>
      </c>
      <c r="I18" s="9" t="s">
        <v>37</v>
      </c>
      <c r="K18" s="9" t="s">
        <v>47</v>
      </c>
    </row>
    <row r="19" spans="2:11" x14ac:dyDescent="0.25">
      <c r="K19" s="9" t="s">
        <v>48</v>
      </c>
    </row>
    <row r="20" spans="2:11" x14ac:dyDescent="0.25">
      <c r="E20" s="88" t="s">
        <v>49</v>
      </c>
      <c r="G20" s="9" t="s">
        <v>50</v>
      </c>
      <c r="I20" s="9" t="s">
        <v>37</v>
      </c>
      <c r="K20" s="9" t="s">
        <v>51</v>
      </c>
    </row>
    <row r="21" spans="2:11" x14ac:dyDescent="0.25">
      <c r="K21" s="9" t="s">
        <v>52</v>
      </c>
    </row>
    <row r="22" spans="2:11" x14ac:dyDescent="0.25">
      <c r="E22" s="89" t="s">
        <v>53</v>
      </c>
      <c r="G22" s="9" t="s">
        <v>54</v>
      </c>
      <c r="I22" s="9" t="s">
        <v>29</v>
      </c>
      <c r="K22" s="9" t="s">
        <v>51</v>
      </c>
    </row>
    <row r="23" spans="2:11" x14ac:dyDescent="0.25">
      <c r="I23" s="9" t="s">
        <v>30</v>
      </c>
      <c r="K23" s="9" t="s">
        <v>52</v>
      </c>
    </row>
    <row r="24" spans="2:11" x14ac:dyDescent="0.25">
      <c r="E24" s="90" t="s">
        <v>55</v>
      </c>
      <c r="G24" s="9" t="s">
        <v>56</v>
      </c>
      <c r="I24" s="9" t="s">
        <v>37</v>
      </c>
      <c r="K24" s="9" t="s">
        <v>57</v>
      </c>
    </row>
    <row r="25" spans="2:11" x14ac:dyDescent="0.25">
      <c r="K25" s="9" t="s">
        <v>58</v>
      </c>
    </row>
    <row r="26" spans="2:11" ht="13.8" x14ac:dyDescent="0.3">
      <c r="E26" s="5" t="s">
        <v>59</v>
      </c>
      <c r="G26" s="9" t="s">
        <v>60</v>
      </c>
      <c r="I26" s="9" t="s">
        <v>61</v>
      </c>
      <c r="K26" s="9" t="s">
        <v>62</v>
      </c>
    </row>
    <row r="27" spans="2:11" x14ac:dyDescent="0.25">
      <c r="K27" s="9" t="s">
        <v>63</v>
      </c>
    </row>
    <row r="28" spans="2:11" x14ac:dyDescent="0.25">
      <c r="E28" s="91">
        <v>0</v>
      </c>
      <c r="G28" s="9" t="s">
        <v>64</v>
      </c>
      <c r="I28" s="9" t="s">
        <v>65</v>
      </c>
      <c r="K28" s="9" t="s">
        <v>66</v>
      </c>
    </row>
    <row r="29" spans="2:11" x14ac:dyDescent="0.25">
      <c r="K29" s="9" t="s">
        <v>67</v>
      </c>
    </row>
    <row r="30" spans="2:11" x14ac:dyDescent="0.25">
      <c r="E30" s="9" t="s">
        <v>68</v>
      </c>
      <c r="K30" s="9" t="s">
        <v>62</v>
      </c>
    </row>
    <row r="31" spans="2:11" x14ac:dyDescent="0.25">
      <c r="K31" s="9" t="s">
        <v>63</v>
      </c>
    </row>
    <row r="32" spans="2:11" ht="13.8" x14ac:dyDescent="0.3">
      <c r="B32" s="2" t="s">
        <v>69</v>
      </c>
    </row>
    <row r="33" spans="1:11" x14ac:dyDescent="0.25">
      <c r="E33" s="92" t="s">
        <v>70</v>
      </c>
      <c r="G33" s="9" t="s">
        <v>71</v>
      </c>
      <c r="I33" s="9" t="s">
        <v>17</v>
      </c>
      <c r="K33" s="9" t="s">
        <v>51</v>
      </c>
    </row>
    <row r="34" spans="1:11" x14ac:dyDescent="0.25">
      <c r="K34" s="9" t="s">
        <v>52</v>
      </c>
    </row>
    <row r="35" spans="1:11" ht="13.8" x14ac:dyDescent="0.3">
      <c r="E35" s="8" t="s">
        <v>72</v>
      </c>
      <c r="G35" s="9" t="s">
        <v>73</v>
      </c>
      <c r="I35" s="9" t="s">
        <v>74</v>
      </c>
      <c r="K35" s="9" t="s">
        <v>75</v>
      </c>
    </row>
    <row r="36" spans="1:11" x14ac:dyDescent="0.25">
      <c r="I36" s="9" t="s">
        <v>30</v>
      </c>
      <c r="K36" s="9" t="s">
        <v>76</v>
      </c>
    </row>
    <row r="37" spans="1:11" ht="13.8" x14ac:dyDescent="0.3">
      <c r="E37" s="10" t="s">
        <v>77</v>
      </c>
      <c r="G37" s="9" t="s">
        <v>78</v>
      </c>
      <c r="I37" s="9" t="s">
        <v>61</v>
      </c>
      <c r="K37" s="9" t="s">
        <v>79</v>
      </c>
    </row>
    <row r="38" spans="1:11" x14ac:dyDescent="0.25">
      <c r="K38" s="9" t="s">
        <v>80</v>
      </c>
    </row>
    <row r="39" spans="1:11" ht="13.8" x14ac:dyDescent="0.3">
      <c r="B39" s="2" t="s">
        <v>81</v>
      </c>
    </row>
    <row r="41" spans="1:11" x14ac:dyDescent="0.25">
      <c r="E41" s="93" t="s">
        <v>82</v>
      </c>
      <c r="G41" s="9" t="s">
        <v>83</v>
      </c>
      <c r="I41" s="9" t="s">
        <v>37</v>
      </c>
      <c r="K41" s="9" t="s">
        <v>84</v>
      </c>
    </row>
    <row r="42" spans="1:11" x14ac:dyDescent="0.25">
      <c r="K42" s="9" t="s">
        <v>85</v>
      </c>
    </row>
    <row r="43" spans="1:11" ht="15" x14ac:dyDescent="0.35">
      <c r="A43" s="1" t="s">
        <v>86</v>
      </c>
    </row>
    <row r="45" spans="1:11" x14ac:dyDescent="0.25">
      <c r="E45" s="94" t="s">
        <v>87</v>
      </c>
      <c r="G45" s="9" t="s">
        <v>88</v>
      </c>
      <c r="K45" s="9" t="s">
        <v>47</v>
      </c>
    </row>
    <row r="46" spans="1:11" x14ac:dyDescent="0.25">
      <c r="K46" s="9" t="s">
        <v>48</v>
      </c>
    </row>
    <row r="47" spans="1:11" x14ac:dyDescent="0.25">
      <c r="E47" s="95" t="s">
        <v>89</v>
      </c>
      <c r="G47" s="9" t="s">
        <v>90</v>
      </c>
      <c r="K47" s="9" t="s">
        <v>51</v>
      </c>
    </row>
    <row r="48" spans="1:11" x14ac:dyDescent="0.25">
      <c r="K48" s="9" t="s">
        <v>52</v>
      </c>
    </row>
    <row r="49" spans="1:11" x14ac:dyDescent="0.25">
      <c r="E49" s="96" t="s">
        <v>91</v>
      </c>
      <c r="G49" s="9" t="s">
        <v>92</v>
      </c>
      <c r="K49" s="9" t="s">
        <v>57</v>
      </c>
    </row>
    <row r="50" spans="1:11" x14ac:dyDescent="0.25">
      <c r="K50" s="9" t="s">
        <v>58</v>
      </c>
    </row>
    <row r="51" spans="1:11" x14ac:dyDescent="0.25">
      <c r="E51" s="97" t="s">
        <v>93</v>
      </c>
      <c r="G51" s="9" t="s">
        <v>94</v>
      </c>
      <c r="K51" s="9" t="s">
        <v>62</v>
      </c>
    </row>
    <row r="52" spans="1:11" x14ac:dyDescent="0.25">
      <c r="K52" s="9" t="s">
        <v>63</v>
      </c>
    </row>
    <row r="53" spans="1:11" x14ac:dyDescent="0.25">
      <c r="E53" s="98" t="s">
        <v>95</v>
      </c>
      <c r="G53" s="9" t="s">
        <v>96</v>
      </c>
      <c r="K53" s="9" t="s">
        <v>97</v>
      </c>
    </row>
    <row r="54" spans="1:11" x14ac:dyDescent="0.25">
      <c r="K54" s="9" t="s">
        <v>98</v>
      </c>
    </row>
    <row r="55" spans="1:11" x14ac:dyDescent="0.25">
      <c r="E55" s="99" t="s">
        <v>99</v>
      </c>
      <c r="G55" s="9" t="s">
        <v>100</v>
      </c>
      <c r="K55" s="9" t="s">
        <v>66</v>
      </c>
    </row>
    <row r="56" spans="1:11" x14ac:dyDescent="0.25">
      <c r="K56" s="9" t="s">
        <v>67</v>
      </c>
    </row>
    <row r="58" spans="1:11" ht="13.8" x14ac:dyDescent="0.3">
      <c r="A58" s="10" t="s">
        <v>22</v>
      </c>
      <c r="B58" s="10"/>
      <c r="C58" s="10"/>
      <c r="D58" s="10"/>
      <c r="E58" s="10"/>
      <c r="F58" s="10"/>
      <c r="G58" s="10"/>
      <c r="H58" s="10"/>
      <c r="I58" s="10"/>
      <c r="J58" s="10"/>
      <c r="K58" s="10"/>
    </row>
  </sheetData>
  <conditionalFormatting sqref="E28">
    <cfRule type="cellIs" dxfId="0" priority="1" operator="equal">
      <formula>0</formula>
    </cfRule>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CEABF"/>
  </sheetPr>
  <dimension ref="A1:W121"/>
  <sheetViews>
    <sheetView zoomScaleNormal="100" workbookViewId="0">
      <pane ySplit="1" topLeftCell="A2" activePane="bottomLeft" state="frozen"/>
      <selection pane="bottomLeft" activeCell="A2" sqref="A2"/>
    </sheetView>
  </sheetViews>
  <sheetFormatPr defaultColWidth="9" defaultRowHeight="13.2" x14ac:dyDescent="0.25"/>
  <cols>
    <col min="1" max="2" width="2.77734375" style="9" customWidth="1"/>
    <col min="3" max="3" width="27.21875" style="9" customWidth="1"/>
    <col min="4" max="4" width="16.21875" style="9" bestFit="1" customWidth="1"/>
    <col min="5" max="5" width="31.88671875" style="9" bestFit="1" customWidth="1"/>
    <col min="6" max="6" width="2.77734375" style="9" customWidth="1"/>
    <col min="7" max="7" width="22" style="9" bestFit="1" customWidth="1"/>
    <col min="8" max="8" width="21" style="9" customWidth="1"/>
    <col min="9" max="16384" width="9" style="9"/>
  </cols>
  <sheetData>
    <row r="1" spans="1:23" ht="30" x14ac:dyDescent="0.5">
      <c r="A1" s="3" t="s">
        <v>520</v>
      </c>
      <c r="B1" s="3"/>
      <c r="C1" s="3"/>
      <c r="D1" s="3"/>
      <c r="E1" s="3"/>
      <c r="F1" s="3"/>
      <c r="G1" s="3"/>
      <c r="H1" s="3"/>
      <c r="I1" s="3"/>
      <c r="J1" s="3"/>
      <c r="K1" s="3"/>
      <c r="L1" s="3"/>
      <c r="M1" s="3"/>
      <c r="N1" s="3"/>
      <c r="O1" s="3"/>
      <c r="P1" s="3"/>
      <c r="Q1" s="3"/>
      <c r="R1" s="3"/>
      <c r="S1" s="3"/>
      <c r="T1" s="3"/>
      <c r="U1" s="3"/>
      <c r="V1" s="3"/>
      <c r="W1" s="3"/>
    </row>
    <row r="2" spans="1:23" customFormat="1" x14ac:dyDescent="0.25">
      <c r="A2" s="9"/>
      <c r="B2" s="9"/>
      <c r="C2" s="9"/>
      <c r="D2" s="9"/>
      <c r="E2" s="9"/>
      <c r="F2" s="9"/>
      <c r="G2" s="9"/>
      <c r="H2" s="9"/>
      <c r="I2" s="9"/>
      <c r="J2" s="9"/>
      <c r="K2" s="9"/>
      <c r="L2" s="9"/>
      <c r="M2" s="9"/>
      <c r="N2" s="9"/>
      <c r="O2" s="9"/>
      <c r="P2" s="9"/>
      <c r="Q2" s="9"/>
      <c r="R2" s="9"/>
      <c r="S2" s="9"/>
      <c r="T2" s="9"/>
      <c r="U2" s="9"/>
      <c r="V2" s="9"/>
      <c r="W2" s="9"/>
    </row>
    <row r="3" spans="1:23" customFormat="1" x14ac:dyDescent="0.25">
      <c r="A3" s="9"/>
      <c r="B3" s="4" t="s">
        <v>521</v>
      </c>
      <c r="C3" s="9"/>
      <c r="D3" s="9"/>
      <c r="E3" s="9"/>
      <c r="F3" s="9"/>
      <c r="G3" s="9"/>
      <c r="H3" s="9"/>
      <c r="I3" s="9"/>
      <c r="J3" s="9"/>
      <c r="K3" s="9"/>
      <c r="L3" s="9"/>
      <c r="M3" s="9"/>
      <c r="N3" s="9"/>
      <c r="O3" s="9"/>
      <c r="P3" s="9"/>
      <c r="Q3" s="9"/>
      <c r="R3" s="9"/>
      <c r="S3" s="9"/>
      <c r="T3" s="9"/>
      <c r="U3" s="9"/>
      <c r="V3" s="9"/>
      <c r="W3" s="9"/>
    </row>
    <row r="5" spans="1:23" ht="13.8" x14ac:dyDescent="0.3">
      <c r="A5" s="8" t="s">
        <v>147</v>
      </c>
      <c r="B5" s="8"/>
      <c r="C5" s="8"/>
      <c r="D5" s="8"/>
      <c r="E5" s="8"/>
      <c r="F5" s="8"/>
      <c r="G5" s="8"/>
      <c r="H5" s="8"/>
      <c r="I5" s="16"/>
      <c r="J5" s="8"/>
      <c r="K5" s="8"/>
      <c r="L5" s="8"/>
      <c r="M5" s="8"/>
      <c r="N5" s="8"/>
      <c r="O5" s="8"/>
      <c r="P5" s="8"/>
      <c r="Q5" s="8"/>
      <c r="R5" s="8"/>
      <c r="S5" s="8"/>
      <c r="T5" s="8"/>
      <c r="U5" s="8"/>
      <c r="V5" s="8"/>
      <c r="W5" s="8"/>
    </row>
    <row r="6" spans="1:23" x14ac:dyDescent="0.25">
      <c r="I6" s="17"/>
    </row>
    <row r="7" spans="1:23" ht="15" x14ac:dyDescent="0.35">
      <c r="A7" s="1" t="s">
        <v>522</v>
      </c>
      <c r="I7" s="17"/>
    </row>
    <row r="8" spans="1:23" x14ac:dyDescent="0.25">
      <c r="B8" s="4"/>
      <c r="I8" s="17"/>
    </row>
    <row r="9" spans="1:23" ht="39.6" x14ac:dyDescent="0.25">
      <c r="B9" s="4"/>
      <c r="G9" s="18" t="s">
        <v>523</v>
      </c>
      <c r="H9" s="18" t="s">
        <v>524</v>
      </c>
      <c r="I9" s="17"/>
    </row>
    <row r="10" spans="1:23" x14ac:dyDescent="0.25">
      <c r="C10" s="9" t="s">
        <v>149</v>
      </c>
      <c r="D10" s="9" t="s">
        <v>150</v>
      </c>
      <c r="E10" s="9" t="s">
        <v>151</v>
      </c>
      <c r="I10" s="19"/>
    </row>
    <row r="11" spans="1:23" x14ac:dyDescent="0.25">
      <c r="C11" s="9" t="s">
        <v>230</v>
      </c>
      <c r="D11" s="9" t="s">
        <v>231</v>
      </c>
      <c r="E11" s="9" t="s">
        <v>158</v>
      </c>
      <c r="G11" s="26"/>
      <c r="H11" s="20"/>
      <c r="I11" s="17"/>
    </row>
    <row r="12" spans="1:23" x14ac:dyDescent="0.25">
      <c r="C12" s="9" t="s">
        <v>156</v>
      </c>
      <c r="D12" s="9" t="s">
        <v>157</v>
      </c>
      <c r="E12" s="9" t="s">
        <v>158</v>
      </c>
      <c r="G12" s="26">
        <v>-1.5661119999999999</v>
      </c>
      <c r="H12" s="20">
        <v>0.94103499999999995</v>
      </c>
      <c r="I12" s="17"/>
    </row>
    <row r="13" spans="1:23" x14ac:dyDescent="0.25">
      <c r="C13" s="9" t="s">
        <v>234</v>
      </c>
      <c r="D13" s="9" t="s">
        <v>235</v>
      </c>
      <c r="E13" s="9" t="s">
        <v>158</v>
      </c>
      <c r="G13" s="26"/>
      <c r="H13" s="20"/>
      <c r="I13" s="17"/>
    </row>
    <row r="14" spans="1:23" x14ac:dyDescent="0.25">
      <c r="C14" s="9" t="s">
        <v>236</v>
      </c>
      <c r="D14" s="9" t="s">
        <v>237</v>
      </c>
      <c r="E14" s="9" t="s">
        <v>158</v>
      </c>
      <c r="G14" s="26"/>
      <c r="H14" s="20"/>
      <c r="I14" s="17"/>
    </row>
    <row r="15" spans="1:23" s="21" customFormat="1" x14ac:dyDescent="0.25">
      <c r="C15" s="21" t="s">
        <v>160</v>
      </c>
      <c r="D15" s="21" t="s">
        <v>161</v>
      </c>
      <c r="E15" s="9" t="s">
        <v>158</v>
      </c>
      <c r="F15" s="9"/>
      <c r="G15" s="26">
        <v>-0.26645000000000002</v>
      </c>
      <c r="H15" s="20">
        <v>0.26645000000000002</v>
      </c>
      <c r="I15" s="27"/>
    </row>
    <row r="16" spans="1:23" s="21" customFormat="1" x14ac:dyDescent="0.25">
      <c r="C16" s="21" t="s">
        <v>162</v>
      </c>
      <c r="D16" s="21" t="s">
        <v>163</v>
      </c>
      <c r="E16" s="9" t="s">
        <v>158</v>
      </c>
      <c r="F16" s="9"/>
      <c r="G16" s="26">
        <v>-0.48801299999999997</v>
      </c>
      <c r="H16" s="20">
        <v>0.48801299999999997</v>
      </c>
      <c r="I16" s="27"/>
      <c r="K16" s="9"/>
    </row>
    <row r="17" spans="1:23" x14ac:dyDescent="0.25">
      <c r="C17" s="9" t="s">
        <v>238</v>
      </c>
      <c r="D17" s="9" t="s">
        <v>239</v>
      </c>
      <c r="E17" s="9" t="s">
        <v>158</v>
      </c>
      <c r="G17" s="26"/>
      <c r="H17" s="20"/>
      <c r="I17" s="17"/>
    </row>
    <row r="18" spans="1:23" s="21" customFormat="1" x14ac:dyDescent="0.25">
      <c r="C18" s="21" t="s">
        <v>164</v>
      </c>
      <c r="D18" s="21" t="s">
        <v>165</v>
      </c>
      <c r="E18" s="9" t="s">
        <v>158</v>
      </c>
      <c r="F18" s="9"/>
      <c r="G18" s="26">
        <v>-1.1181000000000001</v>
      </c>
      <c r="H18" s="20">
        <v>1.0764590000000001</v>
      </c>
      <c r="I18" s="27"/>
      <c r="K18" s="9"/>
    </row>
    <row r="19" spans="1:23" s="21" customFormat="1" x14ac:dyDescent="0.25">
      <c r="C19" s="21" t="s">
        <v>240</v>
      </c>
      <c r="D19" s="21" t="s">
        <v>241</v>
      </c>
      <c r="E19" s="9" t="s">
        <v>158</v>
      </c>
      <c r="F19" s="9"/>
      <c r="G19" s="26"/>
      <c r="H19" s="20"/>
      <c r="I19" s="27"/>
      <c r="K19" s="9"/>
    </row>
    <row r="20" spans="1:23" s="21" customFormat="1" x14ac:dyDescent="0.25">
      <c r="C20" s="21" t="s">
        <v>242</v>
      </c>
      <c r="D20" s="21" t="s">
        <v>205</v>
      </c>
      <c r="E20" s="9" t="s">
        <v>158</v>
      </c>
      <c r="F20" s="9"/>
      <c r="G20" s="26"/>
      <c r="H20" s="20"/>
      <c r="I20" s="27"/>
      <c r="K20" s="9"/>
    </row>
    <row r="21" spans="1:23" s="21" customFormat="1" x14ac:dyDescent="0.25">
      <c r="C21" s="21" t="s">
        <v>243</v>
      </c>
      <c r="D21" s="21" t="s">
        <v>244</v>
      </c>
      <c r="E21" s="9" t="s">
        <v>158</v>
      </c>
      <c r="F21" s="9"/>
      <c r="G21" s="26"/>
      <c r="H21" s="26"/>
      <c r="I21" s="27"/>
      <c r="K21" s="9"/>
    </row>
    <row r="22" spans="1:23" s="21" customFormat="1" x14ac:dyDescent="0.25">
      <c r="C22" s="21" t="s">
        <v>245</v>
      </c>
      <c r="D22" s="21" t="s">
        <v>246</v>
      </c>
      <c r="E22" s="9" t="s">
        <v>158</v>
      </c>
      <c r="F22" s="9"/>
      <c r="G22" s="26"/>
      <c r="H22" s="26"/>
      <c r="I22" s="27"/>
      <c r="K22" s="9"/>
    </row>
    <row r="23" spans="1:23" s="21" customFormat="1" x14ac:dyDescent="0.25">
      <c r="C23" s="21" t="s">
        <v>247</v>
      </c>
      <c r="D23" s="21" t="s">
        <v>198</v>
      </c>
      <c r="E23" s="9" t="s">
        <v>158</v>
      </c>
      <c r="F23" s="9"/>
      <c r="G23" s="26"/>
      <c r="H23" s="26"/>
      <c r="I23" s="9"/>
      <c r="J23" s="9"/>
      <c r="K23" s="9"/>
      <c r="L23" s="9"/>
      <c r="M23" s="9"/>
      <c r="N23" s="9"/>
    </row>
    <row r="24" spans="1:23" s="21" customFormat="1" x14ac:dyDescent="0.25">
      <c r="C24" s="21" t="s">
        <v>166</v>
      </c>
      <c r="D24" s="21" t="s">
        <v>167</v>
      </c>
      <c r="E24" s="9" t="s">
        <v>158</v>
      </c>
      <c r="F24" s="9"/>
      <c r="G24" s="26">
        <v>-1.4495530000000001</v>
      </c>
      <c r="H24" s="26">
        <v>0.74</v>
      </c>
      <c r="I24" s="9"/>
      <c r="J24" s="9"/>
      <c r="K24" s="9"/>
      <c r="L24" s="9"/>
      <c r="M24" s="9"/>
      <c r="N24" s="9"/>
    </row>
    <row r="25" spans="1:23" s="21" customFormat="1" x14ac:dyDescent="0.25">
      <c r="C25" s="21" t="s">
        <v>248</v>
      </c>
      <c r="D25" s="21" t="s">
        <v>249</v>
      </c>
      <c r="E25" s="9" t="s">
        <v>158</v>
      </c>
      <c r="F25" s="9"/>
      <c r="G25" s="26"/>
      <c r="H25" s="26"/>
      <c r="I25" s="9"/>
      <c r="J25" s="9"/>
      <c r="K25" s="9"/>
      <c r="L25" s="9"/>
      <c r="M25" s="9"/>
      <c r="N25" s="9"/>
    </row>
    <row r="26" spans="1:23" s="21" customFormat="1" x14ac:dyDescent="0.25">
      <c r="C26" s="21" t="s">
        <v>250</v>
      </c>
      <c r="D26" s="21" t="s">
        <v>190</v>
      </c>
      <c r="E26" s="9" t="s">
        <v>158</v>
      </c>
      <c r="F26" s="9"/>
      <c r="G26" s="26">
        <v>-1.52</v>
      </c>
      <c r="H26" s="26">
        <v>1.52</v>
      </c>
      <c r="I26" s="9"/>
      <c r="J26" s="9"/>
      <c r="K26" s="9"/>
      <c r="L26" s="9"/>
      <c r="M26" s="9"/>
      <c r="N26" s="9"/>
    </row>
    <row r="27" spans="1:23" s="21" customFormat="1" x14ac:dyDescent="0.25">
      <c r="C27" s="21" t="s">
        <v>251</v>
      </c>
      <c r="D27" s="21" t="s">
        <v>252</v>
      </c>
      <c r="E27" s="9" t="s">
        <v>158</v>
      </c>
      <c r="F27" s="9"/>
      <c r="G27" s="26"/>
      <c r="H27" s="26"/>
      <c r="I27" s="9"/>
      <c r="J27" s="9"/>
      <c r="K27" s="9"/>
      <c r="L27" s="9"/>
      <c r="M27" s="9"/>
      <c r="N27" s="9"/>
    </row>
    <row r="28" spans="1:23" x14ac:dyDescent="0.25">
      <c r="C28" s="9" t="s">
        <v>168</v>
      </c>
      <c r="D28" s="9" t="s">
        <v>169</v>
      </c>
      <c r="E28" s="9" t="s">
        <v>158</v>
      </c>
      <c r="G28" s="26">
        <v>-0.95760000000000001</v>
      </c>
      <c r="H28" s="20">
        <v>0.87780000000000014</v>
      </c>
    </row>
    <row r="29" spans="1:23" x14ac:dyDescent="0.25">
      <c r="C29" s="9" t="s">
        <v>170</v>
      </c>
      <c r="D29" s="9" t="s">
        <v>171</v>
      </c>
      <c r="E29" s="9" t="s">
        <v>158</v>
      </c>
      <c r="G29" s="26">
        <v>-1.41</v>
      </c>
      <c r="H29" s="20">
        <v>2.7401119999999999</v>
      </c>
    </row>
    <row r="30" spans="1:23" x14ac:dyDescent="0.25">
      <c r="G30" s="23"/>
      <c r="H30" s="23"/>
    </row>
    <row r="32" spans="1:23" ht="13.8" x14ac:dyDescent="0.3">
      <c r="A32" s="8" t="s">
        <v>518</v>
      </c>
      <c r="B32" s="8"/>
      <c r="C32" s="8"/>
      <c r="D32" s="8"/>
      <c r="E32" s="8"/>
      <c r="F32" s="8"/>
      <c r="G32" s="8"/>
      <c r="H32" s="8"/>
      <c r="I32" s="16"/>
      <c r="J32" s="8"/>
      <c r="K32" s="8"/>
      <c r="L32" s="8"/>
      <c r="M32" s="8"/>
      <c r="N32" s="8"/>
      <c r="O32" s="8"/>
      <c r="P32" s="8"/>
      <c r="Q32" s="8"/>
      <c r="R32" s="8"/>
      <c r="S32" s="8"/>
      <c r="T32" s="8"/>
      <c r="U32" s="8"/>
      <c r="V32" s="8"/>
      <c r="W32" s="8"/>
    </row>
    <row r="33" spans="1:9" x14ac:dyDescent="0.25">
      <c r="I33" s="17"/>
    </row>
    <row r="34" spans="1:9" ht="15" x14ac:dyDescent="0.35">
      <c r="A34" s="1" t="s">
        <v>522</v>
      </c>
      <c r="I34" s="17"/>
    </row>
    <row r="35" spans="1:9" x14ac:dyDescent="0.25">
      <c r="B35" s="4"/>
      <c r="I35" s="17"/>
    </row>
    <row r="36" spans="1:9" ht="39.6" x14ac:dyDescent="0.25">
      <c r="B36" s="4"/>
      <c r="G36" s="18" t="s">
        <v>523</v>
      </c>
      <c r="H36" s="18" t="s">
        <v>524</v>
      </c>
      <c r="I36" s="17"/>
    </row>
    <row r="37" spans="1:9" x14ac:dyDescent="0.25">
      <c r="C37" s="9" t="s">
        <v>149</v>
      </c>
      <c r="D37" s="9" t="s">
        <v>150</v>
      </c>
      <c r="E37" s="9" t="s">
        <v>151</v>
      </c>
      <c r="G37" s="18"/>
      <c r="H37" s="18"/>
      <c r="I37" s="19"/>
    </row>
    <row r="38" spans="1:9" s="21" customFormat="1" x14ac:dyDescent="0.25">
      <c r="C38" s="21" t="s">
        <v>253</v>
      </c>
      <c r="D38" s="21" t="s">
        <v>157</v>
      </c>
      <c r="E38" s="21" t="s">
        <v>254</v>
      </c>
      <c r="G38" s="26"/>
      <c r="H38" s="20"/>
      <c r="I38" s="27"/>
    </row>
    <row r="39" spans="1:9" s="21" customFormat="1" x14ac:dyDescent="0.25">
      <c r="C39" s="21" t="s">
        <v>257</v>
      </c>
      <c r="D39" s="21" t="s">
        <v>237</v>
      </c>
      <c r="E39" s="21" t="s">
        <v>254</v>
      </c>
      <c r="G39" s="26"/>
      <c r="H39" s="20"/>
      <c r="I39" s="27"/>
    </row>
    <row r="40" spans="1:9" s="21" customFormat="1" x14ac:dyDescent="0.25">
      <c r="C40" s="21" t="s">
        <v>185</v>
      </c>
      <c r="D40" s="21" t="s">
        <v>186</v>
      </c>
      <c r="E40" s="21" t="s">
        <v>254</v>
      </c>
      <c r="G40" s="26">
        <v>-1.4961260000000001</v>
      </c>
      <c r="H40" s="20">
        <v>1.4961260000000001</v>
      </c>
      <c r="I40" s="27"/>
    </row>
    <row r="41" spans="1:9" s="21" customFormat="1" x14ac:dyDescent="0.25">
      <c r="C41" s="21" t="s">
        <v>258</v>
      </c>
      <c r="D41" s="21" t="s">
        <v>205</v>
      </c>
      <c r="E41" s="21" t="s">
        <v>254</v>
      </c>
      <c r="G41" s="26"/>
      <c r="H41" s="20"/>
      <c r="I41" s="27"/>
    </row>
    <row r="42" spans="1:9" x14ac:dyDescent="0.25">
      <c r="C42" s="9" t="s">
        <v>259</v>
      </c>
      <c r="D42" s="9" t="s">
        <v>198</v>
      </c>
      <c r="E42" s="21" t="s">
        <v>254</v>
      </c>
      <c r="F42" s="21"/>
      <c r="G42" s="26"/>
      <c r="H42" s="20"/>
      <c r="I42" s="27"/>
    </row>
    <row r="43" spans="1:9" x14ac:dyDescent="0.25">
      <c r="C43" s="9" t="s">
        <v>260</v>
      </c>
      <c r="D43" s="9" t="s">
        <v>167</v>
      </c>
      <c r="E43" s="21" t="s">
        <v>254</v>
      </c>
      <c r="F43" s="21"/>
      <c r="G43" s="26"/>
      <c r="H43" s="20"/>
      <c r="I43" s="27"/>
    </row>
    <row r="44" spans="1:9" x14ac:dyDescent="0.25">
      <c r="C44" s="9" t="s">
        <v>261</v>
      </c>
      <c r="D44" s="9" t="s">
        <v>249</v>
      </c>
      <c r="E44" s="21" t="s">
        <v>254</v>
      </c>
      <c r="F44" s="21"/>
      <c r="G44" s="26"/>
      <c r="H44" s="20"/>
      <c r="I44" s="27"/>
    </row>
    <row r="45" spans="1:9" x14ac:dyDescent="0.25">
      <c r="C45" s="9" t="s">
        <v>189</v>
      </c>
      <c r="D45" s="9" t="s">
        <v>190</v>
      </c>
      <c r="E45" s="21" t="s">
        <v>254</v>
      </c>
      <c r="F45" s="21"/>
      <c r="G45" s="26">
        <v>-1.52</v>
      </c>
      <c r="H45" s="20">
        <v>1.52</v>
      </c>
      <c r="I45" s="27"/>
    </row>
    <row r="46" spans="1:9" x14ac:dyDescent="0.25">
      <c r="C46" s="9" t="s">
        <v>262</v>
      </c>
      <c r="D46" s="9" t="s">
        <v>252</v>
      </c>
      <c r="E46" s="21" t="s">
        <v>254</v>
      </c>
      <c r="F46" s="21"/>
      <c r="G46" s="26"/>
      <c r="H46" s="20"/>
      <c r="I46" s="27"/>
    </row>
    <row r="47" spans="1:9" x14ac:dyDescent="0.25">
      <c r="C47" s="9" t="s">
        <v>191</v>
      </c>
      <c r="D47" s="9" t="s">
        <v>169</v>
      </c>
      <c r="E47" s="21" t="s">
        <v>254</v>
      </c>
      <c r="F47" s="21"/>
      <c r="G47" s="26">
        <v>-1.2</v>
      </c>
      <c r="H47" s="20">
        <v>1.1000000000000001</v>
      </c>
      <c r="I47" s="27"/>
    </row>
    <row r="48" spans="1:9" x14ac:dyDescent="0.25">
      <c r="C48" s="9" t="s">
        <v>192</v>
      </c>
      <c r="D48" s="9" t="s">
        <v>171</v>
      </c>
      <c r="E48" s="21" t="s">
        <v>254</v>
      </c>
      <c r="F48" s="21"/>
      <c r="G48" s="26">
        <v>-1.195465</v>
      </c>
      <c r="H48" s="20">
        <v>0.59977100000000005</v>
      </c>
      <c r="I48" s="27"/>
    </row>
    <row r="51" spans="1:23" ht="13.8" x14ac:dyDescent="0.3">
      <c r="A51" s="8" t="s">
        <v>196</v>
      </c>
      <c r="B51" s="8"/>
      <c r="C51" s="8"/>
      <c r="D51" s="8"/>
      <c r="E51" s="8"/>
      <c r="F51" s="8"/>
      <c r="G51" s="8"/>
      <c r="H51" s="8"/>
      <c r="I51" s="16"/>
      <c r="J51" s="8"/>
      <c r="K51" s="8"/>
      <c r="L51" s="8"/>
      <c r="M51" s="8"/>
      <c r="N51" s="8"/>
      <c r="O51" s="8"/>
      <c r="P51" s="8"/>
      <c r="Q51" s="8"/>
      <c r="R51" s="8"/>
      <c r="S51" s="8"/>
      <c r="T51" s="8"/>
      <c r="U51" s="8"/>
      <c r="V51" s="8"/>
      <c r="W51" s="8"/>
    </row>
    <row r="52" spans="1:23" x14ac:dyDescent="0.25">
      <c r="I52" s="17"/>
    </row>
    <row r="53" spans="1:23" ht="15" x14ac:dyDescent="0.35">
      <c r="A53" s="1" t="s">
        <v>522</v>
      </c>
      <c r="I53" s="17"/>
    </row>
    <row r="54" spans="1:23" x14ac:dyDescent="0.25">
      <c r="B54" s="4"/>
      <c r="I54" s="17"/>
    </row>
    <row r="55" spans="1:23" ht="39.6" x14ac:dyDescent="0.25">
      <c r="B55" s="4"/>
      <c r="G55" s="18" t="s">
        <v>523</v>
      </c>
      <c r="H55" s="18" t="s">
        <v>524</v>
      </c>
      <c r="I55" s="17"/>
    </row>
    <row r="56" spans="1:23" ht="14.7" customHeight="1" x14ac:dyDescent="0.25">
      <c r="C56" s="9" t="s">
        <v>149</v>
      </c>
      <c r="D56" s="9" t="s">
        <v>150</v>
      </c>
      <c r="E56" s="9" t="s">
        <v>151</v>
      </c>
      <c r="G56" s="18"/>
      <c r="H56" s="18"/>
      <c r="I56" s="19"/>
    </row>
    <row r="57" spans="1:23" x14ac:dyDescent="0.25">
      <c r="C57" s="9" t="s">
        <v>263</v>
      </c>
      <c r="D57" s="9" t="s">
        <v>157</v>
      </c>
      <c r="E57" s="9" t="s">
        <v>264</v>
      </c>
      <c r="G57" s="26"/>
      <c r="H57" s="20"/>
      <c r="I57" s="27"/>
    </row>
    <row r="58" spans="1:23" x14ac:dyDescent="0.25">
      <c r="C58" s="9" t="s">
        <v>265</v>
      </c>
      <c r="D58" s="9" t="s">
        <v>237</v>
      </c>
      <c r="E58" s="9" t="s">
        <v>264</v>
      </c>
      <c r="G58" s="26"/>
      <c r="H58" s="20"/>
      <c r="I58" s="27"/>
    </row>
    <row r="59" spans="1:23" x14ac:dyDescent="0.25">
      <c r="C59" s="9" t="s">
        <v>266</v>
      </c>
      <c r="D59" s="9" t="s">
        <v>186</v>
      </c>
      <c r="E59" s="9" t="s">
        <v>264</v>
      </c>
      <c r="G59" s="26"/>
      <c r="H59" s="20"/>
      <c r="I59" s="27"/>
    </row>
    <row r="60" spans="1:23" x14ac:dyDescent="0.25">
      <c r="C60" s="9" t="s">
        <v>267</v>
      </c>
      <c r="D60" s="9" t="s">
        <v>205</v>
      </c>
      <c r="E60" s="9" t="s">
        <v>264</v>
      </c>
      <c r="G60" s="26"/>
      <c r="H60" s="20"/>
      <c r="I60" s="27"/>
    </row>
    <row r="61" spans="1:23" s="21" customFormat="1" x14ac:dyDescent="0.25">
      <c r="C61" s="21" t="s">
        <v>197</v>
      </c>
      <c r="D61" s="21" t="s">
        <v>198</v>
      </c>
      <c r="E61" s="9" t="s">
        <v>264</v>
      </c>
      <c r="F61" s="9"/>
      <c r="G61" s="26">
        <v>-33.903727000000003</v>
      </c>
      <c r="H61" s="20">
        <v>28.08</v>
      </c>
      <c r="I61" s="27"/>
    </row>
    <row r="62" spans="1:23" s="21" customFormat="1" x14ac:dyDescent="0.25">
      <c r="C62" s="21" t="s">
        <v>200</v>
      </c>
      <c r="D62" s="21" t="s">
        <v>167</v>
      </c>
      <c r="E62" s="9" t="s">
        <v>264</v>
      </c>
      <c r="F62" s="9"/>
      <c r="G62" s="26">
        <v>-19.024132999999999</v>
      </c>
      <c r="H62" s="20">
        <v>12.47124</v>
      </c>
      <c r="I62" s="27"/>
    </row>
    <row r="63" spans="1:23" s="21" customFormat="1" x14ac:dyDescent="0.25">
      <c r="C63" s="21" t="s">
        <v>268</v>
      </c>
      <c r="D63" s="21" t="s">
        <v>249</v>
      </c>
      <c r="E63" s="9" t="s">
        <v>264</v>
      </c>
      <c r="F63" s="9"/>
      <c r="G63" s="26"/>
      <c r="H63" s="20"/>
      <c r="I63" s="27"/>
    </row>
    <row r="64" spans="1:23" s="21" customFormat="1" x14ac:dyDescent="0.25">
      <c r="C64" s="21" t="s">
        <v>269</v>
      </c>
      <c r="D64" s="21" t="s">
        <v>190</v>
      </c>
      <c r="E64" s="9" t="s">
        <v>264</v>
      </c>
      <c r="F64" s="9"/>
      <c r="G64" s="26"/>
      <c r="H64" s="20"/>
      <c r="I64" s="27"/>
    </row>
    <row r="65" spans="1:23" s="21" customFormat="1" x14ac:dyDescent="0.25">
      <c r="C65" s="21" t="s">
        <v>270</v>
      </c>
      <c r="D65" s="21" t="s">
        <v>252</v>
      </c>
      <c r="E65" s="9" t="s">
        <v>264</v>
      </c>
      <c r="F65" s="9"/>
      <c r="G65" s="26"/>
      <c r="H65" s="20"/>
      <c r="I65" s="27"/>
      <c r="R65" s="29"/>
    </row>
    <row r="66" spans="1:23" s="21" customFormat="1" x14ac:dyDescent="0.25">
      <c r="C66" s="21" t="s">
        <v>201</v>
      </c>
      <c r="D66" s="21" t="s">
        <v>169</v>
      </c>
      <c r="E66" s="9" t="s">
        <v>264</v>
      </c>
      <c r="F66" s="9"/>
      <c r="G66" s="26">
        <v>-51</v>
      </c>
      <c r="H66" s="20">
        <v>31</v>
      </c>
      <c r="I66" s="27"/>
    </row>
    <row r="67" spans="1:23" s="21" customFormat="1" x14ac:dyDescent="0.25">
      <c r="C67" s="21" t="s">
        <v>271</v>
      </c>
      <c r="D67" s="21" t="s">
        <v>171</v>
      </c>
      <c r="E67" s="9" t="s">
        <v>264</v>
      </c>
      <c r="F67" s="9"/>
      <c r="G67" s="26">
        <v>-21.310566999999999</v>
      </c>
      <c r="H67" s="20">
        <v>14.872636</v>
      </c>
      <c r="I67" s="27"/>
    </row>
    <row r="70" spans="1:23" ht="13.8" x14ac:dyDescent="0.3">
      <c r="A70" s="8" t="s">
        <v>519</v>
      </c>
      <c r="B70" s="8"/>
      <c r="C70" s="8"/>
      <c r="D70" s="8"/>
      <c r="E70" s="8"/>
      <c r="F70" s="8"/>
      <c r="G70" s="8"/>
      <c r="H70" s="8"/>
      <c r="I70" s="16"/>
      <c r="J70" s="8"/>
      <c r="K70" s="8"/>
      <c r="L70" s="8"/>
      <c r="M70" s="8"/>
      <c r="N70" s="8"/>
      <c r="O70" s="8"/>
      <c r="P70" s="8"/>
      <c r="Q70" s="8"/>
      <c r="R70" s="8"/>
      <c r="S70" s="8"/>
      <c r="T70" s="8"/>
      <c r="U70" s="8"/>
      <c r="V70" s="8"/>
      <c r="W70" s="8"/>
    </row>
    <row r="71" spans="1:23" x14ac:dyDescent="0.25">
      <c r="I71" s="17"/>
    </row>
    <row r="72" spans="1:23" ht="15" x14ac:dyDescent="0.35">
      <c r="A72" s="1" t="s">
        <v>522</v>
      </c>
      <c r="I72" s="17"/>
    </row>
    <row r="73" spans="1:23" x14ac:dyDescent="0.25">
      <c r="B73" s="4"/>
      <c r="I73" s="17"/>
    </row>
    <row r="74" spans="1:23" ht="39.6" x14ac:dyDescent="0.25">
      <c r="B74" s="4"/>
      <c r="G74" s="18" t="s">
        <v>523</v>
      </c>
      <c r="H74" s="18" t="s">
        <v>524</v>
      </c>
      <c r="I74" s="17"/>
    </row>
    <row r="75" spans="1:23" x14ac:dyDescent="0.25">
      <c r="C75" s="9" t="s">
        <v>149</v>
      </c>
      <c r="D75" s="9" t="s">
        <v>150</v>
      </c>
      <c r="E75" s="9" t="s">
        <v>151</v>
      </c>
      <c r="I75" s="19"/>
    </row>
    <row r="76" spans="1:23" x14ac:dyDescent="0.25">
      <c r="C76" s="9" t="s">
        <v>272</v>
      </c>
      <c r="D76" s="9" t="s">
        <v>231</v>
      </c>
      <c r="E76" s="9" t="s">
        <v>206</v>
      </c>
      <c r="G76" s="20"/>
      <c r="H76" s="20"/>
      <c r="I76" s="27"/>
    </row>
    <row r="77" spans="1:23" x14ac:dyDescent="0.25">
      <c r="C77" s="9" t="s">
        <v>274</v>
      </c>
      <c r="D77" s="9" t="s">
        <v>157</v>
      </c>
      <c r="E77" s="9" t="s">
        <v>206</v>
      </c>
      <c r="G77" s="20"/>
      <c r="H77" s="20"/>
      <c r="I77" s="27"/>
    </row>
    <row r="78" spans="1:23" x14ac:dyDescent="0.25">
      <c r="C78" s="9" t="s">
        <v>275</v>
      </c>
      <c r="D78" s="9" t="s">
        <v>235</v>
      </c>
      <c r="E78" s="9" t="s">
        <v>206</v>
      </c>
      <c r="G78" s="20"/>
      <c r="H78" s="20"/>
      <c r="I78" s="27"/>
    </row>
    <row r="79" spans="1:23" x14ac:dyDescent="0.25">
      <c r="C79" s="9" t="s">
        <v>276</v>
      </c>
      <c r="D79" s="9" t="s">
        <v>237</v>
      </c>
      <c r="E79" s="9" t="s">
        <v>206</v>
      </c>
      <c r="G79" s="20"/>
      <c r="H79" s="20"/>
      <c r="I79" s="27"/>
    </row>
    <row r="80" spans="1:23" x14ac:dyDescent="0.25">
      <c r="C80" s="9" t="s">
        <v>277</v>
      </c>
      <c r="D80" s="9" t="s">
        <v>186</v>
      </c>
      <c r="E80" s="9" t="s">
        <v>206</v>
      </c>
      <c r="G80" s="20"/>
      <c r="H80" s="20"/>
      <c r="I80" s="27"/>
    </row>
    <row r="81" spans="1:23" x14ac:dyDescent="0.25">
      <c r="C81" s="9" t="s">
        <v>278</v>
      </c>
      <c r="D81" s="9" t="s">
        <v>239</v>
      </c>
      <c r="E81" s="9" t="s">
        <v>206</v>
      </c>
      <c r="G81" s="20"/>
      <c r="H81" s="20"/>
      <c r="I81" s="27"/>
    </row>
    <row r="82" spans="1:23" x14ac:dyDescent="0.25">
      <c r="C82" s="9" t="s">
        <v>279</v>
      </c>
      <c r="D82" s="9" t="s">
        <v>165</v>
      </c>
      <c r="E82" s="9" t="s">
        <v>206</v>
      </c>
      <c r="G82" s="20">
        <v>-0.20424200000000001</v>
      </c>
      <c r="H82" s="20">
        <v>0.221549</v>
      </c>
      <c r="I82" s="27"/>
    </row>
    <row r="83" spans="1:23" x14ac:dyDescent="0.25">
      <c r="C83" s="9" t="s">
        <v>280</v>
      </c>
      <c r="D83" s="9" t="s">
        <v>241</v>
      </c>
      <c r="E83" s="9" t="s">
        <v>206</v>
      </c>
      <c r="G83" s="20"/>
      <c r="H83" s="20"/>
      <c r="I83" s="27"/>
    </row>
    <row r="84" spans="1:23" x14ac:dyDescent="0.25">
      <c r="C84" s="9" t="s">
        <v>204</v>
      </c>
      <c r="D84" s="9" t="s">
        <v>205</v>
      </c>
      <c r="E84" s="9" t="s">
        <v>206</v>
      </c>
      <c r="G84" s="20">
        <v>-0.35603099999999999</v>
      </c>
      <c r="H84" s="20">
        <v>0.35603099999999999</v>
      </c>
      <c r="I84" s="27"/>
    </row>
    <row r="85" spans="1:23" x14ac:dyDescent="0.25">
      <c r="C85" s="9" t="s">
        <v>281</v>
      </c>
      <c r="D85" s="21" t="s">
        <v>244</v>
      </c>
      <c r="E85" s="9" t="s">
        <v>206</v>
      </c>
      <c r="G85" s="20"/>
      <c r="H85" s="20"/>
      <c r="I85" s="27"/>
    </row>
    <row r="86" spans="1:23" x14ac:dyDescent="0.25">
      <c r="C86" s="9" t="s">
        <v>282</v>
      </c>
      <c r="D86" s="21" t="s">
        <v>246</v>
      </c>
      <c r="E86" s="9" t="s">
        <v>206</v>
      </c>
      <c r="G86" s="20"/>
      <c r="H86" s="20"/>
      <c r="I86" s="27"/>
    </row>
    <row r="87" spans="1:23" x14ac:dyDescent="0.25">
      <c r="C87" s="9" t="s">
        <v>283</v>
      </c>
      <c r="D87" s="9" t="s">
        <v>198</v>
      </c>
      <c r="E87" s="9" t="s">
        <v>206</v>
      </c>
      <c r="G87" s="20"/>
      <c r="H87" s="20"/>
      <c r="I87" s="27"/>
    </row>
    <row r="88" spans="1:23" x14ac:dyDescent="0.25">
      <c r="C88" s="9" t="s">
        <v>284</v>
      </c>
      <c r="D88" s="9" t="s">
        <v>167</v>
      </c>
      <c r="E88" s="9" t="s">
        <v>206</v>
      </c>
      <c r="G88" s="20"/>
      <c r="H88" s="20"/>
      <c r="I88" s="27"/>
    </row>
    <row r="89" spans="1:23" x14ac:dyDescent="0.25">
      <c r="C89" s="9" t="s">
        <v>285</v>
      </c>
      <c r="D89" s="9" t="s">
        <v>249</v>
      </c>
      <c r="E89" s="9" t="s">
        <v>206</v>
      </c>
      <c r="G89" s="20"/>
      <c r="H89" s="20"/>
      <c r="I89" s="27"/>
    </row>
    <row r="90" spans="1:23" x14ac:dyDescent="0.25">
      <c r="C90" s="9" t="s">
        <v>286</v>
      </c>
      <c r="D90" s="9" t="s">
        <v>190</v>
      </c>
      <c r="E90" s="9" t="s">
        <v>206</v>
      </c>
      <c r="G90" s="20"/>
      <c r="H90" s="20"/>
      <c r="I90" s="27"/>
    </row>
    <row r="91" spans="1:23" x14ac:dyDescent="0.25">
      <c r="C91" s="9" t="s">
        <v>287</v>
      </c>
      <c r="D91" s="9" t="s">
        <v>252</v>
      </c>
      <c r="E91" s="9" t="s">
        <v>206</v>
      </c>
      <c r="G91" s="20"/>
      <c r="H91" s="22"/>
      <c r="I91" s="27"/>
    </row>
    <row r="92" spans="1:23" x14ac:dyDescent="0.25">
      <c r="C92" s="9" t="s">
        <v>207</v>
      </c>
      <c r="D92" s="9" t="s">
        <v>169</v>
      </c>
      <c r="E92" s="9" t="s">
        <v>206</v>
      </c>
      <c r="G92" s="20">
        <v>-0.43</v>
      </c>
      <c r="H92" s="20">
        <v>0.73</v>
      </c>
      <c r="I92" s="27"/>
    </row>
    <row r="93" spans="1:23" x14ac:dyDescent="0.25">
      <c r="C93" s="9" t="s">
        <v>208</v>
      </c>
      <c r="D93" s="9" t="s">
        <v>171</v>
      </c>
      <c r="E93" s="9" t="s">
        <v>206</v>
      </c>
      <c r="G93" s="20">
        <v>-1.5114000000000001</v>
      </c>
      <c r="H93" s="20">
        <v>1.5114000000000001</v>
      </c>
      <c r="I93" s="27"/>
    </row>
    <row r="96" spans="1:23" ht="13.8" x14ac:dyDescent="0.3">
      <c r="A96" s="8" t="s">
        <v>211</v>
      </c>
      <c r="B96" s="8"/>
      <c r="C96" s="8"/>
      <c r="D96" s="8"/>
      <c r="E96" s="8"/>
      <c r="F96" s="8"/>
      <c r="G96" s="8"/>
      <c r="H96" s="8"/>
      <c r="I96" s="16"/>
      <c r="J96" s="8"/>
      <c r="K96" s="8"/>
      <c r="L96" s="8"/>
      <c r="M96" s="8"/>
      <c r="N96" s="8"/>
      <c r="O96" s="8"/>
      <c r="P96" s="8"/>
      <c r="Q96" s="8"/>
      <c r="R96" s="8"/>
      <c r="S96" s="8"/>
      <c r="T96" s="8"/>
      <c r="U96" s="8"/>
      <c r="V96" s="8"/>
      <c r="W96" s="8"/>
    </row>
    <row r="97" spans="1:9" x14ac:dyDescent="0.25">
      <c r="I97" s="17"/>
    </row>
    <row r="98" spans="1:9" ht="15" x14ac:dyDescent="0.35">
      <c r="A98" s="1" t="s">
        <v>522</v>
      </c>
      <c r="I98" s="17"/>
    </row>
    <row r="99" spans="1:9" x14ac:dyDescent="0.25">
      <c r="B99" s="4"/>
      <c r="I99" s="17"/>
    </row>
    <row r="100" spans="1:9" ht="39.6" x14ac:dyDescent="0.25">
      <c r="B100" s="4"/>
      <c r="G100" s="18" t="s">
        <v>523</v>
      </c>
      <c r="H100" s="18" t="s">
        <v>524</v>
      </c>
      <c r="I100" s="17"/>
    </row>
    <row r="101" spans="1:9" x14ac:dyDescent="0.25">
      <c r="C101" s="9" t="s">
        <v>149</v>
      </c>
      <c r="D101" s="9" t="s">
        <v>150</v>
      </c>
      <c r="E101" s="9" t="s">
        <v>151</v>
      </c>
      <c r="G101" s="18"/>
      <c r="H101" s="18"/>
      <c r="I101" s="19"/>
    </row>
    <row r="102" spans="1:9" x14ac:dyDescent="0.25">
      <c r="C102" s="9" t="s">
        <v>288</v>
      </c>
      <c r="D102" s="9" t="s">
        <v>231</v>
      </c>
      <c r="E102" s="9" t="s">
        <v>213</v>
      </c>
      <c r="G102" s="26"/>
      <c r="H102" s="20"/>
      <c r="I102" s="27"/>
    </row>
    <row r="103" spans="1:9" x14ac:dyDescent="0.25">
      <c r="C103" s="9" t="s">
        <v>290</v>
      </c>
      <c r="D103" s="9" t="s">
        <v>157</v>
      </c>
      <c r="E103" s="9" t="s">
        <v>213</v>
      </c>
      <c r="G103" s="26"/>
      <c r="H103" s="20"/>
      <c r="I103" s="27"/>
    </row>
    <row r="104" spans="1:9" x14ac:dyDescent="0.25">
      <c r="C104" s="9" t="s">
        <v>291</v>
      </c>
      <c r="D104" s="9" t="s">
        <v>235</v>
      </c>
      <c r="E104" s="9" t="s">
        <v>213</v>
      </c>
      <c r="G104" s="26"/>
      <c r="H104" s="20"/>
      <c r="I104" s="27"/>
    </row>
    <row r="105" spans="1:9" x14ac:dyDescent="0.25">
      <c r="C105" s="9" t="s">
        <v>292</v>
      </c>
      <c r="D105" s="9" t="s">
        <v>237</v>
      </c>
      <c r="E105" s="9" t="s">
        <v>213</v>
      </c>
      <c r="G105" s="26"/>
      <c r="H105" s="20"/>
      <c r="I105" s="27"/>
    </row>
    <row r="106" spans="1:9" x14ac:dyDescent="0.25">
      <c r="C106" s="9" t="s">
        <v>212</v>
      </c>
      <c r="D106" s="9" t="s">
        <v>186</v>
      </c>
      <c r="E106" s="9" t="s">
        <v>213</v>
      </c>
      <c r="G106" s="26">
        <v>-5.139913</v>
      </c>
      <c r="H106" s="20">
        <v>5.139913</v>
      </c>
      <c r="I106" s="27"/>
    </row>
    <row r="107" spans="1:9" x14ac:dyDescent="0.25">
      <c r="C107" s="9" t="s">
        <v>293</v>
      </c>
      <c r="D107" s="9" t="s">
        <v>239</v>
      </c>
      <c r="E107" s="9" t="s">
        <v>213</v>
      </c>
      <c r="G107" s="26"/>
      <c r="H107" s="20"/>
      <c r="I107" s="27"/>
    </row>
    <row r="108" spans="1:9" x14ac:dyDescent="0.25">
      <c r="C108" s="9" t="s">
        <v>214</v>
      </c>
      <c r="D108" s="9" t="s">
        <v>165</v>
      </c>
      <c r="E108" s="9" t="s">
        <v>213</v>
      </c>
      <c r="G108" s="26">
        <v>-0.38983099999999998</v>
      </c>
      <c r="H108" s="20">
        <v>0.36185</v>
      </c>
      <c r="I108" s="27"/>
    </row>
    <row r="109" spans="1:9" x14ac:dyDescent="0.25">
      <c r="C109" s="9" t="s">
        <v>294</v>
      </c>
      <c r="D109" s="9" t="s">
        <v>241</v>
      </c>
      <c r="E109" s="9" t="s">
        <v>213</v>
      </c>
      <c r="G109" s="26"/>
      <c r="H109" s="20"/>
      <c r="I109" s="27"/>
    </row>
    <row r="110" spans="1:9" x14ac:dyDescent="0.25">
      <c r="C110" s="9" t="s">
        <v>295</v>
      </c>
      <c r="D110" s="9" t="s">
        <v>205</v>
      </c>
      <c r="E110" s="9" t="s">
        <v>213</v>
      </c>
      <c r="G110" s="26"/>
      <c r="H110" s="20"/>
      <c r="I110" s="27"/>
    </row>
    <row r="111" spans="1:9" x14ac:dyDescent="0.25">
      <c r="C111" s="9" t="s">
        <v>296</v>
      </c>
      <c r="D111" s="9" t="s">
        <v>297</v>
      </c>
      <c r="E111" s="9" t="s">
        <v>213</v>
      </c>
      <c r="G111" s="26"/>
      <c r="H111" s="20"/>
      <c r="I111" s="27"/>
    </row>
    <row r="112" spans="1:9" x14ac:dyDescent="0.25">
      <c r="C112" s="9" t="s">
        <v>298</v>
      </c>
      <c r="D112" s="9" t="s">
        <v>198</v>
      </c>
      <c r="E112" s="9" t="s">
        <v>213</v>
      </c>
      <c r="G112" s="26"/>
      <c r="H112" s="20"/>
      <c r="I112" s="27"/>
    </row>
    <row r="113" spans="1:23" x14ac:dyDescent="0.25">
      <c r="C113" s="9" t="s">
        <v>299</v>
      </c>
      <c r="D113" s="9" t="s">
        <v>167</v>
      </c>
      <c r="E113" s="9" t="s">
        <v>213</v>
      </c>
      <c r="G113" s="26"/>
      <c r="H113" s="20"/>
      <c r="I113" s="27"/>
    </row>
    <row r="114" spans="1:23" x14ac:dyDescent="0.25">
      <c r="C114" s="9" t="s">
        <v>300</v>
      </c>
      <c r="D114" s="9" t="s">
        <v>249</v>
      </c>
      <c r="E114" s="9" t="s">
        <v>213</v>
      </c>
      <c r="G114" s="26"/>
      <c r="H114" s="20"/>
      <c r="I114" s="27"/>
    </row>
    <row r="115" spans="1:23" x14ac:dyDescent="0.25">
      <c r="C115" s="9" t="s">
        <v>301</v>
      </c>
      <c r="D115" s="9" t="s">
        <v>190</v>
      </c>
      <c r="E115" s="9" t="s">
        <v>213</v>
      </c>
      <c r="G115" s="26"/>
      <c r="H115" s="20"/>
      <c r="I115" s="27"/>
    </row>
    <row r="116" spans="1:23" x14ac:dyDescent="0.25">
      <c r="C116" s="9" t="s">
        <v>302</v>
      </c>
      <c r="D116" s="9" t="s">
        <v>252</v>
      </c>
      <c r="E116" s="9" t="s">
        <v>213</v>
      </c>
      <c r="G116" s="26"/>
      <c r="H116" s="20"/>
      <c r="I116" s="27"/>
    </row>
    <row r="117" spans="1:23" x14ac:dyDescent="0.25">
      <c r="C117" s="9" t="s">
        <v>215</v>
      </c>
      <c r="D117" s="9" t="s">
        <v>169</v>
      </c>
      <c r="E117" s="9" t="s">
        <v>213</v>
      </c>
      <c r="G117" s="26">
        <v>-0.17</v>
      </c>
      <c r="H117" s="20">
        <v>0.3</v>
      </c>
      <c r="I117" s="27"/>
    </row>
    <row r="118" spans="1:23" x14ac:dyDescent="0.25">
      <c r="C118" s="9" t="s">
        <v>216</v>
      </c>
      <c r="D118" s="9" t="s">
        <v>171</v>
      </c>
      <c r="E118" s="9" t="s">
        <v>213</v>
      </c>
      <c r="G118" s="26">
        <v>-12.868570999999999</v>
      </c>
      <c r="H118" s="20">
        <v>8.6858869999999992</v>
      </c>
      <c r="I118" s="27"/>
    </row>
    <row r="121" spans="1:23" ht="13.8" x14ac:dyDescent="0.3">
      <c r="A121" s="10" t="s">
        <v>22</v>
      </c>
      <c r="B121" s="10"/>
      <c r="C121" s="10"/>
      <c r="D121" s="10"/>
      <c r="E121" s="10"/>
      <c r="F121" s="10"/>
      <c r="G121" s="10"/>
      <c r="H121" s="10"/>
      <c r="I121" s="10"/>
      <c r="J121" s="10"/>
      <c r="K121" s="10"/>
      <c r="L121" s="10"/>
      <c r="M121" s="10"/>
      <c r="N121" s="10"/>
      <c r="O121" s="10"/>
      <c r="P121" s="10"/>
      <c r="Q121" s="10"/>
      <c r="R121" s="10"/>
      <c r="S121" s="10"/>
      <c r="T121" s="10"/>
      <c r="U121" s="10"/>
      <c r="V121" s="10"/>
      <c r="W121" s="10"/>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sheetPr>
  <dimension ref="A1:AB64"/>
  <sheetViews>
    <sheetView zoomScaleNormal="100" workbookViewId="0">
      <pane ySplit="1" topLeftCell="A2" activePane="bottomLeft" state="frozen"/>
      <selection pane="bottomLeft" activeCell="A2" sqref="A2"/>
    </sheetView>
  </sheetViews>
  <sheetFormatPr defaultRowHeight="13.2" x14ac:dyDescent="0.25"/>
  <cols>
    <col min="1" max="2" width="2.77734375" customWidth="1"/>
    <col min="3" max="3" width="19.77734375" bestFit="1" customWidth="1"/>
    <col min="4" max="4" width="10.44140625" bestFit="1" customWidth="1"/>
    <col min="5" max="5" width="22.21875" bestFit="1" customWidth="1"/>
    <col min="6" max="6" width="2.77734375" customWidth="1"/>
    <col min="12" max="28" width="9" style="9"/>
  </cols>
  <sheetData>
    <row r="1" spans="1:28" ht="30" x14ac:dyDescent="0.5">
      <c r="A1" s="30" t="s">
        <v>525</v>
      </c>
      <c r="B1" s="30"/>
      <c r="C1" s="30"/>
      <c r="D1" s="30"/>
      <c r="E1" s="30"/>
      <c r="F1" s="30"/>
      <c r="G1" s="30"/>
      <c r="H1" s="30"/>
      <c r="I1" s="30"/>
      <c r="J1" s="30"/>
      <c r="K1" s="30"/>
      <c r="L1" s="30"/>
      <c r="M1" s="30"/>
      <c r="N1" s="30"/>
      <c r="O1" s="30"/>
      <c r="P1" s="30"/>
      <c r="Q1" s="30"/>
      <c r="R1" s="30"/>
      <c r="S1" s="30"/>
      <c r="T1" s="30"/>
      <c r="U1" s="30"/>
      <c r="V1" s="30"/>
      <c r="W1" s="30"/>
      <c r="X1" s="30"/>
      <c r="Y1" s="30"/>
      <c r="Z1" s="30"/>
      <c r="AA1" s="30"/>
      <c r="AB1" s="30"/>
    </row>
    <row r="2" spans="1:28" x14ac:dyDescent="0.25">
      <c r="A2" s="9"/>
      <c r="B2" s="9"/>
      <c r="C2" s="9"/>
      <c r="D2" s="9"/>
      <c r="E2" s="9"/>
      <c r="F2" s="9"/>
      <c r="G2" s="9"/>
      <c r="H2" s="9"/>
      <c r="I2" s="9"/>
      <c r="J2" s="9"/>
      <c r="K2" s="9"/>
    </row>
    <row r="3" spans="1:28" x14ac:dyDescent="0.25">
      <c r="A3" s="9"/>
      <c r="B3" s="4" t="s">
        <v>526</v>
      </c>
      <c r="C3" s="9"/>
      <c r="D3" s="9"/>
      <c r="E3" s="9"/>
      <c r="F3" s="9"/>
      <c r="G3" s="9"/>
      <c r="H3" s="9"/>
      <c r="I3" s="9"/>
      <c r="J3" s="9"/>
      <c r="K3" s="9"/>
    </row>
    <row r="5" spans="1:28" ht="13.8" x14ac:dyDescent="0.3">
      <c r="A5" s="32" t="s">
        <v>147</v>
      </c>
      <c r="B5" s="32"/>
      <c r="C5" s="32"/>
      <c r="D5" s="32"/>
      <c r="E5" s="32"/>
      <c r="F5" s="32"/>
      <c r="G5" s="32"/>
      <c r="H5" s="32"/>
      <c r="I5" s="32"/>
      <c r="J5" s="32"/>
      <c r="K5" s="32"/>
      <c r="L5" s="32"/>
      <c r="M5" s="32"/>
      <c r="N5" s="32"/>
      <c r="O5" s="32"/>
      <c r="P5" s="32"/>
      <c r="Q5" s="32"/>
      <c r="R5" s="32"/>
      <c r="S5" s="32"/>
      <c r="T5" s="32"/>
      <c r="U5" s="32"/>
      <c r="V5" s="32"/>
      <c r="W5" s="32"/>
      <c r="X5" s="32"/>
      <c r="Y5" s="32"/>
      <c r="Z5" s="32"/>
      <c r="AA5" s="32"/>
      <c r="AB5" s="32"/>
    </row>
    <row r="6" spans="1:28" x14ac:dyDescent="0.25">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row>
    <row r="7" spans="1:28" ht="15" x14ac:dyDescent="0.35">
      <c r="A7" s="35" t="s">
        <v>527</v>
      </c>
      <c r="B7" s="31"/>
      <c r="C7" s="31"/>
      <c r="D7" s="31"/>
      <c r="E7" s="31"/>
      <c r="F7" s="31"/>
      <c r="G7" s="31"/>
      <c r="H7" s="31"/>
      <c r="I7" s="31"/>
      <c r="J7" s="31"/>
      <c r="K7" s="31"/>
      <c r="L7" s="31"/>
      <c r="M7" s="31"/>
      <c r="N7" s="31"/>
      <c r="O7" s="31"/>
      <c r="P7" s="31"/>
      <c r="Q7" s="31"/>
      <c r="R7" s="31"/>
      <c r="S7" s="31"/>
      <c r="T7" s="31"/>
      <c r="U7" s="31"/>
      <c r="V7" s="31"/>
      <c r="W7" s="31"/>
      <c r="X7" s="31"/>
      <c r="Y7" s="31"/>
      <c r="Z7" s="31"/>
      <c r="AA7" s="31"/>
      <c r="AB7" s="31"/>
    </row>
    <row r="8" spans="1:28" x14ac:dyDescent="0.25">
      <c r="A8" s="31"/>
      <c r="B8" s="33"/>
      <c r="C8" s="31"/>
      <c r="D8" s="31"/>
      <c r="E8" s="31"/>
      <c r="F8" s="31"/>
      <c r="G8" s="31"/>
      <c r="H8" s="31"/>
      <c r="I8" s="31"/>
      <c r="J8" s="31"/>
      <c r="K8" s="31"/>
      <c r="L8" s="31"/>
      <c r="M8" s="31"/>
      <c r="N8" s="31"/>
      <c r="O8" s="31"/>
      <c r="P8" s="31"/>
      <c r="Q8" s="31"/>
      <c r="R8" s="31"/>
      <c r="S8" s="31"/>
      <c r="T8" s="31"/>
      <c r="U8" s="31"/>
      <c r="V8" s="31"/>
      <c r="W8" s="31"/>
      <c r="X8" s="31"/>
      <c r="Y8" s="31"/>
      <c r="Z8" s="31"/>
      <c r="AA8" s="31"/>
      <c r="AB8" s="31"/>
    </row>
    <row r="9" spans="1:28" x14ac:dyDescent="0.25">
      <c r="A9" s="31"/>
      <c r="B9" s="31"/>
      <c r="C9" s="31" t="s">
        <v>149</v>
      </c>
      <c r="D9" s="31" t="s">
        <v>150</v>
      </c>
      <c r="E9" s="31" t="s">
        <v>151</v>
      </c>
      <c r="F9" s="31"/>
      <c r="G9" s="31" t="s">
        <v>174</v>
      </c>
      <c r="H9" s="31" t="s">
        <v>175</v>
      </c>
      <c r="I9" s="31" t="s">
        <v>176</v>
      </c>
      <c r="J9" s="31" t="s">
        <v>177</v>
      </c>
      <c r="K9" s="31" t="s">
        <v>178</v>
      </c>
      <c r="L9" s="31"/>
      <c r="M9" s="31"/>
      <c r="N9" s="31"/>
      <c r="O9" s="31"/>
      <c r="P9" s="31"/>
      <c r="Q9" s="31"/>
      <c r="R9" s="31"/>
      <c r="S9" s="31"/>
      <c r="T9" s="31"/>
      <c r="U9" s="31"/>
      <c r="V9" s="31"/>
      <c r="W9" s="31"/>
      <c r="X9" s="31"/>
      <c r="Y9" s="31"/>
      <c r="Z9" s="31"/>
      <c r="AA9" s="31"/>
      <c r="AB9" s="31"/>
    </row>
    <row r="10" spans="1:28" x14ac:dyDescent="0.25">
      <c r="A10" s="31"/>
      <c r="B10" s="31"/>
      <c r="C10" s="31" t="s">
        <v>156</v>
      </c>
      <c r="D10" s="31" t="s">
        <v>157</v>
      </c>
      <c r="E10" s="31" t="s">
        <v>179</v>
      </c>
      <c r="F10" s="31"/>
      <c r="G10" s="83">
        <v>173</v>
      </c>
      <c r="H10" s="83">
        <v>168.5</v>
      </c>
      <c r="I10" s="83">
        <v>163.30000000000001</v>
      </c>
      <c r="J10" s="83">
        <v>156.30000000000001</v>
      </c>
      <c r="K10" s="83">
        <v>149.19999999999999</v>
      </c>
      <c r="L10" s="59"/>
      <c r="M10" s="59"/>
      <c r="N10" s="59"/>
      <c r="O10" s="59"/>
      <c r="P10" s="59"/>
      <c r="Q10" s="59"/>
      <c r="R10" s="59"/>
      <c r="S10" s="59"/>
      <c r="T10" s="59"/>
      <c r="U10" s="59"/>
      <c r="V10" s="59"/>
      <c r="W10" s="59"/>
      <c r="X10" s="59"/>
      <c r="Y10" s="59"/>
      <c r="Z10" s="59"/>
      <c r="AA10" s="59"/>
      <c r="AB10" s="59"/>
    </row>
    <row r="11" spans="1:28" x14ac:dyDescent="0.25">
      <c r="A11" s="31"/>
      <c r="B11" s="31"/>
      <c r="C11" s="31" t="s">
        <v>160</v>
      </c>
      <c r="D11" s="31" t="s">
        <v>161</v>
      </c>
      <c r="E11" s="31" t="s">
        <v>179</v>
      </c>
      <c r="F11" s="31"/>
      <c r="G11" s="83">
        <v>97.5</v>
      </c>
      <c r="H11" s="83">
        <v>92.7</v>
      </c>
      <c r="I11" s="83">
        <v>87.8</v>
      </c>
      <c r="J11" s="83">
        <v>83</v>
      </c>
      <c r="K11" s="83">
        <v>78.099999999999994</v>
      </c>
      <c r="L11" s="59"/>
      <c r="M11" s="59"/>
      <c r="N11" s="59"/>
      <c r="O11" s="59"/>
      <c r="P11" s="59"/>
      <c r="Q11" s="59"/>
      <c r="R11" s="59"/>
      <c r="S11" s="59"/>
      <c r="T11" s="59"/>
      <c r="U11" s="59"/>
      <c r="V11" s="59"/>
      <c r="W11" s="59"/>
      <c r="X11" s="59"/>
      <c r="Y11" s="59"/>
      <c r="Z11" s="59"/>
      <c r="AA11" s="59"/>
      <c r="AB11" s="59"/>
    </row>
    <row r="12" spans="1:28" x14ac:dyDescent="0.25">
      <c r="A12" s="31"/>
      <c r="B12" s="31"/>
      <c r="C12" s="31" t="s">
        <v>162</v>
      </c>
      <c r="D12" s="31" t="s">
        <v>163</v>
      </c>
      <c r="E12" s="31" t="s">
        <v>179</v>
      </c>
      <c r="F12" s="31"/>
      <c r="G12" s="83">
        <v>61.9</v>
      </c>
      <c r="H12" s="83">
        <v>60.4</v>
      </c>
      <c r="I12" s="83">
        <v>58.2</v>
      </c>
      <c r="J12" s="83">
        <v>56</v>
      </c>
      <c r="K12" s="83">
        <v>53.8</v>
      </c>
      <c r="L12" s="59"/>
      <c r="M12" s="59"/>
      <c r="N12" s="59"/>
      <c r="O12" s="59"/>
      <c r="P12" s="59"/>
      <c r="Q12" s="59"/>
      <c r="R12" s="59"/>
      <c r="S12" s="59"/>
      <c r="T12" s="59"/>
      <c r="U12" s="59"/>
      <c r="V12" s="59"/>
      <c r="W12" s="59"/>
      <c r="X12" s="59"/>
      <c r="Y12" s="59"/>
      <c r="Z12" s="59"/>
      <c r="AA12" s="59"/>
      <c r="AB12" s="59"/>
    </row>
    <row r="13" spans="1:28" x14ac:dyDescent="0.25">
      <c r="A13" s="31"/>
      <c r="B13" s="31"/>
      <c r="C13" s="31" t="s">
        <v>164</v>
      </c>
      <c r="D13" s="31" t="s">
        <v>165</v>
      </c>
      <c r="E13" s="31" t="s">
        <v>179</v>
      </c>
      <c r="F13" s="31"/>
      <c r="G13" s="83">
        <v>23.6</v>
      </c>
      <c r="H13" s="83">
        <v>22.7</v>
      </c>
      <c r="I13" s="83">
        <v>21.5</v>
      </c>
      <c r="J13" s="83">
        <v>20.100000000000001</v>
      </c>
      <c r="K13" s="83">
        <v>18.899999999999999</v>
      </c>
      <c r="L13" s="59"/>
      <c r="M13" s="59"/>
      <c r="N13" s="59"/>
      <c r="O13" s="59"/>
      <c r="P13" s="59"/>
      <c r="Q13" s="59"/>
      <c r="R13" s="59"/>
      <c r="S13" s="59"/>
      <c r="T13" s="59"/>
      <c r="U13" s="59"/>
      <c r="V13" s="59"/>
      <c r="W13" s="59"/>
      <c r="X13" s="59"/>
      <c r="Y13" s="59"/>
      <c r="Z13" s="59"/>
      <c r="AA13" s="59"/>
      <c r="AB13" s="59"/>
    </row>
    <row r="14" spans="1:28" x14ac:dyDescent="0.25">
      <c r="A14" s="31"/>
      <c r="B14" s="31"/>
      <c r="C14" s="31" t="s">
        <v>166</v>
      </c>
      <c r="D14" s="31" t="s">
        <v>167</v>
      </c>
      <c r="E14" s="31" t="s">
        <v>179</v>
      </c>
      <c r="F14" s="31"/>
      <c r="G14" s="83">
        <v>83.8</v>
      </c>
      <c r="H14" s="83">
        <v>80.2</v>
      </c>
      <c r="I14" s="83">
        <v>76.599999999999994</v>
      </c>
      <c r="J14" s="83">
        <v>72.900000000000006</v>
      </c>
      <c r="K14" s="83">
        <v>69.2</v>
      </c>
      <c r="L14" s="59"/>
      <c r="M14" s="59"/>
      <c r="N14" s="59"/>
      <c r="O14" s="59"/>
      <c r="P14" s="59"/>
      <c r="Q14" s="59"/>
      <c r="R14" s="59"/>
      <c r="S14" s="59"/>
      <c r="T14" s="59"/>
      <c r="U14" s="59"/>
      <c r="V14" s="59"/>
      <c r="W14" s="59"/>
      <c r="X14" s="59"/>
      <c r="Y14" s="59"/>
      <c r="Z14" s="59"/>
      <c r="AA14" s="59"/>
      <c r="AB14" s="59"/>
    </row>
    <row r="15" spans="1:28" x14ac:dyDescent="0.25">
      <c r="A15" s="31"/>
      <c r="B15" s="31"/>
      <c r="C15" s="31" t="s">
        <v>168</v>
      </c>
      <c r="D15" s="31" t="s">
        <v>169</v>
      </c>
      <c r="E15" s="31" t="s">
        <v>179</v>
      </c>
      <c r="F15" s="31"/>
      <c r="G15" s="83">
        <v>57.6</v>
      </c>
      <c r="H15" s="83">
        <v>57.6</v>
      </c>
      <c r="I15" s="83">
        <v>57.6</v>
      </c>
      <c r="J15" s="83">
        <v>57.6</v>
      </c>
      <c r="K15" s="83">
        <v>57.6</v>
      </c>
      <c r="L15" s="59"/>
      <c r="M15" s="59"/>
      <c r="N15" s="59"/>
      <c r="O15" s="59"/>
      <c r="P15" s="59"/>
      <c r="Q15" s="59"/>
      <c r="R15" s="59"/>
      <c r="S15" s="59"/>
      <c r="T15" s="59"/>
      <c r="U15" s="59"/>
      <c r="V15" s="59"/>
      <c r="W15" s="59"/>
      <c r="X15" s="59"/>
      <c r="Y15" s="59"/>
      <c r="Z15" s="59"/>
      <c r="AA15" s="59"/>
      <c r="AB15" s="59"/>
    </row>
    <row r="16" spans="1:28" x14ac:dyDescent="0.25">
      <c r="A16" s="31"/>
      <c r="B16" s="31"/>
      <c r="C16" s="31" t="s">
        <v>170</v>
      </c>
      <c r="D16" s="31" t="s">
        <v>171</v>
      </c>
      <c r="E16" s="31" t="s">
        <v>179</v>
      </c>
      <c r="F16" s="31"/>
      <c r="G16" s="83">
        <v>152</v>
      </c>
      <c r="H16" s="83">
        <v>152</v>
      </c>
      <c r="I16" s="83">
        <v>152</v>
      </c>
      <c r="J16" s="83">
        <v>152</v>
      </c>
      <c r="K16" s="83">
        <v>152</v>
      </c>
      <c r="L16" s="59"/>
      <c r="M16" s="59"/>
      <c r="N16" s="59"/>
      <c r="O16" s="59"/>
      <c r="P16" s="59"/>
      <c r="Q16" s="59"/>
      <c r="R16" s="59"/>
      <c r="S16" s="59"/>
      <c r="T16" s="59"/>
      <c r="U16" s="59"/>
      <c r="V16" s="59"/>
      <c r="W16" s="59"/>
      <c r="X16" s="59"/>
      <c r="Y16" s="59"/>
      <c r="Z16" s="59"/>
      <c r="AA16" s="59"/>
      <c r="AB16" s="59"/>
    </row>
    <row r="17" spans="1:28" x14ac:dyDescent="0.25">
      <c r="A17" s="31"/>
      <c r="B17" s="31"/>
      <c r="C17" s="31"/>
      <c r="D17" s="31"/>
      <c r="E17" s="31"/>
      <c r="F17" s="31"/>
      <c r="G17" s="59"/>
      <c r="H17" s="59"/>
      <c r="I17" s="59"/>
      <c r="J17" s="59"/>
      <c r="K17" s="59"/>
      <c r="L17" s="59"/>
      <c r="M17" s="59"/>
      <c r="N17" s="59"/>
      <c r="O17" s="59"/>
      <c r="P17" s="59"/>
      <c r="Q17" s="59"/>
      <c r="R17" s="59"/>
      <c r="S17" s="59"/>
      <c r="T17" s="59"/>
      <c r="U17" s="59"/>
      <c r="V17" s="59"/>
      <c r="W17" s="59"/>
      <c r="X17" s="59"/>
      <c r="Y17" s="59"/>
      <c r="Z17" s="59"/>
      <c r="AA17" s="59"/>
      <c r="AB17" s="59"/>
    </row>
    <row r="18" spans="1:28" ht="13.8" x14ac:dyDescent="0.3">
      <c r="A18" s="32" t="s">
        <v>518</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row>
    <row r="19" spans="1:28" x14ac:dyDescent="0.25">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row>
    <row r="20" spans="1:28" ht="15" x14ac:dyDescent="0.35">
      <c r="A20" s="35" t="s">
        <v>527</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row>
    <row r="21" spans="1:28" x14ac:dyDescent="0.25">
      <c r="A21" s="31"/>
      <c r="B21" s="33"/>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row>
    <row r="22" spans="1:28" x14ac:dyDescent="0.25">
      <c r="A22" s="31"/>
      <c r="B22" s="31"/>
      <c r="C22" s="31" t="s">
        <v>149</v>
      </c>
      <c r="D22" s="31" t="s">
        <v>150</v>
      </c>
      <c r="E22" s="31" t="s">
        <v>151</v>
      </c>
      <c r="F22" s="31"/>
      <c r="G22" s="31" t="s">
        <v>174</v>
      </c>
      <c r="H22" s="31" t="s">
        <v>175</v>
      </c>
      <c r="I22" s="31" t="s">
        <v>176</v>
      </c>
      <c r="J22" s="31" t="s">
        <v>177</v>
      </c>
      <c r="K22" s="31" t="s">
        <v>178</v>
      </c>
      <c r="L22" s="31"/>
      <c r="M22" s="31"/>
      <c r="N22" s="31"/>
      <c r="O22" s="31"/>
      <c r="P22" s="31"/>
      <c r="Q22" s="31"/>
      <c r="R22" s="31"/>
      <c r="S22" s="31"/>
      <c r="T22" s="31"/>
      <c r="U22" s="31"/>
      <c r="V22" s="31"/>
      <c r="W22" s="31"/>
      <c r="X22" s="31"/>
      <c r="Y22" s="31"/>
      <c r="Z22" s="31"/>
      <c r="AA22" s="31"/>
      <c r="AB22" s="31"/>
    </row>
    <row r="23" spans="1:28" x14ac:dyDescent="0.25">
      <c r="A23" s="31"/>
      <c r="B23" s="31"/>
      <c r="C23" s="31" t="s">
        <v>185</v>
      </c>
      <c r="D23" s="31" t="s">
        <v>186</v>
      </c>
      <c r="E23" s="31" t="s">
        <v>528</v>
      </c>
      <c r="F23" s="31"/>
      <c r="G23" s="83">
        <v>17</v>
      </c>
      <c r="H23" s="83">
        <v>16.5</v>
      </c>
      <c r="I23" s="83">
        <v>16</v>
      </c>
      <c r="J23" s="83">
        <v>15.5</v>
      </c>
      <c r="K23" s="83">
        <v>15</v>
      </c>
      <c r="L23" s="59"/>
      <c r="M23" s="59"/>
      <c r="N23" s="59"/>
      <c r="O23" s="59"/>
      <c r="P23" s="59"/>
      <c r="Q23" s="59"/>
      <c r="R23" s="59"/>
      <c r="S23" s="59"/>
      <c r="T23" s="59"/>
      <c r="U23" s="59"/>
      <c r="V23" s="59"/>
      <c r="W23" s="59"/>
      <c r="X23" s="59"/>
      <c r="Y23" s="59"/>
      <c r="Z23" s="59"/>
      <c r="AA23" s="59"/>
      <c r="AB23" s="59"/>
    </row>
    <row r="24" spans="1:28" x14ac:dyDescent="0.25">
      <c r="A24" s="31"/>
      <c r="B24" s="31"/>
      <c r="C24" s="31" t="s">
        <v>189</v>
      </c>
      <c r="D24" s="31" t="s">
        <v>190</v>
      </c>
      <c r="E24" s="31" t="s">
        <v>528</v>
      </c>
      <c r="F24" s="31"/>
      <c r="G24" s="83">
        <v>17</v>
      </c>
      <c r="H24" s="83">
        <v>16.5</v>
      </c>
      <c r="I24" s="83">
        <v>16</v>
      </c>
      <c r="J24" s="83">
        <v>15.5</v>
      </c>
      <c r="K24" s="83">
        <v>15</v>
      </c>
      <c r="L24" s="59"/>
      <c r="M24" s="59"/>
      <c r="N24" s="59"/>
      <c r="O24" s="59"/>
      <c r="P24" s="59"/>
      <c r="Q24" s="59"/>
      <c r="R24" s="59"/>
      <c r="S24" s="59"/>
      <c r="T24" s="59"/>
      <c r="U24" s="59"/>
      <c r="V24" s="59"/>
      <c r="W24" s="59"/>
      <c r="X24" s="59"/>
      <c r="Y24" s="59"/>
      <c r="Z24" s="59"/>
      <c r="AA24" s="59"/>
      <c r="AB24" s="59"/>
    </row>
    <row r="25" spans="1:28" x14ac:dyDescent="0.25">
      <c r="A25" s="31"/>
      <c r="B25" s="31"/>
      <c r="C25" s="31" t="s">
        <v>191</v>
      </c>
      <c r="D25" s="31" t="s">
        <v>169</v>
      </c>
      <c r="E25" s="31" t="s">
        <v>528</v>
      </c>
      <c r="F25" s="31"/>
      <c r="G25" s="83">
        <v>21</v>
      </c>
      <c r="H25" s="83">
        <v>20</v>
      </c>
      <c r="I25" s="83">
        <v>19</v>
      </c>
      <c r="J25" s="83">
        <v>18</v>
      </c>
      <c r="K25" s="83">
        <v>17</v>
      </c>
      <c r="L25" s="59"/>
      <c r="M25" s="59"/>
      <c r="N25" s="59"/>
      <c r="O25" s="59"/>
      <c r="P25" s="59"/>
      <c r="Q25" s="59"/>
      <c r="R25" s="59"/>
      <c r="S25" s="59"/>
      <c r="T25" s="59"/>
      <c r="U25" s="59"/>
      <c r="V25" s="59"/>
      <c r="W25" s="59"/>
      <c r="X25" s="59"/>
      <c r="Y25" s="59"/>
      <c r="Z25" s="59"/>
      <c r="AA25" s="59"/>
      <c r="AB25" s="59"/>
    </row>
    <row r="26" spans="1:28" x14ac:dyDescent="0.25">
      <c r="A26" s="31"/>
      <c r="B26" s="31"/>
      <c r="C26" s="31" t="s">
        <v>192</v>
      </c>
      <c r="D26" s="31" t="s">
        <v>171</v>
      </c>
      <c r="E26" s="31" t="s">
        <v>528</v>
      </c>
      <c r="F26" s="31"/>
      <c r="G26" s="83">
        <v>18</v>
      </c>
      <c r="H26" s="83">
        <v>18</v>
      </c>
      <c r="I26" s="83">
        <v>18</v>
      </c>
      <c r="J26" s="83">
        <v>18</v>
      </c>
      <c r="K26" s="83">
        <v>18</v>
      </c>
      <c r="L26" s="59"/>
      <c r="M26" s="59"/>
      <c r="N26" s="59"/>
      <c r="O26" s="59"/>
      <c r="P26" s="59"/>
      <c r="Q26" s="59"/>
      <c r="R26" s="59"/>
      <c r="S26" s="59"/>
      <c r="T26" s="59"/>
      <c r="U26" s="59"/>
      <c r="V26" s="59"/>
      <c r="W26" s="59"/>
      <c r="X26" s="59"/>
      <c r="Y26" s="59"/>
      <c r="Z26" s="59"/>
      <c r="AA26" s="59"/>
      <c r="AB26" s="59"/>
    </row>
    <row r="27" spans="1:28" x14ac:dyDescent="0.25">
      <c r="A27" s="31"/>
      <c r="B27" s="31"/>
      <c r="C27" s="9"/>
      <c r="D27" s="9"/>
      <c r="E27" s="9"/>
      <c r="F27" s="31"/>
      <c r="G27" s="59"/>
      <c r="H27" s="59"/>
      <c r="I27" s="59"/>
      <c r="J27" s="59"/>
      <c r="K27" s="59"/>
      <c r="L27" s="59"/>
      <c r="M27" s="59"/>
      <c r="N27" s="59"/>
      <c r="O27" s="59"/>
      <c r="P27" s="59"/>
      <c r="Q27" s="59"/>
      <c r="R27" s="59"/>
      <c r="S27" s="59"/>
      <c r="T27" s="59"/>
      <c r="U27" s="59"/>
      <c r="V27" s="59"/>
      <c r="W27" s="59"/>
      <c r="X27" s="59"/>
      <c r="Y27" s="59"/>
      <c r="Z27" s="59"/>
      <c r="AA27" s="59"/>
      <c r="AB27" s="59"/>
    </row>
    <row r="28" spans="1:28" ht="13.8" x14ac:dyDescent="0.3">
      <c r="A28" s="32" t="s">
        <v>196</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row>
    <row r="29" spans="1:28" x14ac:dyDescent="0.25">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row>
    <row r="30" spans="1:28" ht="15" x14ac:dyDescent="0.35">
      <c r="A30" s="35" t="s">
        <v>527</v>
      </c>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row>
    <row r="31" spans="1:28" x14ac:dyDescent="0.25">
      <c r="A31" s="31"/>
      <c r="B31" s="33"/>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row>
    <row r="32" spans="1:28" x14ac:dyDescent="0.25">
      <c r="A32" s="31"/>
      <c r="B32" s="31"/>
      <c r="C32" s="31" t="s">
        <v>149</v>
      </c>
      <c r="D32" s="31" t="s">
        <v>150</v>
      </c>
      <c r="E32" s="31" t="s">
        <v>151</v>
      </c>
      <c r="F32" s="31"/>
      <c r="G32" s="31" t="s">
        <v>174</v>
      </c>
      <c r="H32" s="31" t="s">
        <v>175</v>
      </c>
      <c r="I32" s="31" t="s">
        <v>176</v>
      </c>
      <c r="J32" s="31" t="s">
        <v>177</v>
      </c>
      <c r="K32" s="31" t="s">
        <v>178</v>
      </c>
      <c r="L32" s="31"/>
      <c r="M32" s="31"/>
      <c r="N32" s="31"/>
      <c r="O32" s="31"/>
      <c r="P32" s="31"/>
      <c r="Q32" s="31"/>
      <c r="R32" s="31"/>
      <c r="S32" s="31"/>
      <c r="T32" s="31"/>
      <c r="U32" s="31"/>
      <c r="V32" s="31"/>
      <c r="W32" s="31"/>
      <c r="X32" s="31"/>
      <c r="Y32" s="31"/>
      <c r="Z32" s="31"/>
      <c r="AA32" s="31"/>
      <c r="AB32" s="31"/>
    </row>
    <row r="33" spans="1:28" x14ac:dyDescent="0.25">
      <c r="A33" s="31"/>
      <c r="B33" s="31"/>
      <c r="C33" s="31" t="s">
        <v>197</v>
      </c>
      <c r="D33" s="31" t="s">
        <v>198</v>
      </c>
      <c r="E33" s="31" t="s">
        <v>529</v>
      </c>
      <c r="F33" s="31"/>
      <c r="G33" s="47">
        <v>1.24</v>
      </c>
      <c r="H33" s="47">
        <v>1.21</v>
      </c>
      <c r="I33" s="47">
        <v>1.18</v>
      </c>
      <c r="J33" s="47">
        <v>1.1499999999999999</v>
      </c>
      <c r="K33" s="47">
        <v>1.1100000000000001</v>
      </c>
      <c r="L33" s="58"/>
      <c r="M33" s="58"/>
      <c r="N33" s="58"/>
      <c r="O33" s="58"/>
      <c r="P33" s="58"/>
      <c r="Q33" s="58"/>
      <c r="R33" s="58"/>
      <c r="S33" s="58"/>
      <c r="T33" s="58"/>
      <c r="U33" s="58"/>
      <c r="V33" s="58"/>
      <c r="W33" s="58"/>
      <c r="X33" s="58"/>
      <c r="Y33" s="58"/>
      <c r="Z33" s="58"/>
      <c r="AA33" s="58"/>
      <c r="AB33" s="58"/>
    </row>
    <row r="34" spans="1:28" x14ac:dyDescent="0.25">
      <c r="A34" s="31"/>
      <c r="B34" s="31"/>
      <c r="C34" s="31" t="s">
        <v>200</v>
      </c>
      <c r="D34" s="31" t="s">
        <v>167</v>
      </c>
      <c r="E34" s="31" t="s">
        <v>529</v>
      </c>
      <c r="F34" s="31"/>
      <c r="G34" s="47">
        <v>1.22</v>
      </c>
      <c r="H34" s="47">
        <v>1.1599999999999999</v>
      </c>
      <c r="I34" s="47">
        <v>1.1000000000000001</v>
      </c>
      <c r="J34" s="47">
        <v>1.04</v>
      </c>
      <c r="K34" s="47">
        <v>0.98</v>
      </c>
      <c r="L34" s="58"/>
      <c r="M34" s="58"/>
      <c r="N34" s="58"/>
      <c r="O34" s="58"/>
      <c r="P34" s="58"/>
      <c r="Q34" s="58"/>
      <c r="R34" s="58"/>
      <c r="S34" s="58"/>
      <c r="T34" s="58"/>
      <c r="U34" s="58"/>
      <c r="V34" s="58"/>
      <c r="W34" s="58"/>
      <c r="X34" s="58"/>
      <c r="Y34" s="58"/>
      <c r="Z34" s="58"/>
      <c r="AA34" s="58"/>
      <c r="AB34" s="58"/>
    </row>
    <row r="35" spans="1:28" x14ac:dyDescent="0.25">
      <c r="A35" s="31"/>
      <c r="B35" s="31"/>
      <c r="C35" s="31" t="s">
        <v>201</v>
      </c>
      <c r="D35" s="31" t="s">
        <v>169</v>
      </c>
      <c r="E35" s="31" t="s">
        <v>529</v>
      </c>
      <c r="F35" s="31"/>
      <c r="G35" s="47">
        <v>1.24</v>
      </c>
      <c r="H35" s="47">
        <v>1.24</v>
      </c>
      <c r="I35" s="47">
        <v>1.24</v>
      </c>
      <c r="J35" s="47">
        <v>1.24</v>
      </c>
      <c r="K35" s="47">
        <v>1.24</v>
      </c>
      <c r="L35" s="58"/>
      <c r="M35" s="58"/>
      <c r="N35" s="58"/>
      <c r="O35" s="58"/>
      <c r="P35" s="58"/>
      <c r="Q35" s="58"/>
      <c r="R35" s="58"/>
      <c r="S35" s="58"/>
      <c r="T35" s="58"/>
      <c r="U35" s="58"/>
      <c r="V35" s="58"/>
      <c r="W35" s="58"/>
      <c r="X35" s="58"/>
      <c r="Y35" s="58"/>
      <c r="Z35" s="58"/>
      <c r="AA35" s="58"/>
      <c r="AB35" s="58"/>
    </row>
    <row r="36" spans="1:28" x14ac:dyDescent="0.25">
      <c r="A36" s="31"/>
      <c r="B36" s="31"/>
      <c r="C36" s="9"/>
      <c r="D36" s="9"/>
      <c r="E36" s="9"/>
      <c r="F36" s="31"/>
      <c r="G36" s="58"/>
      <c r="H36" s="58"/>
      <c r="I36" s="58"/>
      <c r="J36" s="58"/>
      <c r="K36" s="58"/>
      <c r="L36" s="58"/>
      <c r="M36" s="58"/>
      <c r="N36" s="58"/>
      <c r="O36" s="58"/>
      <c r="P36" s="58"/>
      <c r="Q36" s="58"/>
      <c r="R36" s="58"/>
      <c r="S36" s="58"/>
      <c r="T36" s="58"/>
      <c r="U36" s="58"/>
      <c r="V36" s="58"/>
      <c r="W36" s="58"/>
      <c r="X36" s="58"/>
      <c r="Y36" s="58"/>
      <c r="Z36" s="58"/>
      <c r="AA36" s="58"/>
      <c r="AB36" s="58"/>
    </row>
    <row r="37" spans="1:28" ht="13.8" x14ac:dyDescent="0.3">
      <c r="A37" s="32" t="s">
        <v>519</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row>
    <row r="38" spans="1:28" x14ac:dyDescent="0.25">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row>
    <row r="39" spans="1:28" ht="15" x14ac:dyDescent="0.35">
      <c r="A39" s="35" t="s">
        <v>527</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row>
    <row r="40" spans="1:28" x14ac:dyDescent="0.25">
      <c r="A40" s="31"/>
      <c r="B40" s="33"/>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row>
    <row r="41" spans="1:28" x14ac:dyDescent="0.25">
      <c r="A41" s="31"/>
      <c r="B41" s="31"/>
      <c r="C41" s="31" t="s">
        <v>149</v>
      </c>
      <c r="D41" s="31" t="s">
        <v>150</v>
      </c>
      <c r="E41" s="31" t="s">
        <v>151</v>
      </c>
      <c r="F41" s="31"/>
      <c r="G41" s="31" t="s">
        <v>174</v>
      </c>
      <c r="H41" s="31" t="s">
        <v>175</v>
      </c>
      <c r="I41" s="31" t="s">
        <v>176</v>
      </c>
      <c r="J41" s="31" t="s">
        <v>177</v>
      </c>
      <c r="K41" s="31" t="s">
        <v>178</v>
      </c>
      <c r="L41" s="31"/>
      <c r="M41" s="31"/>
      <c r="N41" s="31"/>
      <c r="O41" s="31"/>
      <c r="P41" s="31"/>
      <c r="Q41" s="31"/>
      <c r="R41" s="31"/>
      <c r="S41" s="31"/>
      <c r="T41" s="31"/>
      <c r="U41" s="31"/>
      <c r="V41" s="31"/>
      <c r="W41" s="31"/>
      <c r="X41" s="31"/>
      <c r="Y41" s="31"/>
      <c r="Z41" s="31"/>
      <c r="AA41" s="31"/>
      <c r="AB41" s="31"/>
    </row>
    <row r="42" spans="1:28" x14ac:dyDescent="0.25">
      <c r="A42" s="31"/>
      <c r="B42" s="31"/>
      <c r="C42" s="31" t="s">
        <v>204</v>
      </c>
      <c r="D42" s="31" t="s">
        <v>205</v>
      </c>
      <c r="E42" s="31" t="s">
        <v>210</v>
      </c>
      <c r="F42" s="31"/>
      <c r="G42" s="83">
        <v>128.89045270738984</v>
      </c>
      <c r="H42" s="83">
        <v>125.82378604072319</v>
      </c>
      <c r="I42" s="83">
        <v>122.79378604072321</v>
      </c>
      <c r="J42" s="83">
        <v>120.66045270738988</v>
      </c>
      <c r="K42" s="83">
        <v>118.99378604072321</v>
      </c>
      <c r="L42" s="59"/>
      <c r="M42" s="59"/>
      <c r="N42" s="59"/>
      <c r="O42" s="59"/>
      <c r="P42" s="59"/>
      <c r="Q42" s="59"/>
      <c r="R42" s="59"/>
      <c r="S42" s="59"/>
      <c r="T42" s="59"/>
      <c r="U42" s="59"/>
      <c r="V42" s="59"/>
      <c r="W42" s="59"/>
      <c r="X42" s="59"/>
      <c r="Y42" s="59"/>
      <c r="Z42" s="59"/>
      <c r="AA42" s="59"/>
      <c r="AB42" s="59"/>
    </row>
    <row r="43" spans="1:28" x14ac:dyDescent="0.25">
      <c r="A43" s="31"/>
      <c r="B43" s="31"/>
      <c r="C43" s="31" t="s">
        <v>207</v>
      </c>
      <c r="D43" s="31" t="s">
        <v>169</v>
      </c>
      <c r="E43" s="31" t="s">
        <v>210</v>
      </c>
      <c r="F43" s="31"/>
      <c r="G43" s="83"/>
      <c r="H43" s="83"/>
      <c r="I43" s="83"/>
      <c r="J43" s="83"/>
      <c r="K43" s="83"/>
      <c r="L43" s="59"/>
      <c r="M43" s="59"/>
      <c r="N43" s="59"/>
      <c r="O43" s="59"/>
      <c r="P43" s="59"/>
      <c r="Q43" s="59"/>
      <c r="R43" s="59"/>
      <c r="S43" s="59"/>
      <c r="T43" s="59"/>
      <c r="U43" s="59"/>
      <c r="V43" s="59"/>
      <c r="W43" s="59"/>
      <c r="X43" s="59"/>
      <c r="Y43" s="59"/>
      <c r="Z43" s="59"/>
      <c r="AA43" s="59"/>
      <c r="AB43" s="59"/>
    </row>
    <row r="44" spans="1:28" x14ac:dyDescent="0.25">
      <c r="A44" s="31"/>
      <c r="B44" s="31"/>
      <c r="C44" s="31" t="s">
        <v>208</v>
      </c>
      <c r="D44" s="31" t="s">
        <v>171</v>
      </c>
      <c r="E44" s="31" t="s">
        <v>210</v>
      </c>
      <c r="F44" s="31"/>
      <c r="G44" s="83">
        <v>115</v>
      </c>
      <c r="H44" s="83">
        <v>115</v>
      </c>
      <c r="I44" s="83">
        <v>115</v>
      </c>
      <c r="J44" s="83">
        <v>115</v>
      </c>
      <c r="K44" s="83">
        <v>115</v>
      </c>
      <c r="L44" s="59"/>
      <c r="M44" s="59"/>
      <c r="N44" s="59"/>
      <c r="O44" s="59"/>
      <c r="P44" s="59"/>
      <c r="Q44" s="59"/>
      <c r="R44" s="59"/>
      <c r="S44" s="59"/>
      <c r="T44" s="59"/>
      <c r="U44" s="59"/>
      <c r="V44" s="59"/>
      <c r="W44" s="59"/>
      <c r="X44" s="59"/>
      <c r="Y44" s="59"/>
      <c r="Z44" s="59"/>
      <c r="AA44" s="59"/>
      <c r="AB44" s="59"/>
    </row>
    <row r="45" spans="1:28" x14ac:dyDescent="0.25">
      <c r="A45" s="31"/>
      <c r="B45" s="31"/>
      <c r="C45" s="31"/>
      <c r="D45" s="31"/>
      <c r="E45" s="31"/>
      <c r="F45" s="31"/>
      <c r="G45" s="59"/>
      <c r="H45" s="59"/>
      <c r="I45" s="59"/>
      <c r="J45" s="59"/>
      <c r="K45" s="59"/>
      <c r="L45" s="59"/>
      <c r="M45" s="59"/>
      <c r="N45" s="59"/>
      <c r="O45" s="59"/>
      <c r="P45" s="59"/>
      <c r="Q45" s="59"/>
      <c r="R45" s="59"/>
      <c r="S45" s="59"/>
      <c r="T45" s="59"/>
      <c r="U45" s="59"/>
      <c r="V45" s="59"/>
      <c r="W45" s="59"/>
      <c r="X45" s="59"/>
      <c r="Y45" s="59"/>
      <c r="Z45" s="59"/>
      <c r="AA45" s="59"/>
      <c r="AB45" s="59"/>
    </row>
    <row r="46" spans="1:28" ht="13.8" x14ac:dyDescent="0.3">
      <c r="A46" s="32" t="s">
        <v>211</v>
      </c>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row>
    <row r="47" spans="1:28" x14ac:dyDescent="0.2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row>
    <row r="48" spans="1:28" ht="15" x14ac:dyDescent="0.35">
      <c r="A48" s="35" t="s">
        <v>527</v>
      </c>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row>
    <row r="49" spans="1:28" x14ac:dyDescent="0.25">
      <c r="A49" s="31"/>
      <c r="B49" s="33"/>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row>
    <row r="50" spans="1:28" x14ac:dyDescent="0.25">
      <c r="A50" s="31"/>
      <c r="B50" s="31"/>
      <c r="C50" s="31" t="s">
        <v>149</v>
      </c>
      <c r="D50" s="31" t="s">
        <v>150</v>
      </c>
      <c r="E50" s="31" t="s">
        <v>151</v>
      </c>
      <c r="F50" s="31"/>
      <c r="G50" s="31" t="s">
        <v>174</v>
      </c>
      <c r="H50" s="31" t="s">
        <v>175</v>
      </c>
      <c r="I50" s="31" t="s">
        <v>176</v>
      </c>
      <c r="J50" s="31" t="s">
        <v>177</v>
      </c>
      <c r="K50" s="31" t="s">
        <v>178</v>
      </c>
      <c r="L50" s="31"/>
      <c r="M50" s="31"/>
      <c r="N50" s="31"/>
      <c r="O50" s="31"/>
      <c r="P50" s="31"/>
      <c r="Q50" s="31"/>
      <c r="R50" s="31"/>
      <c r="S50" s="31"/>
      <c r="T50" s="31"/>
      <c r="U50" s="31"/>
      <c r="V50" s="31"/>
      <c r="W50" s="31"/>
      <c r="X50" s="31"/>
      <c r="Y50" s="31"/>
      <c r="Z50" s="31"/>
      <c r="AA50" s="31"/>
      <c r="AB50" s="31"/>
    </row>
    <row r="51" spans="1:28" x14ac:dyDescent="0.25">
      <c r="A51" s="31"/>
      <c r="B51" s="31"/>
      <c r="C51" s="31" t="s">
        <v>212</v>
      </c>
      <c r="D51" s="31" t="s">
        <v>186</v>
      </c>
      <c r="E51" s="31" t="s">
        <v>217</v>
      </c>
      <c r="F51" s="31"/>
      <c r="G51" s="100">
        <v>1.8518518518518517E-3</v>
      </c>
      <c r="H51" s="100">
        <v>1.7476851851851852E-3</v>
      </c>
      <c r="I51" s="100">
        <v>1.6550925925925926E-3</v>
      </c>
      <c r="J51" s="100">
        <v>1.5509259259259261E-3</v>
      </c>
      <c r="K51" s="100">
        <v>1.25E-3</v>
      </c>
      <c r="L51" s="62"/>
      <c r="M51" s="62"/>
      <c r="N51" s="62"/>
      <c r="O51" s="62"/>
      <c r="P51" s="62"/>
      <c r="Q51" s="62"/>
      <c r="R51" s="62"/>
      <c r="S51" s="62"/>
      <c r="T51" s="62"/>
      <c r="U51" s="62"/>
      <c r="V51" s="62"/>
      <c r="W51" s="62"/>
      <c r="X51" s="62"/>
      <c r="Y51" s="62"/>
      <c r="Z51" s="62"/>
      <c r="AA51" s="62"/>
      <c r="AB51" s="62"/>
    </row>
    <row r="52" spans="1:28" x14ac:dyDescent="0.25">
      <c r="A52" s="31"/>
      <c r="B52" s="31"/>
      <c r="C52" s="31" t="s">
        <v>214</v>
      </c>
      <c r="D52" s="31" t="s">
        <v>165</v>
      </c>
      <c r="E52" s="31" t="s">
        <v>217</v>
      </c>
      <c r="F52" s="31"/>
      <c r="G52" s="100">
        <v>9.2361111111111116E-4</v>
      </c>
      <c r="H52" s="100">
        <v>8.7500000000000002E-4</v>
      </c>
      <c r="I52" s="100">
        <v>8.2638888888888877E-4</v>
      </c>
      <c r="J52" s="100">
        <v>7.7777777777777784E-4</v>
      </c>
      <c r="K52" s="100">
        <v>7.291666666666667E-4</v>
      </c>
      <c r="L52" s="62"/>
      <c r="M52" s="62"/>
      <c r="N52" s="62"/>
      <c r="O52" s="62"/>
      <c r="P52" s="62"/>
      <c r="Q52" s="62"/>
      <c r="R52" s="62"/>
      <c r="S52" s="62"/>
      <c r="T52" s="62"/>
      <c r="U52" s="62"/>
      <c r="V52" s="62"/>
      <c r="W52" s="62"/>
      <c r="X52" s="62"/>
      <c r="Y52" s="62"/>
      <c r="Z52" s="62"/>
      <c r="AA52" s="62"/>
      <c r="AB52" s="62"/>
    </row>
    <row r="53" spans="1:28" x14ac:dyDescent="0.25">
      <c r="A53" s="31"/>
      <c r="B53" s="31"/>
      <c r="C53" s="31" t="s">
        <v>215</v>
      </c>
      <c r="D53" s="31" t="s">
        <v>169</v>
      </c>
      <c r="E53" s="31" t="s">
        <v>217</v>
      </c>
      <c r="F53" s="31"/>
      <c r="G53" s="100">
        <v>9.0277777777777784E-4</v>
      </c>
      <c r="H53" s="100">
        <v>9.0277777777777784E-4</v>
      </c>
      <c r="I53" s="100">
        <v>9.0277777777777784E-4</v>
      </c>
      <c r="J53" s="100">
        <v>9.0277777777777784E-4</v>
      </c>
      <c r="K53" s="100">
        <v>9.0277777777777784E-4</v>
      </c>
      <c r="L53" s="62"/>
      <c r="M53" s="62"/>
      <c r="N53" s="62"/>
      <c r="O53" s="62"/>
      <c r="P53" s="62"/>
      <c r="Q53" s="62"/>
      <c r="R53" s="62"/>
      <c r="S53" s="62"/>
      <c r="T53" s="62"/>
      <c r="U53" s="62"/>
      <c r="V53" s="62"/>
      <c r="W53" s="62"/>
      <c r="X53" s="62"/>
      <c r="Y53" s="62"/>
      <c r="Z53" s="62"/>
      <c r="AA53" s="62"/>
      <c r="AB53" s="62"/>
    </row>
    <row r="54" spans="1:28" x14ac:dyDescent="0.25">
      <c r="A54" s="31"/>
      <c r="B54" s="31"/>
      <c r="C54" s="31" t="s">
        <v>216</v>
      </c>
      <c r="D54" s="31" t="s">
        <v>171</v>
      </c>
      <c r="E54" s="31" t="s">
        <v>217</v>
      </c>
      <c r="F54" s="31"/>
      <c r="G54" s="100">
        <v>6.9444444444444447E-4</v>
      </c>
      <c r="H54" s="100">
        <v>6.9444444444444447E-4</v>
      </c>
      <c r="I54" s="100">
        <v>6.9444444444444447E-4</v>
      </c>
      <c r="J54" s="100">
        <v>6.9444444444444447E-4</v>
      </c>
      <c r="K54" s="100">
        <v>6.9444444444444447E-4</v>
      </c>
      <c r="L54" s="62"/>
      <c r="M54" s="62"/>
      <c r="N54" s="62"/>
      <c r="O54" s="62"/>
      <c r="P54" s="62"/>
      <c r="Q54" s="62"/>
      <c r="R54" s="62"/>
      <c r="S54" s="62"/>
      <c r="T54" s="62"/>
      <c r="U54" s="62"/>
      <c r="V54" s="62"/>
      <c r="W54" s="62"/>
      <c r="X54" s="62"/>
      <c r="Y54" s="62"/>
      <c r="Z54" s="62"/>
      <c r="AA54" s="62"/>
      <c r="AB54" s="62"/>
    </row>
    <row r="55" spans="1:28" x14ac:dyDescent="0.25">
      <c r="A55" s="31"/>
      <c r="B55" s="31"/>
      <c r="C55" s="31"/>
      <c r="D55" s="31"/>
      <c r="E55" s="31"/>
      <c r="F55" s="31"/>
      <c r="G55" s="62"/>
      <c r="H55" s="62"/>
      <c r="I55" s="62"/>
      <c r="J55" s="62"/>
      <c r="K55" s="62"/>
      <c r="L55" s="62"/>
      <c r="M55" s="62"/>
      <c r="N55" s="62"/>
      <c r="O55" s="62"/>
      <c r="P55" s="62"/>
      <c r="Q55" s="62"/>
      <c r="R55" s="62"/>
      <c r="S55" s="62"/>
      <c r="T55" s="62"/>
      <c r="U55" s="62"/>
      <c r="V55" s="62"/>
      <c r="W55" s="62"/>
      <c r="X55" s="62"/>
      <c r="Y55" s="62"/>
      <c r="Z55" s="62"/>
      <c r="AA55" s="62"/>
      <c r="AB55" s="62"/>
    </row>
    <row r="56" spans="1:28" ht="13.8" x14ac:dyDescent="0.3">
      <c r="A56" s="10" t="s">
        <v>22</v>
      </c>
      <c r="B56" s="10"/>
      <c r="C56" s="10"/>
      <c r="D56" s="10"/>
      <c r="E56" s="10"/>
      <c r="F56" s="10"/>
      <c r="G56" s="101"/>
      <c r="H56" s="101"/>
      <c r="I56" s="101"/>
      <c r="J56" s="101"/>
      <c r="K56" s="101"/>
      <c r="L56" s="101"/>
      <c r="M56" s="101"/>
      <c r="N56" s="101"/>
      <c r="O56" s="101"/>
      <c r="P56" s="101"/>
      <c r="Q56" s="101"/>
      <c r="R56" s="101"/>
      <c r="S56" s="101"/>
      <c r="T56" s="101"/>
      <c r="U56" s="101"/>
      <c r="V56" s="101"/>
      <c r="W56" s="101"/>
      <c r="X56" s="101"/>
      <c r="Y56" s="101"/>
      <c r="Z56" s="101"/>
      <c r="AA56" s="101"/>
      <c r="AB56" s="101"/>
    </row>
    <row r="57" spans="1:28" x14ac:dyDescent="0.25">
      <c r="A57" s="9"/>
      <c r="B57" s="9"/>
      <c r="C57" s="9"/>
      <c r="D57" s="9"/>
      <c r="E57" s="9"/>
      <c r="F57" s="9"/>
      <c r="G57" s="9"/>
      <c r="H57" s="9"/>
      <c r="I57" s="9"/>
      <c r="J57" s="9"/>
      <c r="K57" s="9"/>
    </row>
    <row r="58" spans="1:28" x14ac:dyDescent="0.25">
      <c r="A58" s="9"/>
      <c r="B58" s="9"/>
      <c r="C58" s="9"/>
      <c r="D58" s="9"/>
      <c r="E58" s="9"/>
      <c r="F58" s="9"/>
      <c r="G58" s="9"/>
      <c r="H58" s="9"/>
      <c r="I58" s="9"/>
      <c r="J58" s="9"/>
      <c r="K58" s="9"/>
    </row>
    <row r="59" spans="1:28" x14ac:dyDescent="0.25">
      <c r="A59" s="9"/>
      <c r="B59" s="9"/>
      <c r="C59" s="9"/>
      <c r="D59" s="9"/>
      <c r="E59" s="9"/>
      <c r="F59" s="9"/>
      <c r="G59" s="9"/>
      <c r="H59" s="9"/>
      <c r="I59" s="9"/>
      <c r="J59" s="9"/>
      <c r="K59" s="9"/>
    </row>
    <row r="60" spans="1:28" x14ac:dyDescent="0.25">
      <c r="A60" s="9"/>
      <c r="B60" s="9"/>
      <c r="C60" s="9"/>
      <c r="D60" s="9"/>
      <c r="E60" s="9"/>
      <c r="F60" s="9"/>
      <c r="G60" s="9"/>
      <c r="H60" s="9"/>
      <c r="I60" s="9"/>
      <c r="J60" s="9"/>
      <c r="K60" s="9"/>
    </row>
    <row r="61" spans="1:28" x14ac:dyDescent="0.25">
      <c r="A61" s="9"/>
      <c r="B61" s="9"/>
      <c r="C61" s="9"/>
      <c r="D61" s="9"/>
      <c r="E61" s="9"/>
      <c r="F61" s="9"/>
      <c r="G61" s="9"/>
      <c r="H61" s="9"/>
      <c r="I61" s="9"/>
      <c r="J61" s="9"/>
      <c r="K61" s="9"/>
    </row>
    <row r="62" spans="1:28" x14ac:dyDescent="0.25">
      <c r="A62" s="9"/>
      <c r="B62" s="9"/>
      <c r="C62" s="9"/>
      <c r="D62" s="9"/>
      <c r="E62" s="9"/>
      <c r="F62" s="9"/>
      <c r="G62" s="9"/>
      <c r="H62" s="9"/>
      <c r="I62" s="9"/>
      <c r="J62" s="9"/>
      <c r="K62" s="9"/>
    </row>
    <row r="63" spans="1:28" x14ac:dyDescent="0.25">
      <c r="A63" s="9"/>
      <c r="B63" s="9"/>
      <c r="C63" s="9"/>
      <c r="D63" s="9"/>
      <c r="E63" s="9"/>
      <c r="F63" s="9"/>
      <c r="G63" s="9"/>
      <c r="H63" s="9"/>
      <c r="I63" s="9"/>
      <c r="J63" s="9"/>
      <c r="K63" s="9"/>
    </row>
    <row r="64" spans="1:28" x14ac:dyDescent="0.25">
      <c r="A64" s="9"/>
      <c r="B64" s="9"/>
      <c r="C64" s="9"/>
      <c r="D64" s="9"/>
      <c r="E64" s="9"/>
      <c r="F64" s="9"/>
      <c r="G64" s="9"/>
      <c r="H64" s="9"/>
      <c r="I64" s="9"/>
      <c r="J64" s="9"/>
      <c r="K64" s="9"/>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sheetPr>
  <dimension ref="A1:V111"/>
  <sheetViews>
    <sheetView zoomScaleNormal="100" workbookViewId="0">
      <pane ySplit="1" topLeftCell="A2" activePane="bottomLeft" state="frozen"/>
      <selection pane="bottomLeft" activeCell="A2" sqref="A2"/>
    </sheetView>
  </sheetViews>
  <sheetFormatPr defaultColWidth="9" defaultRowHeight="13.2" x14ac:dyDescent="0.25"/>
  <cols>
    <col min="1" max="2" width="2.77734375" style="31" customWidth="1"/>
    <col min="3" max="3" width="27.21875" style="31" bestFit="1" customWidth="1"/>
    <col min="4" max="4" width="16" style="31" bestFit="1" customWidth="1"/>
    <col min="5" max="5" width="22.21875" style="31" bestFit="1" customWidth="1"/>
    <col min="6" max="6" width="2.77734375" style="31" customWidth="1"/>
    <col min="7" max="11" width="14.21875" style="31" customWidth="1"/>
    <col min="12" max="14" width="2.77734375" style="31" customWidth="1"/>
    <col min="15" max="15" width="22.21875" style="31" bestFit="1" customWidth="1"/>
    <col min="16" max="20" width="14.21875" style="31" customWidth="1"/>
    <col min="21" max="22" width="9" style="31"/>
  </cols>
  <sheetData>
    <row r="1" spans="1:22" ht="30" x14ac:dyDescent="0.5">
      <c r="A1" s="30" t="s">
        <v>530</v>
      </c>
      <c r="B1" s="30"/>
      <c r="C1" s="30"/>
      <c r="D1" s="30"/>
      <c r="E1" s="30"/>
      <c r="F1" s="30"/>
      <c r="G1" s="30"/>
      <c r="H1" s="30"/>
      <c r="I1" s="30"/>
      <c r="J1" s="30"/>
      <c r="K1" s="30"/>
      <c r="L1" s="30"/>
      <c r="M1" s="30"/>
      <c r="N1" s="30"/>
      <c r="O1" s="30"/>
      <c r="P1" s="30"/>
      <c r="Q1" s="30"/>
      <c r="R1" s="30"/>
      <c r="S1" s="30"/>
      <c r="T1" s="30"/>
      <c r="U1" s="30"/>
      <c r="V1" s="30"/>
    </row>
    <row r="2" spans="1:22" x14ac:dyDescent="0.25">
      <c r="A2" s="9"/>
      <c r="B2" s="9"/>
      <c r="C2" s="9"/>
      <c r="D2" s="9"/>
      <c r="E2" s="9"/>
      <c r="F2" s="9"/>
      <c r="G2" s="9"/>
      <c r="H2" s="9"/>
      <c r="I2" s="9"/>
      <c r="J2" s="9"/>
      <c r="K2" s="9"/>
      <c r="L2" s="9"/>
      <c r="M2" s="9"/>
      <c r="N2" s="9"/>
      <c r="O2" s="9"/>
      <c r="P2" s="9"/>
      <c r="Q2" s="9"/>
      <c r="R2" s="9"/>
      <c r="S2" s="9"/>
      <c r="T2" s="9"/>
      <c r="U2" s="9"/>
      <c r="V2" s="9"/>
    </row>
    <row r="3" spans="1:22" x14ac:dyDescent="0.25">
      <c r="A3" s="9"/>
      <c r="B3" s="33" t="s">
        <v>531</v>
      </c>
      <c r="C3" s="9"/>
      <c r="D3" s="9"/>
      <c r="E3" s="9"/>
      <c r="F3" s="9"/>
      <c r="G3" s="9"/>
      <c r="H3" s="9"/>
      <c r="I3" s="9"/>
      <c r="J3" s="9"/>
      <c r="K3" s="9"/>
      <c r="L3" s="9"/>
      <c r="M3" s="9"/>
      <c r="N3" s="9"/>
      <c r="O3" s="9"/>
      <c r="P3" s="9"/>
      <c r="Q3" s="9"/>
      <c r="R3" s="9"/>
      <c r="S3" s="9"/>
      <c r="T3" s="9"/>
      <c r="U3" s="9"/>
      <c r="V3" s="9"/>
    </row>
    <row r="5" spans="1:22" ht="13.8" x14ac:dyDescent="0.3">
      <c r="A5" s="32" t="s">
        <v>147</v>
      </c>
      <c r="B5" s="32"/>
      <c r="C5" s="32"/>
      <c r="D5" s="32"/>
      <c r="E5" s="32"/>
      <c r="F5" s="32"/>
      <c r="G5" s="32"/>
      <c r="H5" s="32"/>
      <c r="I5" s="32"/>
      <c r="J5" s="32"/>
      <c r="K5" s="32"/>
      <c r="L5" s="32"/>
      <c r="M5" s="32"/>
      <c r="N5" s="32"/>
      <c r="O5" s="32"/>
      <c r="P5" s="32"/>
      <c r="Q5" s="32"/>
      <c r="R5" s="32"/>
      <c r="S5" s="32"/>
      <c r="T5" s="32"/>
      <c r="U5" s="32"/>
      <c r="V5" s="32"/>
    </row>
    <row r="6" spans="1:22" x14ac:dyDescent="0.25">
      <c r="M6" s="118"/>
    </row>
    <row r="7" spans="1:22" ht="15" x14ac:dyDescent="0.35">
      <c r="A7" s="35" t="s">
        <v>532</v>
      </c>
      <c r="G7" s="31" t="s">
        <v>533</v>
      </c>
      <c r="M7" s="118"/>
      <c r="P7" s="31" t="s">
        <v>534</v>
      </c>
    </row>
    <row r="8" spans="1:22" x14ac:dyDescent="0.25">
      <c r="M8" s="118"/>
    </row>
    <row r="9" spans="1:22" x14ac:dyDescent="0.25">
      <c r="C9" s="31" t="s">
        <v>149</v>
      </c>
      <c r="D9" s="31" t="s">
        <v>150</v>
      </c>
      <c r="E9" s="31" t="s">
        <v>151</v>
      </c>
      <c r="G9" s="31" t="s">
        <v>174</v>
      </c>
      <c r="H9" s="31" t="s">
        <v>175</v>
      </c>
      <c r="I9" s="31" t="s">
        <v>176</v>
      </c>
      <c r="J9" s="31" t="s">
        <v>177</v>
      </c>
      <c r="K9" s="31" t="s">
        <v>178</v>
      </c>
      <c r="M9" s="118"/>
      <c r="O9" s="31" t="s">
        <v>151</v>
      </c>
      <c r="P9" s="31" t="s">
        <v>174</v>
      </c>
      <c r="Q9" s="31" t="s">
        <v>175</v>
      </c>
      <c r="R9" s="31" t="s">
        <v>176</v>
      </c>
      <c r="S9" s="31" t="s">
        <v>177</v>
      </c>
      <c r="T9" s="31" t="s">
        <v>178</v>
      </c>
    </row>
    <row r="10" spans="1:22" x14ac:dyDescent="0.25">
      <c r="C10" s="31" t="s">
        <v>230</v>
      </c>
      <c r="D10" s="31" t="s">
        <v>231</v>
      </c>
      <c r="E10" s="31" t="s">
        <v>179</v>
      </c>
      <c r="G10" s="47">
        <v>162.41</v>
      </c>
      <c r="H10" s="47">
        <v>157.334</v>
      </c>
      <c r="I10" s="47">
        <v>152.46700000000001</v>
      </c>
      <c r="J10" s="47">
        <v>147.60400000000001</v>
      </c>
      <c r="K10" s="47">
        <v>142.73699999999999</v>
      </c>
      <c r="M10" s="118"/>
      <c r="O10" s="31" t="s">
        <v>179</v>
      </c>
      <c r="P10" s="47">
        <v>173.00299999999999</v>
      </c>
      <c r="Q10" s="47">
        <v>156.19999999999999</v>
      </c>
      <c r="R10" s="47">
        <v>150.19999999999999</v>
      </c>
      <c r="S10" s="47">
        <v>144.19999999999999</v>
      </c>
      <c r="T10" s="47">
        <v>138.19999999999999</v>
      </c>
    </row>
    <row r="11" spans="1:22" x14ac:dyDescent="0.25">
      <c r="C11" s="31" t="s">
        <v>156</v>
      </c>
      <c r="D11" s="31" t="s">
        <v>157</v>
      </c>
      <c r="E11" s="31" t="s">
        <v>179</v>
      </c>
      <c r="G11" s="47">
        <v>174.8</v>
      </c>
      <c r="H11" s="47">
        <v>172.6</v>
      </c>
      <c r="I11" s="47">
        <v>170.4</v>
      </c>
      <c r="J11" s="47">
        <v>168.2</v>
      </c>
      <c r="K11" s="47">
        <v>166</v>
      </c>
      <c r="M11" s="118"/>
      <c r="O11" s="31" t="s">
        <v>179</v>
      </c>
      <c r="P11" s="47">
        <v>181.8</v>
      </c>
      <c r="Q11" s="47">
        <v>178.8</v>
      </c>
      <c r="R11" s="47">
        <v>175.7</v>
      </c>
      <c r="S11" s="47">
        <v>172.6</v>
      </c>
      <c r="T11" s="47">
        <v>169.6</v>
      </c>
    </row>
    <row r="12" spans="1:22" x14ac:dyDescent="0.25">
      <c r="C12" s="31" t="s">
        <v>234</v>
      </c>
      <c r="D12" s="31" t="s">
        <v>235</v>
      </c>
      <c r="E12" s="31" t="s">
        <v>179</v>
      </c>
      <c r="G12" s="47">
        <v>43</v>
      </c>
      <c r="H12" s="47">
        <v>42</v>
      </c>
      <c r="I12" s="47">
        <v>40.799999999999997</v>
      </c>
      <c r="J12" s="47">
        <v>39.5</v>
      </c>
      <c r="K12" s="47">
        <v>38</v>
      </c>
      <c r="M12" s="118"/>
      <c r="O12" s="31" t="s">
        <v>179</v>
      </c>
      <c r="P12" s="47">
        <v>42</v>
      </c>
      <c r="Q12" s="47">
        <v>41</v>
      </c>
      <c r="R12" s="47">
        <v>39.5</v>
      </c>
      <c r="S12" s="47">
        <v>38</v>
      </c>
      <c r="T12" s="47">
        <v>36.5</v>
      </c>
    </row>
    <row r="13" spans="1:22" x14ac:dyDescent="0.25">
      <c r="C13" s="31" t="s">
        <v>236</v>
      </c>
      <c r="D13" s="31" t="s">
        <v>237</v>
      </c>
      <c r="E13" s="31" t="s">
        <v>179</v>
      </c>
      <c r="G13" s="47">
        <v>13.66</v>
      </c>
      <c r="H13" s="47">
        <v>12.95</v>
      </c>
      <c r="I13" s="47">
        <v>12.32</v>
      </c>
      <c r="J13" s="47">
        <v>11.94</v>
      </c>
      <c r="K13" s="47">
        <v>11.56</v>
      </c>
      <c r="M13" s="118"/>
      <c r="O13" s="31" t="s">
        <v>179</v>
      </c>
      <c r="P13" s="47">
        <v>14.55</v>
      </c>
      <c r="Q13" s="47">
        <v>14.23</v>
      </c>
      <c r="R13" s="47">
        <v>13.79</v>
      </c>
      <c r="S13" s="47">
        <v>13.35</v>
      </c>
      <c r="T13" s="47">
        <v>12.91</v>
      </c>
    </row>
    <row r="14" spans="1:22" x14ac:dyDescent="0.25">
      <c r="C14" s="31" t="s">
        <v>160</v>
      </c>
      <c r="D14" s="31" t="s">
        <v>161</v>
      </c>
      <c r="E14" s="31" t="s">
        <v>179</v>
      </c>
      <c r="G14" s="47">
        <v>137.1</v>
      </c>
      <c r="H14" s="47">
        <v>134.4</v>
      </c>
      <c r="I14" s="47">
        <v>130.19999999999999</v>
      </c>
      <c r="J14" s="47">
        <v>126.1</v>
      </c>
      <c r="K14" s="47">
        <v>121.9</v>
      </c>
      <c r="M14" s="118"/>
      <c r="O14" s="31" t="s">
        <v>179</v>
      </c>
      <c r="P14" s="47">
        <v>137.1</v>
      </c>
      <c r="Q14" s="47">
        <v>134.4</v>
      </c>
      <c r="R14" s="47">
        <v>130.19999999999999</v>
      </c>
      <c r="S14" s="47">
        <v>126.1</v>
      </c>
      <c r="T14" s="47">
        <v>121.9</v>
      </c>
    </row>
    <row r="15" spans="1:22" x14ac:dyDescent="0.25">
      <c r="C15" s="31" t="s">
        <v>162</v>
      </c>
      <c r="D15" s="31" t="s">
        <v>163</v>
      </c>
      <c r="E15" s="31" t="s">
        <v>179</v>
      </c>
      <c r="G15" s="47">
        <v>61.9</v>
      </c>
      <c r="H15" s="47">
        <v>60.4</v>
      </c>
      <c r="I15" s="47">
        <v>58.2</v>
      </c>
      <c r="J15" s="47">
        <v>56</v>
      </c>
      <c r="K15" s="47">
        <v>53.8</v>
      </c>
      <c r="M15" s="118"/>
      <c r="O15" s="31" t="s">
        <v>179</v>
      </c>
      <c r="P15" s="47">
        <v>61.9</v>
      </c>
      <c r="Q15" s="47">
        <v>60.4</v>
      </c>
      <c r="R15" s="47">
        <v>58.2</v>
      </c>
      <c r="S15" s="47">
        <v>56</v>
      </c>
      <c r="T15" s="47">
        <v>53.8</v>
      </c>
    </row>
    <row r="16" spans="1:22" x14ac:dyDescent="0.25">
      <c r="C16" s="31" t="s">
        <v>238</v>
      </c>
      <c r="D16" s="31" t="s">
        <v>239</v>
      </c>
      <c r="E16" s="31" t="s">
        <v>179</v>
      </c>
      <c r="G16" s="47">
        <v>34.520000000000003</v>
      </c>
      <c r="H16" s="47">
        <v>33.76</v>
      </c>
      <c r="I16" s="47">
        <v>32.69</v>
      </c>
      <c r="J16" s="47">
        <v>31.64</v>
      </c>
      <c r="K16" s="47">
        <v>30.6</v>
      </c>
      <c r="M16" s="118"/>
      <c r="O16" s="31" t="s">
        <v>179</v>
      </c>
      <c r="P16" s="47">
        <v>33.5</v>
      </c>
      <c r="Q16" s="47">
        <v>32.1</v>
      </c>
      <c r="R16" s="47">
        <v>30.7</v>
      </c>
      <c r="S16" s="47">
        <v>29.3</v>
      </c>
      <c r="T16" s="47">
        <v>27.9</v>
      </c>
    </row>
    <row r="17" spans="1:22" x14ac:dyDescent="0.25">
      <c r="C17" s="31" t="s">
        <v>164</v>
      </c>
      <c r="D17" s="31" t="s">
        <v>165</v>
      </c>
      <c r="E17" s="31" t="s">
        <v>179</v>
      </c>
      <c r="G17" s="47">
        <v>23.8</v>
      </c>
      <c r="H17" s="47">
        <v>23.3</v>
      </c>
      <c r="I17" s="47">
        <v>22.6</v>
      </c>
      <c r="J17" s="47">
        <v>21.8</v>
      </c>
      <c r="K17" s="47">
        <v>21.1</v>
      </c>
      <c r="M17" s="118"/>
      <c r="O17" s="31" t="s">
        <v>179</v>
      </c>
      <c r="P17" s="47">
        <v>23.8</v>
      </c>
      <c r="Q17" s="47">
        <v>23.3</v>
      </c>
      <c r="R17" s="47">
        <v>22.6</v>
      </c>
      <c r="S17" s="47">
        <v>21.8</v>
      </c>
      <c r="T17" s="47">
        <v>21.1</v>
      </c>
    </row>
    <row r="18" spans="1:22" x14ac:dyDescent="0.25">
      <c r="C18" s="31" t="s">
        <v>240</v>
      </c>
      <c r="D18" s="31" t="s">
        <v>241</v>
      </c>
      <c r="E18" s="31" t="s">
        <v>179</v>
      </c>
      <c r="G18" s="47">
        <v>87.3</v>
      </c>
      <c r="H18" s="47">
        <v>87.1</v>
      </c>
      <c r="I18" s="47">
        <v>85.8</v>
      </c>
      <c r="J18" s="47">
        <v>83.1</v>
      </c>
      <c r="K18" s="47">
        <v>79.099999999999994</v>
      </c>
      <c r="M18" s="118"/>
      <c r="O18" s="31" t="s">
        <v>179</v>
      </c>
      <c r="P18" s="47">
        <v>87.3</v>
      </c>
      <c r="Q18" s="47">
        <v>87.1</v>
      </c>
      <c r="R18" s="47">
        <v>85.8</v>
      </c>
      <c r="S18" s="47">
        <v>83.1</v>
      </c>
      <c r="T18" s="47">
        <v>79.099999999999994</v>
      </c>
    </row>
    <row r="19" spans="1:22" x14ac:dyDescent="0.25">
      <c r="C19" s="31" t="s">
        <v>242</v>
      </c>
      <c r="D19" s="31" t="s">
        <v>205</v>
      </c>
      <c r="E19" s="31" t="s">
        <v>179</v>
      </c>
      <c r="G19" s="47">
        <v>102.3</v>
      </c>
      <c r="H19" s="47">
        <v>99.1</v>
      </c>
      <c r="I19" s="47">
        <v>95.9</v>
      </c>
      <c r="J19" s="47">
        <v>92.7</v>
      </c>
      <c r="K19" s="47">
        <v>89.6</v>
      </c>
      <c r="M19" s="118"/>
      <c r="O19" s="31" t="s">
        <v>179</v>
      </c>
      <c r="P19" s="47">
        <v>102.3</v>
      </c>
      <c r="Q19" s="47">
        <v>99.1</v>
      </c>
      <c r="R19" s="47">
        <v>95.9</v>
      </c>
      <c r="S19" s="47">
        <v>92.7</v>
      </c>
      <c r="T19" s="47">
        <v>89.6</v>
      </c>
    </row>
    <row r="20" spans="1:22" x14ac:dyDescent="0.25">
      <c r="C20" s="31" t="s">
        <v>243</v>
      </c>
      <c r="D20" s="31" t="s">
        <v>244</v>
      </c>
      <c r="E20" s="31" t="s">
        <v>179</v>
      </c>
      <c r="G20" s="47">
        <v>69.3</v>
      </c>
      <c r="H20" s="47">
        <v>67</v>
      </c>
      <c r="I20" s="47">
        <v>63.5</v>
      </c>
      <c r="J20" s="47">
        <v>60</v>
      </c>
      <c r="K20" s="47">
        <v>56.5</v>
      </c>
      <c r="M20" s="118"/>
      <c r="O20" s="31" t="s">
        <v>179</v>
      </c>
      <c r="P20" s="47">
        <v>69.3</v>
      </c>
      <c r="Q20" s="47">
        <v>67</v>
      </c>
      <c r="R20" s="47">
        <v>63.5</v>
      </c>
      <c r="S20" s="47">
        <v>60</v>
      </c>
      <c r="T20" s="47">
        <v>56.5</v>
      </c>
    </row>
    <row r="21" spans="1:22" x14ac:dyDescent="0.25">
      <c r="C21" s="31" t="s">
        <v>245</v>
      </c>
      <c r="D21" s="31" t="s">
        <v>246</v>
      </c>
      <c r="E21" s="31" t="s">
        <v>179</v>
      </c>
      <c r="G21" s="47">
        <v>13.4</v>
      </c>
      <c r="H21" s="47">
        <v>13.1</v>
      </c>
      <c r="I21" s="47">
        <v>12.7</v>
      </c>
      <c r="J21" s="47">
        <v>12.3</v>
      </c>
      <c r="K21" s="47">
        <v>11.9</v>
      </c>
      <c r="M21" s="118"/>
      <c r="O21" s="31" t="s">
        <v>179</v>
      </c>
      <c r="P21" s="47">
        <v>13.4</v>
      </c>
      <c r="Q21" s="47">
        <v>13.1</v>
      </c>
      <c r="R21" s="47">
        <v>12.7</v>
      </c>
      <c r="S21" s="47">
        <v>12.3</v>
      </c>
      <c r="T21" s="47">
        <v>11.9</v>
      </c>
    </row>
    <row r="22" spans="1:22" x14ac:dyDescent="0.25">
      <c r="C22" s="31" t="s">
        <v>247</v>
      </c>
      <c r="D22" s="31" t="s">
        <v>198</v>
      </c>
      <c r="E22" s="31" t="s">
        <v>179</v>
      </c>
      <c r="G22" s="47">
        <v>382.2</v>
      </c>
      <c r="H22" s="47">
        <v>376.5</v>
      </c>
      <c r="I22" s="47">
        <v>365.5</v>
      </c>
      <c r="J22" s="47">
        <v>346.9</v>
      </c>
      <c r="K22" s="47">
        <v>332.1</v>
      </c>
      <c r="M22" s="118"/>
      <c r="O22" s="31" t="s">
        <v>179</v>
      </c>
      <c r="P22" s="47">
        <v>382.2</v>
      </c>
      <c r="Q22" s="47">
        <v>376.5</v>
      </c>
      <c r="R22" s="47">
        <v>365.5</v>
      </c>
      <c r="S22" s="47">
        <v>346.9</v>
      </c>
      <c r="T22" s="47">
        <v>332.1</v>
      </c>
    </row>
    <row r="23" spans="1:22" x14ac:dyDescent="0.25">
      <c r="C23" s="31" t="s">
        <v>166</v>
      </c>
      <c r="D23" s="31" t="s">
        <v>167</v>
      </c>
      <c r="E23" s="31" t="s">
        <v>179</v>
      </c>
      <c r="G23" s="47">
        <v>116</v>
      </c>
      <c r="H23" s="47">
        <v>113.8</v>
      </c>
      <c r="I23" s="47">
        <v>110.8</v>
      </c>
      <c r="J23" s="47">
        <v>107.2</v>
      </c>
      <c r="K23" s="47">
        <v>103.7</v>
      </c>
      <c r="M23" s="118"/>
      <c r="O23" s="31" t="s">
        <v>179</v>
      </c>
      <c r="P23" s="47">
        <v>114.3</v>
      </c>
      <c r="Q23" s="47">
        <v>110.76960000000001</v>
      </c>
      <c r="R23" s="47">
        <v>107.23440000000001</v>
      </c>
      <c r="S23" s="47">
        <v>103.6992</v>
      </c>
      <c r="T23" s="47">
        <v>100.164</v>
      </c>
    </row>
    <row r="24" spans="1:22" x14ac:dyDescent="0.25">
      <c r="C24" s="31" t="s">
        <v>248</v>
      </c>
      <c r="D24" s="31" t="s">
        <v>249</v>
      </c>
      <c r="E24" s="31" t="s">
        <v>179</v>
      </c>
      <c r="G24" s="47">
        <v>654</v>
      </c>
      <c r="H24" s="47">
        <v>626</v>
      </c>
      <c r="I24" s="47">
        <v>607</v>
      </c>
      <c r="J24" s="47">
        <v>587</v>
      </c>
      <c r="K24" s="47">
        <v>568</v>
      </c>
      <c r="M24" s="118"/>
      <c r="O24" s="31" t="s">
        <v>179</v>
      </c>
      <c r="P24" s="47">
        <v>685</v>
      </c>
      <c r="Q24" s="47">
        <v>641</v>
      </c>
      <c r="R24" s="47">
        <v>613</v>
      </c>
      <c r="S24" s="47">
        <v>590</v>
      </c>
      <c r="T24" s="47">
        <v>568</v>
      </c>
    </row>
    <row r="25" spans="1:22" x14ac:dyDescent="0.25">
      <c r="C25" s="31" t="s">
        <v>250</v>
      </c>
      <c r="D25" s="31" t="s">
        <v>190</v>
      </c>
      <c r="E25" s="31" t="s">
        <v>179</v>
      </c>
      <c r="G25" s="47">
        <v>448.2</v>
      </c>
      <c r="H25" s="47">
        <v>445.22</v>
      </c>
      <c r="I25" s="47">
        <v>439.26</v>
      </c>
      <c r="J25" s="47">
        <v>428.81</v>
      </c>
      <c r="K25" s="47">
        <v>409.38</v>
      </c>
      <c r="M25" s="118"/>
      <c r="O25" s="31" t="s">
        <v>179</v>
      </c>
      <c r="P25" s="47">
        <v>445.2</v>
      </c>
      <c r="Q25" s="47">
        <v>439.3</v>
      </c>
      <c r="R25" s="47">
        <v>428.8</v>
      </c>
      <c r="S25" s="47">
        <v>411.4</v>
      </c>
      <c r="T25" s="47">
        <v>386.9</v>
      </c>
    </row>
    <row r="26" spans="1:22" x14ac:dyDescent="0.25">
      <c r="C26" s="31" t="s">
        <v>251</v>
      </c>
      <c r="D26" s="31" t="s">
        <v>252</v>
      </c>
      <c r="E26" s="31" t="s">
        <v>179</v>
      </c>
      <c r="G26" s="47">
        <v>167.9</v>
      </c>
      <c r="H26" s="47">
        <v>163.80000000000001</v>
      </c>
      <c r="I26" s="47">
        <v>158.6</v>
      </c>
      <c r="J26" s="47">
        <v>153.4</v>
      </c>
      <c r="K26" s="47">
        <v>148.19999999999999</v>
      </c>
      <c r="M26" s="118"/>
      <c r="O26" s="31" t="s">
        <v>179</v>
      </c>
      <c r="P26" s="47">
        <v>167.9</v>
      </c>
      <c r="Q26" s="47">
        <v>163.80000000000001</v>
      </c>
      <c r="R26" s="47">
        <v>158.6</v>
      </c>
      <c r="S26" s="47">
        <v>153.4</v>
      </c>
      <c r="T26" s="47">
        <v>148.19999999999999</v>
      </c>
    </row>
    <row r="27" spans="1:22" x14ac:dyDescent="0.25">
      <c r="C27" s="31" t="s">
        <v>168</v>
      </c>
      <c r="D27" s="31" t="s">
        <v>169</v>
      </c>
      <c r="E27" s="31" t="s">
        <v>179</v>
      </c>
      <c r="G27" s="47">
        <v>77.62</v>
      </c>
      <c r="H27" s="47">
        <v>75.81</v>
      </c>
      <c r="I27" s="47">
        <v>73.47</v>
      </c>
      <c r="J27" s="47">
        <v>71.12</v>
      </c>
      <c r="K27" s="47">
        <v>68.78</v>
      </c>
      <c r="M27" s="118"/>
      <c r="O27" s="31" t="s">
        <v>179</v>
      </c>
      <c r="P27" s="47">
        <v>77.599999999999994</v>
      </c>
      <c r="Q27" s="47">
        <v>75.8</v>
      </c>
      <c r="R27" s="47">
        <v>73.5</v>
      </c>
      <c r="S27" s="47">
        <v>71.099999999999994</v>
      </c>
      <c r="T27" s="47">
        <v>68.8</v>
      </c>
    </row>
    <row r="28" spans="1:22" x14ac:dyDescent="0.25">
      <c r="C28" s="31" t="s">
        <v>170</v>
      </c>
      <c r="D28" s="31" t="s">
        <v>171</v>
      </c>
      <c r="E28" s="31" t="s">
        <v>179</v>
      </c>
      <c r="G28" s="47">
        <v>238.5</v>
      </c>
      <c r="H28" s="47">
        <v>212.6</v>
      </c>
      <c r="I28" s="47">
        <v>197.9</v>
      </c>
      <c r="J28" s="47">
        <v>190.5</v>
      </c>
      <c r="K28" s="47">
        <v>182.8</v>
      </c>
      <c r="M28" s="118"/>
      <c r="O28" s="31" t="s">
        <v>179</v>
      </c>
      <c r="P28" s="47">
        <v>273.89999999999998</v>
      </c>
      <c r="Q28" s="47">
        <v>255.6</v>
      </c>
      <c r="R28" s="47">
        <v>242.1</v>
      </c>
      <c r="S28" s="47">
        <v>228.7</v>
      </c>
      <c r="T28" s="47">
        <v>215.2</v>
      </c>
    </row>
    <row r="29" spans="1:22" x14ac:dyDescent="0.25">
      <c r="M29" s="118"/>
    </row>
    <row r="30" spans="1:22" ht="13.8" x14ac:dyDescent="0.3">
      <c r="A30" s="32" t="s">
        <v>518</v>
      </c>
      <c r="B30" s="32"/>
      <c r="C30" s="32"/>
      <c r="D30" s="32"/>
      <c r="E30" s="32"/>
      <c r="F30" s="32"/>
      <c r="G30" s="32"/>
      <c r="H30" s="32"/>
      <c r="I30" s="32"/>
      <c r="J30" s="32"/>
      <c r="K30" s="32"/>
      <c r="L30" s="32"/>
      <c r="M30" s="32"/>
      <c r="N30" s="32"/>
      <c r="O30" s="32"/>
      <c r="P30" s="32"/>
      <c r="Q30" s="32"/>
      <c r="R30" s="32"/>
      <c r="S30" s="32"/>
      <c r="T30" s="32"/>
      <c r="U30" s="32"/>
      <c r="V30" s="32"/>
    </row>
    <row r="31" spans="1:22" x14ac:dyDescent="0.25">
      <c r="M31" s="118"/>
    </row>
    <row r="32" spans="1:22" ht="15" x14ac:dyDescent="0.35">
      <c r="A32" s="35" t="s">
        <v>532</v>
      </c>
      <c r="G32" s="31" t="s">
        <v>533</v>
      </c>
      <c r="M32" s="118"/>
      <c r="P32" s="31" t="s">
        <v>534</v>
      </c>
    </row>
    <row r="33" spans="1:22" x14ac:dyDescent="0.25">
      <c r="B33" s="33"/>
      <c r="M33" s="118"/>
    </row>
    <row r="34" spans="1:22" x14ac:dyDescent="0.25">
      <c r="C34" s="31" t="s">
        <v>149</v>
      </c>
      <c r="D34" s="31" t="s">
        <v>150</v>
      </c>
      <c r="E34" s="31" t="s">
        <v>151</v>
      </c>
      <c r="G34" s="31" t="s">
        <v>174</v>
      </c>
      <c r="H34" s="31" t="s">
        <v>175</v>
      </c>
      <c r="I34" s="31" t="s">
        <v>176</v>
      </c>
      <c r="J34" s="31" t="s">
        <v>177</v>
      </c>
      <c r="K34" s="31" t="s">
        <v>178</v>
      </c>
      <c r="M34" s="118"/>
      <c r="O34" s="31" t="s">
        <v>151</v>
      </c>
      <c r="P34" s="31" t="s">
        <v>174</v>
      </c>
      <c r="Q34" s="31" t="s">
        <v>175</v>
      </c>
      <c r="R34" s="31" t="s">
        <v>176</v>
      </c>
      <c r="S34" s="31" t="s">
        <v>177</v>
      </c>
      <c r="T34" s="31" t="s">
        <v>178</v>
      </c>
    </row>
    <row r="35" spans="1:22" x14ac:dyDescent="0.25">
      <c r="C35" s="31" t="s">
        <v>253</v>
      </c>
      <c r="D35" s="31" t="s">
        <v>157</v>
      </c>
      <c r="E35" s="31" t="s">
        <v>528</v>
      </c>
      <c r="G35" s="47">
        <v>25</v>
      </c>
      <c r="H35" s="47">
        <v>24</v>
      </c>
      <c r="I35" s="47">
        <v>23</v>
      </c>
      <c r="J35" s="47">
        <v>22</v>
      </c>
      <c r="K35" s="47">
        <v>21</v>
      </c>
      <c r="M35" s="118"/>
      <c r="O35" s="31" t="s">
        <v>528</v>
      </c>
      <c r="P35" s="47">
        <v>25</v>
      </c>
      <c r="Q35" s="47">
        <v>24</v>
      </c>
      <c r="R35" s="47">
        <v>23</v>
      </c>
      <c r="S35" s="47">
        <v>22</v>
      </c>
      <c r="T35" s="47">
        <v>21</v>
      </c>
    </row>
    <row r="36" spans="1:22" x14ac:dyDescent="0.25">
      <c r="C36" s="31" t="s">
        <v>257</v>
      </c>
      <c r="D36" s="31" t="s">
        <v>237</v>
      </c>
      <c r="E36" s="31" t="s">
        <v>528</v>
      </c>
      <c r="G36" s="47">
        <v>138</v>
      </c>
      <c r="H36" s="47">
        <v>137</v>
      </c>
      <c r="I36" s="47">
        <v>117</v>
      </c>
      <c r="J36" s="47">
        <v>117</v>
      </c>
      <c r="K36" s="47">
        <v>116</v>
      </c>
      <c r="M36" s="118"/>
      <c r="O36" s="31" t="s">
        <v>528</v>
      </c>
      <c r="P36" s="47">
        <v>138</v>
      </c>
      <c r="Q36" s="47">
        <v>137</v>
      </c>
      <c r="R36" s="47">
        <v>117</v>
      </c>
      <c r="S36" s="47">
        <v>117</v>
      </c>
      <c r="T36" s="47">
        <v>97</v>
      </c>
    </row>
    <row r="37" spans="1:22" x14ac:dyDescent="0.25">
      <c r="C37" s="31" t="s">
        <v>185</v>
      </c>
      <c r="D37" s="31" t="s">
        <v>186</v>
      </c>
      <c r="E37" s="31" t="s">
        <v>528</v>
      </c>
      <c r="G37" s="47">
        <v>24.01</v>
      </c>
      <c r="H37" s="47">
        <v>22.35</v>
      </c>
      <c r="I37" s="47">
        <v>20.350000000000001</v>
      </c>
      <c r="J37" s="47">
        <v>18.010000000000002</v>
      </c>
      <c r="K37" s="47">
        <v>14.34</v>
      </c>
      <c r="M37" s="118"/>
      <c r="O37" s="31" t="s">
        <v>528</v>
      </c>
      <c r="P37" s="47">
        <v>24.51</v>
      </c>
      <c r="Q37" s="47">
        <v>23.74</v>
      </c>
      <c r="R37" s="47">
        <v>23</v>
      </c>
      <c r="S37" s="47">
        <v>22.4</v>
      </c>
      <c r="T37" s="47">
        <v>19.5</v>
      </c>
    </row>
    <row r="38" spans="1:22" x14ac:dyDescent="0.25">
      <c r="C38" s="31" t="s">
        <v>258</v>
      </c>
      <c r="D38" s="31" t="s">
        <v>205</v>
      </c>
      <c r="E38" s="31" t="s">
        <v>528</v>
      </c>
      <c r="G38" s="47">
        <v>27.8</v>
      </c>
      <c r="H38" s="47">
        <v>26.4</v>
      </c>
      <c r="I38" s="47">
        <v>24.5</v>
      </c>
      <c r="J38" s="47">
        <v>22.8</v>
      </c>
      <c r="K38" s="47">
        <v>20</v>
      </c>
      <c r="M38" s="118"/>
      <c r="O38" s="31" t="s">
        <v>528</v>
      </c>
      <c r="P38" s="47">
        <v>24.51</v>
      </c>
      <c r="Q38" s="47">
        <v>23.74</v>
      </c>
      <c r="R38" s="47">
        <v>23</v>
      </c>
      <c r="S38" s="47">
        <v>22.4</v>
      </c>
      <c r="T38" s="47">
        <v>19.5</v>
      </c>
    </row>
    <row r="39" spans="1:22" x14ac:dyDescent="0.25">
      <c r="C39" s="31" t="s">
        <v>259</v>
      </c>
      <c r="D39" s="31" t="s">
        <v>198</v>
      </c>
      <c r="E39" s="31" t="s">
        <v>528</v>
      </c>
      <c r="G39" s="47">
        <v>26.43</v>
      </c>
      <c r="H39" s="47">
        <v>25.45</v>
      </c>
      <c r="I39" s="47">
        <v>24.47</v>
      </c>
      <c r="J39" s="47">
        <v>23.48</v>
      </c>
      <c r="K39" s="47">
        <v>22.49</v>
      </c>
      <c r="M39" s="118"/>
      <c r="O39" s="31" t="s">
        <v>528</v>
      </c>
      <c r="P39" s="47">
        <v>24.51</v>
      </c>
      <c r="Q39" s="47">
        <v>23.74</v>
      </c>
      <c r="R39" s="47">
        <v>23</v>
      </c>
      <c r="S39" s="47">
        <v>22.4</v>
      </c>
      <c r="T39" s="47">
        <v>19.5</v>
      </c>
    </row>
    <row r="40" spans="1:22" x14ac:dyDescent="0.25">
      <c r="C40" s="31" t="s">
        <v>260</v>
      </c>
      <c r="D40" s="31" t="s">
        <v>167</v>
      </c>
      <c r="E40" s="31" t="s">
        <v>528</v>
      </c>
      <c r="G40" s="47">
        <v>34</v>
      </c>
      <c r="H40" s="47">
        <v>30</v>
      </c>
      <c r="I40" s="47">
        <v>27</v>
      </c>
      <c r="J40" s="47">
        <v>23</v>
      </c>
      <c r="K40" s="47">
        <v>19</v>
      </c>
      <c r="M40" s="118"/>
      <c r="O40" s="31" t="s">
        <v>528</v>
      </c>
      <c r="P40" s="47">
        <v>25.41</v>
      </c>
      <c r="Q40" s="47">
        <v>23.74</v>
      </c>
      <c r="R40" s="47">
        <v>23</v>
      </c>
      <c r="S40" s="47">
        <v>22.4</v>
      </c>
      <c r="T40" s="47">
        <v>19.5</v>
      </c>
    </row>
    <row r="41" spans="1:22" x14ac:dyDescent="0.25">
      <c r="C41" s="31" t="s">
        <v>261</v>
      </c>
      <c r="D41" s="31" t="s">
        <v>249</v>
      </c>
      <c r="E41" s="31" t="s">
        <v>528</v>
      </c>
      <c r="G41" s="47">
        <v>27</v>
      </c>
      <c r="H41" s="47">
        <v>26</v>
      </c>
      <c r="I41" s="47">
        <v>25</v>
      </c>
      <c r="J41" s="47">
        <v>24</v>
      </c>
      <c r="K41" s="47">
        <v>23</v>
      </c>
      <c r="M41" s="118"/>
      <c r="O41" s="31" t="s">
        <v>528</v>
      </c>
      <c r="P41" s="47">
        <v>24.5</v>
      </c>
      <c r="Q41" s="47">
        <v>23.7</v>
      </c>
      <c r="R41" s="47">
        <v>23</v>
      </c>
      <c r="S41" s="47">
        <v>22.4</v>
      </c>
      <c r="T41" s="47">
        <v>19.5</v>
      </c>
    </row>
    <row r="42" spans="1:22" x14ac:dyDescent="0.25">
      <c r="C42" s="31" t="s">
        <v>189</v>
      </c>
      <c r="D42" s="31" t="s">
        <v>190</v>
      </c>
      <c r="E42" s="31" t="s">
        <v>528</v>
      </c>
      <c r="G42" s="47">
        <v>23.73</v>
      </c>
      <c r="H42" s="47">
        <v>23.472000000000001</v>
      </c>
      <c r="I42" s="47">
        <v>23.213999999999999</v>
      </c>
      <c r="J42" s="47">
        <v>22.956</v>
      </c>
      <c r="K42" s="47">
        <v>22.698</v>
      </c>
      <c r="M42" s="118"/>
      <c r="O42" s="31" t="s">
        <v>528</v>
      </c>
      <c r="P42" s="47">
        <v>24.5</v>
      </c>
      <c r="Q42" s="47">
        <v>23.7</v>
      </c>
      <c r="R42" s="47">
        <v>23</v>
      </c>
      <c r="S42" s="47">
        <v>22.4</v>
      </c>
      <c r="T42" s="47">
        <v>19.5</v>
      </c>
    </row>
    <row r="43" spans="1:22" x14ac:dyDescent="0.25">
      <c r="C43" s="31" t="s">
        <v>262</v>
      </c>
      <c r="D43" s="31" t="s">
        <v>252</v>
      </c>
      <c r="E43" s="31" t="s">
        <v>528</v>
      </c>
      <c r="G43" s="47">
        <v>28</v>
      </c>
      <c r="H43" s="47">
        <v>27</v>
      </c>
      <c r="I43" s="47">
        <v>26</v>
      </c>
      <c r="J43" s="47">
        <v>25</v>
      </c>
      <c r="K43" s="47">
        <v>24</v>
      </c>
      <c r="M43" s="118"/>
      <c r="O43" s="31" t="s">
        <v>528</v>
      </c>
      <c r="P43" s="47">
        <v>25</v>
      </c>
      <c r="Q43" s="47">
        <v>24</v>
      </c>
      <c r="R43" s="47">
        <v>23</v>
      </c>
      <c r="S43" s="47">
        <v>22</v>
      </c>
      <c r="T43" s="47">
        <v>21</v>
      </c>
    </row>
    <row r="44" spans="1:22" x14ac:dyDescent="0.25">
      <c r="C44" s="31" t="s">
        <v>191</v>
      </c>
      <c r="D44" s="31" t="s">
        <v>169</v>
      </c>
      <c r="E44" s="31" t="s">
        <v>528</v>
      </c>
      <c r="G44" s="47">
        <v>21</v>
      </c>
      <c r="H44" s="47">
        <v>20</v>
      </c>
      <c r="I44" s="47">
        <v>19</v>
      </c>
      <c r="J44" s="47">
        <v>18</v>
      </c>
      <c r="K44" s="47">
        <v>17</v>
      </c>
      <c r="M44" s="118"/>
      <c r="O44" s="31" t="s">
        <v>528</v>
      </c>
      <c r="P44" s="47">
        <v>24.51</v>
      </c>
      <c r="Q44" s="47">
        <v>23.74</v>
      </c>
      <c r="R44" s="47">
        <v>23</v>
      </c>
      <c r="S44" s="47">
        <v>22.4</v>
      </c>
      <c r="T44" s="47">
        <v>19.5</v>
      </c>
    </row>
    <row r="45" spans="1:22" x14ac:dyDescent="0.25">
      <c r="C45" s="31" t="s">
        <v>192</v>
      </c>
      <c r="D45" s="31" t="s">
        <v>171</v>
      </c>
      <c r="E45" s="31" t="s">
        <v>528</v>
      </c>
      <c r="G45" s="47">
        <v>25</v>
      </c>
      <c r="H45" s="47">
        <v>24</v>
      </c>
      <c r="I45" s="47">
        <v>23</v>
      </c>
      <c r="J45" s="47">
        <v>23</v>
      </c>
      <c r="K45" s="47">
        <v>22</v>
      </c>
      <c r="M45" s="118"/>
      <c r="O45" s="31" t="s">
        <v>528</v>
      </c>
      <c r="P45" s="47">
        <v>25</v>
      </c>
      <c r="Q45" s="47">
        <v>24</v>
      </c>
      <c r="R45" s="47">
        <v>23</v>
      </c>
      <c r="S45" s="47">
        <v>23</v>
      </c>
      <c r="T45" s="47">
        <v>22</v>
      </c>
    </row>
    <row r="46" spans="1:22" x14ac:dyDescent="0.25">
      <c r="M46" s="118"/>
    </row>
    <row r="47" spans="1:22" ht="13.8" x14ac:dyDescent="0.3">
      <c r="A47" s="32" t="s">
        <v>196</v>
      </c>
      <c r="B47" s="32"/>
      <c r="C47" s="32"/>
      <c r="D47" s="32"/>
      <c r="E47" s="32"/>
      <c r="F47" s="32"/>
      <c r="G47" s="32"/>
      <c r="H47" s="32"/>
      <c r="I47" s="32"/>
      <c r="J47" s="32"/>
      <c r="K47" s="32"/>
      <c r="L47" s="32"/>
      <c r="M47" s="32"/>
      <c r="N47" s="32"/>
      <c r="O47" s="32"/>
      <c r="P47" s="32"/>
      <c r="Q47" s="32"/>
      <c r="R47" s="32"/>
      <c r="S47" s="32"/>
      <c r="T47" s="32"/>
      <c r="U47" s="32"/>
      <c r="V47" s="32"/>
    </row>
    <row r="48" spans="1:22" x14ac:dyDescent="0.25">
      <c r="M48" s="118"/>
    </row>
    <row r="49" spans="1:22" ht="15" x14ac:dyDescent="0.35">
      <c r="A49" s="35" t="s">
        <v>532</v>
      </c>
      <c r="G49" s="31" t="s">
        <v>533</v>
      </c>
      <c r="M49" s="118"/>
      <c r="P49" s="31" t="s">
        <v>534</v>
      </c>
    </row>
    <row r="50" spans="1:22" x14ac:dyDescent="0.25">
      <c r="B50" s="33"/>
      <c r="M50" s="118"/>
    </row>
    <row r="51" spans="1:22" ht="14.7" customHeight="1" x14ac:dyDescent="0.25">
      <c r="C51" s="31" t="s">
        <v>149</v>
      </c>
      <c r="D51" s="31" t="s">
        <v>150</v>
      </c>
      <c r="E51" s="31" t="s">
        <v>151</v>
      </c>
      <c r="G51" s="31" t="s">
        <v>174</v>
      </c>
      <c r="H51" s="31" t="s">
        <v>175</v>
      </c>
      <c r="I51" s="31" t="s">
        <v>176</v>
      </c>
      <c r="J51" s="31" t="s">
        <v>177</v>
      </c>
      <c r="K51" s="31" t="s">
        <v>178</v>
      </c>
      <c r="M51" s="118"/>
      <c r="O51" s="31" t="s">
        <v>151</v>
      </c>
      <c r="P51" s="31" t="s">
        <v>174</v>
      </c>
      <c r="Q51" s="31" t="s">
        <v>175</v>
      </c>
      <c r="R51" s="31" t="s">
        <v>176</v>
      </c>
      <c r="S51" s="31" t="s">
        <v>177</v>
      </c>
      <c r="T51" s="31" t="s">
        <v>178</v>
      </c>
    </row>
    <row r="52" spans="1:22" x14ac:dyDescent="0.25">
      <c r="C52" s="31" t="s">
        <v>263</v>
      </c>
      <c r="D52" s="31" t="s">
        <v>157</v>
      </c>
      <c r="E52" s="31" t="s">
        <v>529</v>
      </c>
      <c r="G52" s="47">
        <v>1.64</v>
      </c>
      <c r="H52" s="47">
        <v>1.55</v>
      </c>
      <c r="I52" s="47">
        <v>1.46</v>
      </c>
      <c r="J52" s="47">
        <v>1.38</v>
      </c>
      <c r="K52" s="47">
        <v>1.31</v>
      </c>
      <c r="M52" s="118"/>
      <c r="O52" s="31" t="s">
        <v>529</v>
      </c>
      <c r="P52" s="47">
        <v>1.64</v>
      </c>
      <c r="Q52" s="47">
        <v>1.55</v>
      </c>
      <c r="R52" s="47">
        <v>1.46</v>
      </c>
      <c r="S52" s="47">
        <v>1.38</v>
      </c>
      <c r="T52" s="47">
        <v>1.31</v>
      </c>
    </row>
    <row r="53" spans="1:22" x14ac:dyDescent="0.25">
      <c r="C53" s="31" t="s">
        <v>265</v>
      </c>
      <c r="D53" s="31" t="s">
        <v>237</v>
      </c>
      <c r="E53" s="31" t="s">
        <v>529</v>
      </c>
      <c r="G53" s="47">
        <v>1.69</v>
      </c>
      <c r="H53" s="47">
        <v>1.65</v>
      </c>
      <c r="I53" s="47">
        <v>1.61</v>
      </c>
      <c r="J53" s="47">
        <v>1.25</v>
      </c>
      <c r="K53" s="47">
        <v>1.22</v>
      </c>
      <c r="M53" s="118"/>
      <c r="O53" s="31" t="s">
        <v>529</v>
      </c>
      <c r="P53" s="47">
        <v>1.69</v>
      </c>
      <c r="Q53" s="47">
        <v>1.65</v>
      </c>
      <c r="R53" s="47">
        <v>1.61</v>
      </c>
      <c r="S53" s="47">
        <v>1.25</v>
      </c>
      <c r="T53" s="47">
        <v>1.22</v>
      </c>
    </row>
    <row r="54" spans="1:22" x14ac:dyDescent="0.25">
      <c r="C54" s="31" t="s">
        <v>266</v>
      </c>
      <c r="D54" s="31" t="s">
        <v>186</v>
      </c>
      <c r="E54" s="31" t="s">
        <v>529</v>
      </c>
      <c r="G54" s="47">
        <v>1.97</v>
      </c>
      <c r="H54" s="47">
        <v>1.92</v>
      </c>
      <c r="I54" s="47">
        <v>1.87</v>
      </c>
      <c r="J54" s="47">
        <v>1.82</v>
      </c>
      <c r="K54" s="47">
        <v>1.77</v>
      </c>
      <c r="M54" s="118"/>
      <c r="O54" s="31" t="s">
        <v>529</v>
      </c>
      <c r="P54" s="47">
        <v>1.68</v>
      </c>
      <c r="Q54" s="47">
        <v>1.63</v>
      </c>
      <c r="R54" s="47">
        <v>1.58</v>
      </c>
      <c r="S54" s="47">
        <v>1.44</v>
      </c>
      <c r="T54" s="47">
        <v>1.34</v>
      </c>
    </row>
    <row r="55" spans="1:22" x14ac:dyDescent="0.25">
      <c r="C55" s="31" t="s">
        <v>267</v>
      </c>
      <c r="D55" s="31" t="s">
        <v>205</v>
      </c>
      <c r="E55" s="31" t="s">
        <v>529</v>
      </c>
      <c r="G55" s="47">
        <v>1.83</v>
      </c>
      <c r="H55" s="47">
        <v>1.78</v>
      </c>
      <c r="I55" s="47">
        <v>1.73</v>
      </c>
      <c r="J55" s="47">
        <v>1.69</v>
      </c>
      <c r="K55" s="47">
        <v>1.65</v>
      </c>
      <c r="M55" s="118"/>
      <c r="O55" s="31" t="s">
        <v>529</v>
      </c>
      <c r="P55" s="47">
        <v>1.68</v>
      </c>
      <c r="Q55" s="47">
        <v>1.63</v>
      </c>
      <c r="R55" s="47">
        <v>1.58</v>
      </c>
      <c r="S55" s="47">
        <v>1.44</v>
      </c>
      <c r="T55" s="47">
        <v>1.34</v>
      </c>
    </row>
    <row r="56" spans="1:22" x14ac:dyDescent="0.25">
      <c r="C56" s="31" t="s">
        <v>197</v>
      </c>
      <c r="D56" s="31" t="s">
        <v>198</v>
      </c>
      <c r="E56" s="31" t="s">
        <v>529</v>
      </c>
      <c r="G56" s="47">
        <v>1.66</v>
      </c>
      <c r="H56" s="47">
        <v>1.62</v>
      </c>
      <c r="I56" s="47">
        <v>1.58</v>
      </c>
      <c r="J56" s="47">
        <v>1.54</v>
      </c>
      <c r="K56" s="47">
        <v>1.51</v>
      </c>
      <c r="M56" s="118"/>
      <c r="O56" s="31" t="s">
        <v>529</v>
      </c>
      <c r="P56" s="47">
        <v>1.68</v>
      </c>
      <c r="Q56" s="47">
        <v>1.63</v>
      </c>
      <c r="R56" s="47">
        <v>1.58</v>
      </c>
      <c r="S56" s="47">
        <v>1.44</v>
      </c>
      <c r="T56" s="47">
        <v>1.34</v>
      </c>
    </row>
    <row r="57" spans="1:22" x14ac:dyDescent="0.25">
      <c r="C57" s="31" t="s">
        <v>200</v>
      </c>
      <c r="D57" s="31" t="s">
        <v>167</v>
      </c>
      <c r="E57" s="31" t="s">
        <v>529</v>
      </c>
      <c r="G57" s="47">
        <v>1.78</v>
      </c>
      <c r="H57" s="47">
        <v>1.69</v>
      </c>
      <c r="I57" s="47">
        <v>1.65</v>
      </c>
      <c r="J57" s="47">
        <v>1.53</v>
      </c>
      <c r="K57" s="47">
        <v>1.37</v>
      </c>
      <c r="M57" s="118"/>
      <c r="O57" s="31" t="s">
        <v>529</v>
      </c>
      <c r="P57" s="47">
        <v>1.68</v>
      </c>
      <c r="Q57" s="47">
        <v>1.63</v>
      </c>
      <c r="R57" s="47">
        <v>1.58</v>
      </c>
      <c r="S57" s="47">
        <v>1.44</v>
      </c>
      <c r="T57" s="47">
        <v>1.34</v>
      </c>
    </row>
    <row r="58" spans="1:22" x14ac:dyDescent="0.25">
      <c r="C58" s="31" t="s">
        <v>268</v>
      </c>
      <c r="D58" s="31" t="s">
        <v>249</v>
      </c>
      <c r="E58" s="31" t="s">
        <v>529</v>
      </c>
      <c r="G58" s="47">
        <v>1.89</v>
      </c>
      <c r="H58" s="47">
        <v>1.87</v>
      </c>
      <c r="I58" s="47">
        <v>1.8</v>
      </c>
      <c r="J58" s="47">
        <v>1.73</v>
      </c>
      <c r="K58" s="47">
        <v>1.66</v>
      </c>
      <c r="M58" s="118"/>
      <c r="O58" s="31" t="s">
        <v>529</v>
      </c>
      <c r="P58" s="47">
        <v>1.89</v>
      </c>
      <c r="Q58" s="47">
        <v>1.81</v>
      </c>
      <c r="R58" s="47">
        <v>1.73</v>
      </c>
      <c r="S58" s="47">
        <v>1.65</v>
      </c>
      <c r="T58" s="47">
        <v>1.57</v>
      </c>
    </row>
    <row r="59" spans="1:22" x14ac:dyDescent="0.25">
      <c r="C59" s="31" t="s">
        <v>269</v>
      </c>
      <c r="D59" s="31" t="s">
        <v>190</v>
      </c>
      <c r="E59" s="31" t="s">
        <v>529</v>
      </c>
      <c r="G59" s="47">
        <v>2.2029999999999998</v>
      </c>
      <c r="H59" s="47">
        <v>2.1850000000000001</v>
      </c>
      <c r="I59" s="47">
        <v>2.173</v>
      </c>
      <c r="J59" s="47">
        <v>2.1589999999999998</v>
      </c>
      <c r="K59" s="47">
        <v>2.1379999999999999</v>
      </c>
      <c r="M59" s="118"/>
      <c r="O59" s="31" t="s">
        <v>529</v>
      </c>
      <c r="P59" s="47">
        <v>1.68</v>
      </c>
      <c r="Q59" s="47">
        <v>1.63</v>
      </c>
      <c r="R59" s="47">
        <v>1.58</v>
      </c>
      <c r="S59" s="47">
        <v>1.44</v>
      </c>
      <c r="T59" s="47">
        <v>1.34</v>
      </c>
    </row>
    <row r="60" spans="1:22" x14ac:dyDescent="0.25">
      <c r="C60" s="31" t="s">
        <v>270</v>
      </c>
      <c r="D60" s="31" t="s">
        <v>252</v>
      </c>
      <c r="E60" s="31" t="s">
        <v>529</v>
      </c>
      <c r="G60" s="47">
        <v>2</v>
      </c>
      <c r="H60" s="47">
        <v>2</v>
      </c>
      <c r="I60" s="47">
        <v>2</v>
      </c>
      <c r="J60" s="47">
        <v>2</v>
      </c>
      <c r="K60" s="47">
        <v>2</v>
      </c>
      <c r="M60" s="118"/>
      <c r="O60" s="31" t="s">
        <v>529</v>
      </c>
      <c r="P60" s="47">
        <v>1.8620000000000001</v>
      </c>
      <c r="Q60" s="47">
        <v>1.8140000000000001</v>
      </c>
      <c r="R60" s="47">
        <v>1.766</v>
      </c>
      <c r="S60" s="47">
        <v>1.7190000000000001</v>
      </c>
      <c r="T60" s="47">
        <v>1.6719999999999999</v>
      </c>
    </row>
    <row r="61" spans="1:22" x14ac:dyDescent="0.25">
      <c r="C61" s="31" t="s">
        <v>201</v>
      </c>
      <c r="D61" s="31" t="s">
        <v>169</v>
      </c>
      <c r="E61" s="31" t="s">
        <v>529</v>
      </c>
      <c r="G61" s="47">
        <v>1.54</v>
      </c>
      <c r="H61" s="47">
        <v>1.47</v>
      </c>
      <c r="I61" s="47">
        <v>1.41</v>
      </c>
      <c r="J61" s="47">
        <v>1.34</v>
      </c>
      <c r="K61" s="47">
        <v>1.24</v>
      </c>
      <c r="M61" s="118"/>
      <c r="O61" s="31" t="s">
        <v>529</v>
      </c>
      <c r="P61" s="47">
        <v>1.68</v>
      </c>
      <c r="Q61" s="47">
        <v>1.63</v>
      </c>
      <c r="R61" s="47">
        <v>1.58</v>
      </c>
      <c r="S61" s="47">
        <v>1.44</v>
      </c>
      <c r="T61" s="47">
        <v>1.34</v>
      </c>
    </row>
    <row r="62" spans="1:22" x14ac:dyDescent="0.25">
      <c r="C62" s="31" t="s">
        <v>271</v>
      </c>
      <c r="D62" s="31" t="s">
        <v>171</v>
      </c>
      <c r="E62" s="31" t="s">
        <v>529</v>
      </c>
      <c r="G62" s="47">
        <v>1.72</v>
      </c>
      <c r="H62" s="47">
        <v>1.64</v>
      </c>
      <c r="I62" s="47">
        <v>1.57</v>
      </c>
      <c r="J62" s="47">
        <v>1.5</v>
      </c>
      <c r="K62" s="47">
        <v>1.43</v>
      </c>
      <c r="M62" s="118"/>
      <c r="O62" s="31" t="s">
        <v>529</v>
      </c>
      <c r="P62" s="47">
        <v>1.72</v>
      </c>
      <c r="Q62" s="47">
        <v>1.64</v>
      </c>
      <c r="R62" s="47">
        <v>1.57</v>
      </c>
      <c r="S62" s="47">
        <v>1.5</v>
      </c>
      <c r="T62" s="47">
        <v>1.43</v>
      </c>
    </row>
    <row r="63" spans="1:22" x14ac:dyDescent="0.25">
      <c r="M63" s="118"/>
    </row>
    <row r="64" spans="1:22" ht="13.8" x14ac:dyDescent="0.3">
      <c r="A64" s="32" t="s">
        <v>519</v>
      </c>
      <c r="B64" s="32"/>
      <c r="C64" s="32"/>
      <c r="D64" s="32"/>
      <c r="E64" s="32"/>
      <c r="F64" s="32"/>
      <c r="G64" s="32"/>
      <c r="H64" s="32"/>
      <c r="I64" s="32"/>
      <c r="J64" s="32"/>
      <c r="K64" s="32"/>
      <c r="L64" s="32"/>
      <c r="M64" s="32"/>
      <c r="N64" s="32"/>
      <c r="O64" s="32"/>
      <c r="P64" s="32"/>
      <c r="Q64" s="32"/>
      <c r="R64" s="32"/>
      <c r="S64" s="32"/>
      <c r="T64" s="32"/>
      <c r="U64" s="32"/>
      <c r="V64" s="32"/>
    </row>
    <row r="65" spans="1:20" x14ac:dyDescent="0.25">
      <c r="M65" s="118"/>
    </row>
    <row r="66" spans="1:20" ht="15" x14ac:dyDescent="0.35">
      <c r="A66" s="35" t="s">
        <v>532</v>
      </c>
      <c r="G66" s="31" t="s">
        <v>533</v>
      </c>
      <c r="M66" s="118"/>
      <c r="P66" s="31" t="s">
        <v>534</v>
      </c>
    </row>
    <row r="67" spans="1:20" x14ac:dyDescent="0.25">
      <c r="B67" s="33"/>
      <c r="M67" s="118"/>
    </row>
    <row r="68" spans="1:20" x14ac:dyDescent="0.25">
      <c r="C68" s="31" t="s">
        <v>149</v>
      </c>
      <c r="D68" s="31" t="s">
        <v>150</v>
      </c>
      <c r="E68" s="31" t="s">
        <v>151</v>
      </c>
      <c r="G68" s="31" t="s">
        <v>174</v>
      </c>
      <c r="H68" s="31" t="s">
        <v>175</v>
      </c>
      <c r="I68" s="31" t="s">
        <v>176</v>
      </c>
      <c r="J68" s="31" t="s">
        <v>177</v>
      </c>
      <c r="K68" s="31" t="s">
        <v>178</v>
      </c>
      <c r="M68" s="118"/>
      <c r="O68" s="31" t="s">
        <v>151</v>
      </c>
      <c r="P68" s="31" t="s">
        <v>174</v>
      </c>
      <c r="Q68" s="31" t="s">
        <v>175</v>
      </c>
      <c r="R68" s="31" t="s">
        <v>176</v>
      </c>
      <c r="S68" s="31" t="s">
        <v>177</v>
      </c>
      <c r="T68" s="31" t="s">
        <v>178</v>
      </c>
    </row>
    <row r="69" spans="1:20" x14ac:dyDescent="0.25">
      <c r="C69" s="31" t="s">
        <v>272</v>
      </c>
      <c r="D69" s="31" t="s">
        <v>231</v>
      </c>
      <c r="E69" s="31" t="s">
        <v>210</v>
      </c>
      <c r="G69" s="47">
        <v>147</v>
      </c>
      <c r="H69" s="47">
        <v>143.69999999999999</v>
      </c>
      <c r="I69" s="47">
        <v>140.19999999999999</v>
      </c>
      <c r="J69" s="47">
        <v>136.6</v>
      </c>
      <c r="K69" s="47">
        <v>133</v>
      </c>
      <c r="M69" s="118"/>
      <c r="O69" s="31" t="s">
        <v>210</v>
      </c>
      <c r="P69" s="47">
        <v>149</v>
      </c>
      <c r="Q69" s="47">
        <v>144.1</v>
      </c>
      <c r="R69" s="47">
        <v>140.5</v>
      </c>
      <c r="S69" s="47">
        <v>136.5</v>
      </c>
      <c r="T69" s="47">
        <v>132.6</v>
      </c>
    </row>
    <row r="70" spans="1:20" x14ac:dyDescent="0.25">
      <c r="C70" s="31" t="s">
        <v>274</v>
      </c>
      <c r="D70" s="31" t="s">
        <v>157</v>
      </c>
      <c r="E70" s="31" t="s">
        <v>210</v>
      </c>
      <c r="G70" s="47">
        <v>135.5</v>
      </c>
      <c r="H70" s="47">
        <v>134.4</v>
      </c>
      <c r="I70" s="47">
        <v>133.1</v>
      </c>
      <c r="J70" s="47">
        <v>131.80000000000001</v>
      </c>
      <c r="K70" s="47">
        <v>130.69999999999999</v>
      </c>
      <c r="M70" s="118"/>
      <c r="O70" s="31" t="s">
        <v>210</v>
      </c>
      <c r="P70" s="47">
        <v>135.5</v>
      </c>
      <c r="Q70" s="47">
        <v>134.4</v>
      </c>
      <c r="R70" s="47">
        <v>133.1</v>
      </c>
      <c r="S70" s="47">
        <v>131.80000000000001</v>
      </c>
      <c r="T70" s="47">
        <v>130.69999999999999</v>
      </c>
    </row>
    <row r="71" spans="1:20" x14ac:dyDescent="0.25">
      <c r="C71" s="31" t="s">
        <v>275</v>
      </c>
      <c r="D71" s="31" t="s">
        <v>235</v>
      </c>
      <c r="E71" s="31" t="s">
        <v>210</v>
      </c>
      <c r="G71" s="47">
        <v>141.80000000000001</v>
      </c>
      <c r="H71" s="47">
        <v>140.6</v>
      </c>
      <c r="I71" s="47">
        <v>139.19999999999999</v>
      </c>
      <c r="J71" s="47">
        <v>137.80000000000001</v>
      </c>
      <c r="K71" s="47">
        <v>136.4</v>
      </c>
      <c r="M71" s="118"/>
      <c r="O71" s="31" t="s">
        <v>210</v>
      </c>
      <c r="P71" s="47">
        <v>140.6</v>
      </c>
      <c r="Q71" s="47">
        <v>139.19999999999999</v>
      </c>
      <c r="R71" s="47">
        <v>137.80000000000001</v>
      </c>
      <c r="S71" s="47">
        <v>136.4</v>
      </c>
      <c r="T71" s="47">
        <v>135</v>
      </c>
    </row>
    <row r="72" spans="1:20" x14ac:dyDescent="0.25">
      <c r="C72" s="31" t="s">
        <v>276</v>
      </c>
      <c r="D72" s="31" t="s">
        <v>237</v>
      </c>
      <c r="E72" s="31" t="s">
        <v>210</v>
      </c>
      <c r="G72" s="47">
        <v>154.9</v>
      </c>
      <c r="H72" s="47">
        <v>153.9</v>
      </c>
      <c r="I72" s="47">
        <v>153</v>
      </c>
      <c r="J72" s="47">
        <v>152</v>
      </c>
      <c r="K72" s="47">
        <v>151</v>
      </c>
      <c r="M72" s="118"/>
      <c r="O72" s="31" t="s">
        <v>210</v>
      </c>
      <c r="P72" s="47">
        <v>140</v>
      </c>
      <c r="Q72" s="47">
        <v>138.69999999999999</v>
      </c>
      <c r="R72" s="47">
        <v>137.5</v>
      </c>
      <c r="S72" s="47">
        <v>136.4</v>
      </c>
      <c r="T72" s="47">
        <v>135.30000000000001</v>
      </c>
    </row>
    <row r="73" spans="1:20" x14ac:dyDescent="0.25">
      <c r="C73" s="31" t="s">
        <v>277</v>
      </c>
      <c r="D73" s="31" t="s">
        <v>186</v>
      </c>
      <c r="E73" s="31" t="s">
        <v>210</v>
      </c>
      <c r="G73" s="47">
        <v>142.5</v>
      </c>
      <c r="H73" s="47">
        <v>141</v>
      </c>
      <c r="I73" s="47">
        <v>139.4</v>
      </c>
      <c r="J73" s="47">
        <v>137.69999999999999</v>
      </c>
      <c r="K73" s="47">
        <v>136</v>
      </c>
      <c r="M73" s="118"/>
      <c r="O73" s="31" t="s">
        <v>210</v>
      </c>
      <c r="P73" s="47">
        <v>142.5</v>
      </c>
      <c r="Q73" s="47">
        <v>141</v>
      </c>
      <c r="R73" s="47">
        <v>139.4</v>
      </c>
      <c r="S73" s="47">
        <v>137.69999999999999</v>
      </c>
      <c r="T73" s="47">
        <v>136</v>
      </c>
    </row>
    <row r="74" spans="1:20" x14ac:dyDescent="0.25">
      <c r="C74" s="31" t="s">
        <v>278</v>
      </c>
      <c r="D74" s="31" t="s">
        <v>239</v>
      </c>
      <c r="E74" s="31" t="s">
        <v>210</v>
      </c>
      <c r="G74" s="47">
        <v>141.12</v>
      </c>
      <c r="H74" s="47">
        <v>140.76</v>
      </c>
      <c r="I74" s="47">
        <v>139.96</v>
      </c>
      <c r="J74" s="47">
        <v>138.09</v>
      </c>
      <c r="K74" s="47">
        <v>135.72</v>
      </c>
      <c r="M74" s="118"/>
      <c r="O74" s="31" t="s">
        <v>210</v>
      </c>
      <c r="P74" s="47">
        <v>140.6</v>
      </c>
      <c r="Q74" s="47">
        <v>139.19999999999999</v>
      </c>
      <c r="R74" s="47">
        <v>137.80000000000001</v>
      </c>
      <c r="S74" s="47">
        <v>136.4</v>
      </c>
      <c r="T74" s="47">
        <v>135</v>
      </c>
    </row>
    <row r="75" spans="1:20" x14ac:dyDescent="0.25">
      <c r="C75" s="31" t="s">
        <v>279</v>
      </c>
      <c r="D75" s="31" t="s">
        <v>165</v>
      </c>
      <c r="E75" s="31" t="s">
        <v>210</v>
      </c>
      <c r="G75" s="47">
        <v>144.4</v>
      </c>
      <c r="H75" s="47">
        <v>142.5</v>
      </c>
      <c r="I75" s="47">
        <v>140.30000000000001</v>
      </c>
      <c r="J75" s="47">
        <v>138.19999999999999</v>
      </c>
      <c r="K75" s="47">
        <v>136.19999999999999</v>
      </c>
      <c r="M75" s="118"/>
      <c r="O75" s="31" t="s">
        <v>210</v>
      </c>
      <c r="P75" s="47">
        <v>142.5</v>
      </c>
      <c r="Q75" s="47">
        <v>140.19999999999999</v>
      </c>
      <c r="R75" s="47">
        <v>138.1</v>
      </c>
      <c r="S75" s="47">
        <v>136.19999999999999</v>
      </c>
      <c r="T75" s="47">
        <v>134.30000000000001</v>
      </c>
    </row>
    <row r="76" spans="1:20" x14ac:dyDescent="0.25">
      <c r="C76" s="31" t="s">
        <v>280</v>
      </c>
      <c r="D76" s="31" t="s">
        <v>241</v>
      </c>
      <c r="E76" s="31" t="s">
        <v>210</v>
      </c>
      <c r="G76" s="47">
        <v>148.19999999999999</v>
      </c>
      <c r="H76" s="47">
        <v>145.9</v>
      </c>
      <c r="I76" s="47">
        <v>143.69999999999999</v>
      </c>
      <c r="J76" s="47">
        <v>142</v>
      </c>
      <c r="K76" s="47">
        <v>140.30000000000001</v>
      </c>
      <c r="M76" s="118"/>
      <c r="O76" s="31" t="s">
        <v>210</v>
      </c>
      <c r="P76" s="47">
        <v>148.19999999999999</v>
      </c>
      <c r="Q76" s="47">
        <v>145.9</v>
      </c>
      <c r="R76" s="47">
        <v>143.69999999999999</v>
      </c>
      <c r="S76" s="47">
        <v>142</v>
      </c>
      <c r="T76" s="47">
        <v>140.30000000000001</v>
      </c>
    </row>
    <row r="77" spans="1:20" x14ac:dyDescent="0.25">
      <c r="C77" s="31" t="s">
        <v>204</v>
      </c>
      <c r="D77" s="31" t="s">
        <v>205</v>
      </c>
      <c r="E77" s="31" t="s">
        <v>210</v>
      </c>
      <c r="G77" s="47">
        <v>131</v>
      </c>
      <c r="H77" s="47">
        <v>128</v>
      </c>
      <c r="I77" s="47">
        <v>125</v>
      </c>
      <c r="J77" s="47">
        <v>123</v>
      </c>
      <c r="K77" s="47">
        <v>121</v>
      </c>
      <c r="M77" s="118"/>
      <c r="O77" s="31" t="s">
        <v>210</v>
      </c>
      <c r="P77" s="47">
        <v>130.89666666666665</v>
      </c>
      <c r="Q77" s="47">
        <v>127.83</v>
      </c>
      <c r="R77" s="47">
        <v>124.80000000000001</v>
      </c>
      <c r="S77" s="47">
        <v>122.66666666666669</v>
      </c>
      <c r="T77" s="47">
        <v>121.00000000000001</v>
      </c>
    </row>
    <row r="78" spans="1:20" x14ac:dyDescent="0.25">
      <c r="C78" s="31" t="s">
        <v>281</v>
      </c>
      <c r="D78" s="31" t="s">
        <v>244</v>
      </c>
      <c r="E78" s="31" t="s">
        <v>210</v>
      </c>
      <c r="G78" s="47">
        <v>129.13</v>
      </c>
      <c r="H78" s="47">
        <v>128.93</v>
      </c>
      <c r="I78" s="47">
        <v>128.72999999999999</v>
      </c>
      <c r="J78" s="47">
        <v>128.53</v>
      </c>
      <c r="K78" s="47">
        <v>128.33000000000001</v>
      </c>
      <c r="M78" s="118"/>
      <c r="O78" s="31" t="s">
        <v>210</v>
      </c>
      <c r="P78" s="47">
        <v>129.13</v>
      </c>
      <c r="Q78" s="47">
        <v>128.93</v>
      </c>
      <c r="R78" s="47">
        <v>128.72999999999999</v>
      </c>
      <c r="S78" s="47">
        <v>128.53</v>
      </c>
      <c r="T78" s="47">
        <v>128.33000000000001</v>
      </c>
    </row>
    <row r="79" spans="1:20" x14ac:dyDescent="0.25">
      <c r="C79" s="31" t="s">
        <v>282</v>
      </c>
      <c r="D79" s="31" t="s">
        <v>246</v>
      </c>
      <c r="E79" s="31" t="s">
        <v>210</v>
      </c>
      <c r="G79" s="47">
        <v>142.58000000000001</v>
      </c>
      <c r="H79" s="47">
        <v>141.37</v>
      </c>
      <c r="I79" s="47">
        <v>140.16</v>
      </c>
      <c r="J79" s="47">
        <v>138.94999999999999</v>
      </c>
      <c r="K79" s="47">
        <v>137.74</v>
      </c>
      <c r="M79" s="118"/>
      <c r="O79" s="31" t="s">
        <v>210</v>
      </c>
      <c r="P79" s="47">
        <v>142.58000000000001</v>
      </c>
      <c r="Q79" s="47">
        <v>141.37</v>
      </c>
      <c r="R79" s="47">
        <v>140.16</v>
      </c>
      <c r="S79" s="47">
        <v>138.94999999999999</v>
      </c>
      <c r="T79" s="47">
        <v>137.74</v>
      </c>
    </row>
    <row r="80" spans="1:20" x14ac:dyDescent="0.25">
      <c r="C80" s="31" t="s">
        <v>283</v>
      </c>
      <c r="D80" s="31" t="s">
        <v>198</v>
      </c>
      <c r="E80" s="31" t="s">
        <v>210</v>
      </c>
      <c r="G80" s="47">
        <v>132.34</v>
      </c>
      <c r="H80" s="47">
        <v>131.4</v>
      </c>
      <c r="I80" s="47">
        <v>130.47</v>
      </c>
      <c r="J80" s="47">
        <v>129.54</v>
      </c>
      <c r="K80" s="47">
        <v>128.61000000000001</v>
      </c>
      <c r="M80" s="118"/>
      <c r="O80" s="31" t="s">
        <v>210</v>
      </c>
      <c r="P80" s="47">
        <v>132.34</v>
      </c>
      <c r="Q80" s="47">
        <v>131.4</v>
      </c>
      <c r="R80" s="47">
        <v>130.47</v>
      </c>
      <c r="S80" s="47">
        <v>129.54</v>
      </c>
      <c r="T80" s="47">
        <v>128.61000000000001</v>
      </c>
    </row>
    <row r="81" spans="1:22" x14ac:dyDescent="0.25">
      <c r="C81" s="31" t="s">
        <v>284</v>
      </c>
      <c r="D81" s="31" t="s">
        <v>167</v>
      </c>
      <c r="E81" s="31" t="s">
        <v>210</v>
      </c>
      <c r="G81" s="47">
        <v>135.69999999999999</v>
      </c>
      <c r="H81" s="47">
        <v>134.1</v>
      </c>
      <c r="I81" s="47">
        <v>132.19999999999999</v>
      </c>
      <c r="J81" s="47">
        <v>130.4</v>
      </c>
      <c r="K81" s="47">
        <v>128.69999999999999</v>
      </c>
      <c r="M81" s="118"/>
      <c r="O81" s="31" t="s">
        <v>210</v>
      </c>
      <c r="P81" s="47">
        <v>135.69999999999999</v>
      </c>
      <c r="Q81" s="47">
        <v>134.1</v>
      </c>
      <c r="R81" s="47">
        <v>132.19999999999999</v>
      </c>
      <c r="S81" s="47">
        <v>130.4</v>
      </c>
      <c r="T81" s="47">
        <v>128.69999999999999</v>
      </c>
    </row>
    <row r="82" spans="1:22" x14ac:dyDescent="0.25">
      <c r="C82" s="31" t="s">
        <v>285</v>
      </c>
      <c r="D82" s="31" t="s">
        <v>249</v>
      </c>
      <c r="E82" s="31" t="s">
        <v>210</v>
      </c>
      <c r="G82" s="47">
        <v>141</v>
      </c>
      <c r="H82" s="47">
        <v>140</v>
      </c>
      <c r="I82" s="47">
        <v>139</v>
      </c>
      <c r="J82" s="47">
        <v>138</v>
      </c>
      <c r="K82" s="47">
        <v>136</v>
      </c>
      <c r="M82" s="118"/>
      <c r="O82" s="31" t="s">
        <v>210</v>
      </c>
      <c r="P82" s="47">
        <v>141</v>
      </c>
      <c r="Q82" s="47">
        <v>140</v>
      </c>
      <c r="R82" s="47">
        <v>139</v>
      </c>
      <c r="S82" s="47">
        <v>138</v>
      </c>
      <c r="T82" s="47">
        <v>136</v>
      </c>
    </row>
    <row r="83" spans="1:22" x14ac:dyDescent="0.25">
      <c r="C83" s="31" t="s">
        <v>286</v>
      </c>
      <c r="D83" s="31" t="s">
        <v>190</v>
      </c>
      <c r="E83" s="31" t="s">
        <v>210</v>
      </c>
      <c r="G83" s="47">
        <v>140.68</v>
      </c>
      <c r="H83" s="47">
        <v>139.93</v>
      </c>
      <c r="I83" s="47">
        <v>139.02000000000001</v>
      </c>
      <c r="J83" s="47">
        <v>138.04</v>
      </c>
      <c r="K83" s="47">
        <v>137.1</v>
      </c>
      <c r="M83" s="118"/>
      <c r="O83" s="31" t="s">
        <v>210</v>
      </c>
      <c r="P83" s="47">
        <v>140.41999999999999</v>
      </c>
      <c r="Q83" s="47">
        <v>139.34</v>
      </c>
      <c r="R83" s="47">
        <v>138.13</v>
      </c>
      <c r="S83" s="47">
        <v>137.13</v>
      </c>
      <c r="T83" s="47">
        <v>136.22999999999999</v>
      </c>
    </row>
    <row r="84" spans="1:22" x14ac:dyDescent="0.25">
      <c r="C84" s="31" t="s">
        <v>287</v>
      </c>
      <c r="D84" s="31" t="s">
        <v>252</v>
      </c>
      <c r="E84" s="31" t="s">
        <v>210</v>
      </c>
      <c r="G84" s="47">
        <v>145</v>
      </c>
      <c r="H84" s="47">
        <v>144</v>
      </c>
      <c r="I84" s="47">
        <v>142</v>
      </c>
      <c r="J84" s="47">
        <v>141</v>
      </c>
      <c r="K84" s="47">
        <v>139</v>
      </c>
      <c r="M84" s="118"/>
      <c r="O84" s="31" t="s">
        <v>210</v>
      </c>
      <c r="P84" s="47">
        <v>144</v>
      </c>
      <c r="Q84" s="47">
        <v>143</v>
      </c>
      <c r="R84" s="47">
        <v>142</v>
      </c>
      <c r="S84" s="47">
        <v>140</v>
      </c>
      <c r="T84" s="47">
        <v>138</v>
      </c>
    </row>
    <row r="85" spans="1:22" x14ac:dyDescent="0.25">
      <c r="C85" s="31" t="s">
        <v>207</v>
      </c>
      <c r="D85" s="31" t="s">
        <v>169</v>
      </c>
      <c r="E85" s="31" t="s">
        <v>210</v>
      </c>
      <c r="G85" s="47">
        <v>130.19999999999999</v>
      </c>
      <c r="H85" s="47">
        <v>129.69999999999999</v>
      </c>
      <c r="I85" s="47">
        <v>129.1</v>
      </c>
      <c r="J85" s="47">
        <v>128.5</v>
      </c>
      <c r="K85" s="47">
        <v>127.9</v>
      </c>
      <c r="M85" s="118"/>
      <c r="O85" s="31" t="s">
        <v>210</v>
      </c>
      <c r="P85" s="47">
        <v>130.19999999999999</v>
      </c>
      <c r="Q85" s="47">
        <v>129.69999999999999</v>
      </c>
      <c r="R85" s="47">
        <v>129.1</v>
      </c>
      <c r="S85" s="47">
        <v>128.5</v>
      </c>
      <c r="T85" s="47">
        <v>127.9</v>
      </c>
    </row>
    <row r="86" spans="1:22" x14ac:dyDescent="0.25">
      <c r="C86" s="31" t="s">
        <v>208</v>
      </c>
      <c r="D86" s="31" t="s">
        <v>171</v>
      </c>
      <c r="E86" s="31" t="s">
        <v>210</v>
      </c>
      <c r="G86" s="47">
        <v>128.80000000000001</v>
      </c>
      <c r="H86" s="47">
        <v>125.5</v>
      </c>
      <c r="I86" s="47">
        <v>122.2</v>
      </c>
      <c r="J86" s="47">
        <v>121.1</v>
      </c>
      <c r="K86" s="47">
        <v>120.2</v>
      </c>
      <c r="M86" s="118"/>
      <c r="O86" s="31" t="s">
        <v>210</v>
      </c>
      <c r="P86" s="47">
        <v>128.80000000000001</v>
      </c>
      <c r="Q86" s="47">
        <v>125.5</v>
      </c>
      <c r="R86" s="47">
        <v>122.2</v>
      </c>
      <c r="S86" s="47">
        <v>121.1</v>
      </c>
      <c r="T86" s="47">
        <v>120.2</v>
      </c>
    </row>
    <row r="87" spans="1:22" x14ac:dyDescent="0.25">
      <c r="M87" s="118"/>
    </row>
    <row r="88" spans="1:22" ht="13.8" x14ac:dyDescent="0.3">
      <c r="A88" s="32" t="s">
        <v>211</v>
      </c>
      <c r="B88" s="32"/>
      <c r="C88" s="32"/>
      <c r="D88" s="32"/>
      <c r="E88" s="32"/>
      <c r="F88" s="32"/>
      <c r="G88" s="32"/>
      <c r="H88" s="32"/>
      <c r="I88" s="32"/>
      <c r="J88" s="32"/>
      <c r="K88" s="32"/>
      <c r="L88" s="32"/>
      <c r="M88" s="32"/>
      <c r="N88" s="32"/>
      <c r="O88" s="32"/>
      <c r="P88" s="32"/>
      <c r="Q88" s="32"/>
      <c r="R88" s="32"/>
      <c r="S88" s="32"/>
      <c r="T88" s="32"/>
      <c r="U88" s="32"/>
      <c r="V88" s="32"/>
    </row>
    <row r="89" spans="1:22" x14ac:dyDescent="0.25">
      <c r="M89" s="118"/>
    </row>
    <row r="90" spans="1:22" ht="15" x14ac:dyDescent="0.35">
      <c r="A90" s="35" t="s">
        <v>532</v>
      </c>
      <c r="G90" s="31" t="s">
        <v>533</v>
      </c>
      <c r="M90" s="118"/>
      <c r="P90" s="31" t="s">
        <v>534</v>
      </c>
    </row>
    <row r="91" spans="1:22" x14ac:dyDescent="0.25">
      <c r="B91" s="33"/>
      <c r="M91" s="118"/>
    </row>
    <row r="92" spans="1:22" x14ac:dyDescent="0.25">
      <c r="C92" s="31" t="s">
        <v>149</v>
      </c>
      <c r="D92" s="31" t="s">
        <v>150</v>
      </c>
      <c r="E92" s="31" t="s">
        <v>151</v>
      </c>
      <c r="G92" s="31" t="s">
        <v>174</v>
      </c>
      <c r="H92" s="31" t="s">
        <v>175</v>
      </c>
      <c r="I92" s="31" t="s">
        <v>176</v>
      </c>
      <c r="J92" s="31" t="s">
        <v>177</v>
      </c>
      <c r="K92" s="31" t="s">
        <v>178</v>
      </c>
      <c r="M92" s="118"/>
      <c r="O92" s="31" t="s">
        <v>151</v>
      </c>
      <c r="P92" s="31" t="s">
        <v>174</v>
      </c>
      <c r="Q92" s="31" t="s">
        <v>175</v>
      </c>
      <c r="R92" s="31" t="s">
        <v>176</v>
      </c>
      <c r="S92" s="31" t="s">
        <v>177</v>
      </c>
      <c r="T92" s="31" t="s">
        <v>178</v>
      </c>
    </row>
    <row r="93" spans="1:22" x14ac:dyDescent="0.25">
      <c r="C93" s="31" t="s">
        <v>288</v>
      </c>
      <c r="D93" s="31" t="s">
        <v>231</v>
      </c>
      <c r="E93" s="31" t="s">
        <v>217</v>
      </c>
      <c r="G93" s="100">
        <v>3.472222222222222E-3</v>
      </c>
      <c r="H93" s="100">
        <v>3.1249999999999997E-3</v>
      </c>
      <c r="I93" s="100">
        <v>2.7777777777777779E-3</v>
      </c>
      <c r="J93" s="100">
        <v>2.4305555555555556E-3</v>
      </c>
      <c r="K93" s="100">
        <v>2.0833333333333333E-3</v>
      </c>
      <c r="M93" s="118"/>
      <c r="O93" s="31" t="s">
        <v>217</v>
      </c>
      <c r="P93" s="100">
        <v>2.9745370370370373E-3</v>
      </c>
      <c r="Q93" s="100">
        <v>2.7546296296296294E-3</v>
      </c>
      <c r="R93" s="100">
        <v>2.5462962962962961E-3</v>
      </c>
      <c r="S93" s="100">
        <v>2.3379629629629631E-3</v>
      </c>
      <c r="T93" s="100">
        <v>2.0833333333333333E-3</v>
      </c>
    </row>
    <row r="94" spans="1:22" x14ac:dyDescent="0.25">
      <c r="C94" s="31" t="s">
        <v>290</v>
      </c>
      <c r="D94" s="31" t="s">
        <v>157</v>
      </c>
      <c r="E94" s="31" t="s">
        <v>217</v>
      </c>
      <c r="G94" s="100">
        <v>5.1736111111111115E-3</v>
      </c>
      <c r="H94" s="100">
        <v>4.8032407407407407E-3</v>
      </c>
      <c r="I94" s="100">
        <v>4.4675925925925933E-3</v>
      </c>
      <c r="J94" s="100">
        <v>4.155092592592593E-3</v>
      </c>
      <c r="K94" s="100">
        <v>3.8657407407407408E-3</v>
      </c>
      <c r="M94" s="118"/>
      <c r="O94" s="31" t="s">
        <v>217</v>
      </c>
      <c r="P94" s="100">
        <v>5.1736111111111115E-3</v>
      </c>
      <c r="Q94" s="100">
        <v>4.8032407407407407E-3</v>
      </c>
      <c r="R94" s="100">
        <v>4.4675925925925933E-3</v>
      </c>
      <c r="S94" s="100">
        <v>4.155092592592593E-3</v>
      </c>
      <c r="T94" s="100">
        <v>3.8657407407407408E-3</v>
      </c>
    </row>
    <row r="95" spans="1:22" x14ac:dyDescent="0.25">
      <c r="C95" s="31" t="s">
        <v>291</v>
      </c>
      <c r="D95" s="31" t="s">
        <v>235</v>
      </c>
      <c r="E95" s="31" t="s">
        <v>217</v>
      </c>
      <c r="G95" s="100">
        <v>2.9166666666666668E-3</v>
      </c>
      <c r="H95" s="100">
        <v>2.5000000000000001E-3</v>
      </c>
      <c r="I95" s="100">
        <v>2.0833333333333333E-3</v>
      </c>
      <c r="J95" s="100">
        <v>1.6666666666666668E-3</v>
      </c>
      <c r="K95" s="100">
        <v>1.25E-3</v>
      </c>
      <c r="M95" s="118"/>
      <c r="O95" s="31" t="s">
        <v>217</v>
      </c>
      <c r="P95" s="100">
        <v>2.9745370370370373E-3</v>
      </c>
      <c r="Q95" s="100">
        <v>2.7546296296296294E-3</v>
      </c>
      <c r="R95" s="100">
        <v>2.5462962962962961E-3</v>
      </c>
      <c r="S95" s="100">
        <v>2.3379629629629631E-3</v>
      </c>
      <c r="T95" s="100">
        <v>2.0833333333333333E-3</v>
      </c>
    </row>
    <row r="96" spans="1:22" x14ac:dyDescent="0.25">
      <c r="C96" s="31" t="s">
        <v>292</v>
      </c>
      <c r="D96" s="31" t="s">
        <v>237</v>
      </c>
      <c r="E96" s="31" t="s">
        <v>217</v>
      </c>
      <c r="G96" s="100">
        <v>6.2499999999999995E-3</v>
      </c>
      <c r="H96" s="100">
        <v>5.4166666666666669E-3</v>
      </c>
      <c r="I96" s="100">
        <v>5.4166666666666669E-3</v>
      </c>
      <c r="J96" s="100">
        <v>5.4166666666666669E-3</v>
      </c>
      <c r="K96" s="100">
        <v>5.4166666666666669E-3</v>
      </c>
      <c r="M96" s="118"/>
      <c r="O96" s="31" t="s">
        <v>217</v>
      </c>
      <c r="P96" s="100">
        <v>2.9745370370370373E-3</v>
      </c>
      <c r="Q96" s="100">
        <v>2.7546296296296294E-3</v>
      </c>
      <c r="R96" s="100">
        <v>2.5462962962962961E-3</v>
      </c>
      <c r="S96" s="100">
        <v>2.3379629629629631E-3</v>
      </c>
      <c r="T96" s="100">
        <v>2.0833333333333333E-3</v>
      </c>
    </row>
    <row r="97" spans="1:22" x14ac:dyDescent="0.25">
      <c r="C97" s="31" t="s">
        <v>212</v>
      </c>
      <c r="D97" s="31" t="s">
        <v>186</v>
      </c>
      <c r="E97" s="31" t="s">
        <v>217</v>
      </c>
      <c r="G97" s="100">
        <v>3.0092592592592601E-3</v>
      </c>
      <c r="H97" s="100">
        <v>3.0092592592592601E-3</v>
      </c>
      <c r="I97" s="100">
        <v>3.0092592592592601E-3</v>
      </c>
      <c r="J97" s="100">
        <v>3.0092592592592601E-3</v>
      </c>
      <c r="K97" s="100">
        <v>3.0092592592592601E-3</v>
      </c>
      <c r="M97" s="118"/>
      <c r="O97" s="31" t="s">
        <v>217</v>
      </c>
      <c r="P97" s="100">
        <v>2.9745370370370373E-3</v>
      </c>
      <c r="Q97" s="100">
        <v>2.7546296296296294E-3</v>
      </c>
      <c r="R97" s="100">
        <v>2.5462962962962961E-3</v>
      </c>
      <c r="S97" s="100">
        <v>2.3379629629629631E-3</v>
      </c>
      <c r="T97" s="100">
        <v>2.0833333333333333E-3</v>
      </c>
    </row>
    <row r="98" spans="1:22" x14ac:dyDescent="0.25">
      <c r="C98" s="31" t="s">
        <v>293</v>
      </c>
      <c r="D98" s="31" t="s">
        <v>239</v>
      </c>
      <c r="E98" s="31" t="s">
        <v>217</v>
      </c>
      <c r="G98" s="100">
        <v>2.0833333333333333E-3</v>
      </c>
      <c r="H98" s="100">
        <v>2.0833333333333333E-3</v>
      </c>
      <c r="I98" s="100">
        <v>2.0833333333333333E-3</v>
      </c>
      <c r="J98" s="100">
        <v>2.0833333333333333E-3</v>
      </c>
      <c r="K98" s="100">
        <v>2.0833333333333333E-3</v>
      </c>
      <c r="M98" s="118"/>
      <c r="O98" s="31" t="s">
        <v>217</v>
      </c>
      <c r="P98" s="100">
        <v>2.9745370370370373E-3</v>
      </c>
      <c r="Q98" s="100">
        <v>2.7546296296296294E-3</v>
      </c>
      <c r="R98" s="100">
        <v>2.5462962962962961E-3</v>
      </c>
      <c r="S98" s="100">
        <v>2.3379629629629631E-3</v>
      </c>
      <c r="T98" s="100">
        <v>2.0833333333333333E-3</v>
      </c>
    </row>
    <row r="99" spans="1:22" x14ac:dyDescent="0.25">
      <c r="C99" s="31" t="s">
        <v>214</v>
      </c>
      <c r="D99" s="31" t="s">
        <v>165</v>
      </c>
      <c r="E99" s="31" t="s">
        <v>217</v>
      </c>
      <c r="G99" s="100">
        <v>1.8518518518518517E-3</v>
      </c>
      <c r="H99" s="100">
        <v>1.7476851851851852E-3</v>
      </c>
      <c r="I99" s="100">
        <v>1.6550925925925926E-3</v>
      </c>
      <c r="J99" s="100">
        <v>1.5509259259259261E-3</v>
      </c>
      <c r="K99" s="100">
        <v>1.4583333333333334E-3</v>
      </c>
      <c r="M99" s="118"/>
      <c r="O99" s="31" t="s">
        <v>217</v>
      </c>
      <c r="P99" s="100">
        <v>2.972222222222222E-3</v>
      </c>
      <c r="Q99" s="100">
        <v>2.7569444444444442E-3</v>
      </c>
      <c r="R99" s="100">
        <v>2.5486111111111113E-3</v>
      </c>
      <c r="S99" s="100">
        <v>2.3402777777777779E-3</v>
      </c>
      <c r="T99" s="100">
        <v>2.0833333333333333E-3</v>
      </c>
    </row>
    <row r="100" spans="1:22" x14ac:dyDescent="0.25">
      <c r="C100" s="31" t="s">
        <v>294</v>
      </c>
      <c r="D100" s="31" t="s">
        <v>241</v>
      </c>
      <c r="E100" s="31" t="s">
        <v>217</v>
      </c>
      <c r="G100" s="100">
        <v>4.5023148148148149E-3</v>
      </c>
      <c r="H100" s="100">
        <v>3.9930555555555561E-3</v>
      </c>
      <c r="I100" s="100">
        <v>3.530092592592592E-3</v>
      </c>
      <c r="J100" s="100">
        <v>3.1249999999999997E-3</v>
      </c>
      <c r="K100" s="100">
        <v>2.7546296296296294E-3</v>
      </c>
      <c r="M100" s="118"/>
      <c r="O100" s="31" t="s">
        <v>217</v>
      </c>
      <c r="P100" s="100">
        <v>2.9745370370370373E-3</v>
      </c>
      <c r="Q100" s="100">
        <v>2.7546296296296294E-3</v>
      </c>
      <c r="R100" s="100">
        <v>2.5462962962962961E-3</v>
      </c>
      <c r="S100" s="100">
        <v>2.3379629629629631E-3</v>
      </c>
      <c r="T100" s="100">
        <v>2.0833333333333333E-3</v>
      </c>
    </row>
    <row r="101" spans="1:22" x14ac:dyDescent="0.25">
      <c r="C101" s="31" t="s">
        <v>295</v>
      </c>
      <c r="D101" s="31" t="s">
        <v>205</v>
      </c>
      <c r="E101" s="31" t="s">
        <v>217</v>
      </c>
      <c r="G101" s="100">
        <v>4.2939814814814811E-3</v>
      </c>
      <c r="H101" s="100">
        <v>4.1782407407407402E-3</v>
      </c>
      <c r="I101" s="100">
        <v>4.0624999999999993E-3</v>
      </c>
      <c r="J101" s="100">
        <v>3.9351851851851857E-3</v>
      </c>
      <c r="K101" s="100">
        <v>3.8194444444444443E-3</v>
      </c>
      <c r="M101" s="118"/>
      <c r="O101" s="31" t="s">
        <v>217</v>
      </c>
      <c r="P101" s="100">
        <v>4.2939814814814811E-3</v>
      </c>
      <c r="Q101" s="100">
        <v>3.7500000000000003E-3</v>
      </c>
      <c r="R101" s="100">
        <v>3.2175925925925926E-3</v>
      </c>
      <c r="S101" s="100">
        <v>2.627314814814815E-3</v>
      </c>
      <c r="T101" s="100">
        <v>2.0833333333333333E-3</v>
      </c>
    </row>
    <row r="102" spans="1:22" x14ac:dyDescent="0.25">
      <c r="C102" s="31" t="s">
        <v>296</v>
      </c>
      <c r="D102" s="31" t="s">
        <v>297</v>
      </c>
      <c r="E102" s="31" t="s">
        <v>217</v>
      </c>
      <c r="G102" s="100">
        <v>3.8194444444444443E-3</v>
      </c>
      <c r="H102" s="100">
        <v>3.7037037037037034E-3</v>
      </c>
      <c r="I102" s="100">
        <v>3.5879629629629629E-3</v>
      </c>
      <c r="J102" s="100">
        <v>3.472222222222222E-3</v>
      </c>
      <c r="K102" s="100">
        <v>3.3564814814814811E-3</v>
      </c>
      <c r="M102" s="118"/>
      <c r="O102" s="31" t="s">
        <v>217</v>
      </c>
      <c r="P102" s="100">
        <v>3.0092592592592588E-3</v>
      </c>
      <c r="Q102" s="100">
        <v>2.9513888888888888E-3</v>
      </c>
      <c r="R102" s="100">
        <v>2.8935185185185188E-3</v>
      </c>
      <c r="S102" s="100">
        <v>2.8240740740740739E-3</v>
      </c>
      <c r="T102" s="100">
        <v>2.7546296296296294E-3</v>
      </c>
    </row>
    <row r="103" spans="1:22" x14ac:dyDescent="0.25">
      <c r="C103" s="31" t="s">
        <v>298</v>
      </c>
      <c r="D103" s="31" t="s">
        <v>198</v>
      </c>
      <c r="E103" s="31" t="s">
        <v>217</v>
      </c>
      <c r="G103" s="100">
        <v>6.122685185185185E-3</v>
      </c>
      <c r="H103" s="100">
        <v>6.0995370370370361E-3</v>
      </c>
      <c r="I103" s="100">
        <v>6.076388888888889E-3</v>
      </c>
      <c r="J103" s="100">
        <v>6.053240740740741E-3</v>
      </c>
      <c r="K103" s="100">
        <v>6.030092592592593E-3</v>
      </c>
      <c r="M103" s="118"/>
      <c r="O103" s="31" t="s">
        <v>217</v>
      </c>
      <c r="P103" s="100">
        <v>2.9745370370370373E-3</v>
      </c>
      <c r="Q103" s="100">
        <v>2.7546296296296294E-3</v>
      </c>
      <c r="R103" s="100">
        <v>2.5462962962962961E-3</v>
      </c>
      <c r="S103" s="100">
        <v>2.3379629629629631E-3</v>
      </c>
      <c r="T103" s="100">
        <v>2.0833333333333333E-3</v>
      </c>
    </row>
    <row r="104" spans="1:22" x14ac:dyDescent="0.25">
      <c r="C104" s="31" t="s">
        <v>299</v>
      </c>
      <c r="D104" s="31" t="s">
        <v>167</v>
      </c>
      <c r="E104" s="31" t="s">
        <v>217</v>
      </c>
      <c r="G104" s="100">
        <v>5.0231481481481481E-3</v>
      </c>
      <c r="H104" s="100">
        <v>4.340277777777778E-3</v>
      </c>
      <c r="I104" s="100">
        <v>4.108796296296297E-3</v>
      </c>
      <c r="J104" s="100">
        <v>3.4606481481481485E-3</v>
      </c>
      <c r="K104" s="100">
        <v>3.2523148148148151E-3</v>
      </c>
      <c r="M104" s="118"/>
      <c r="O104" s="31" t="s">
        <v>217</v>
      </c>
      <c r="P104" s="100">
        <v>2.9745370370370373E-3</v>
      </c>
      <c r="Q104" s="100">
        <v>2.7546296296296294E-3</v>
      </c>
      <c r="R104" s="100">
        <v>2.5462962962962961E-3</v>
      </c>
      <c r="S104" s="100">
        <v>2.3379629629629631E-3</v>
      </c>
      <c r="T104" s="100">
        <v>2.0833333333333333E-3</v>
      </c>
    </row>
    <row r="105" spans="1:22" x14ac:dyDescent="0.25">
      <c r="C105" s="31" t="s">
        <v>300</v>
      </c>
      <c r="D105" s="31" t="s">
        <v>249</v>
      </c>
      <c r="E105" s="31" t="s">
        <v>217</v>
      </c>
      <c r="G105" s="100">
        <v>7.2685185185185188E-3</v>
      </c>
      <c r="H105" s="100">
        <v>7.1874999999999994E-3</v>
      </c>
      <c r="I105" s="100">
        <v>7.106481481481481E-3</v>
      </c>
      <c r="J105" s="100">
        <v>7.013888888888889E-3</v>
      </c>
      <c r="K105" s="100">
        <v>6.9328703703703696E-3</v>
      </c>
      <c r="M105" s="118"/>
      <c r="O105" s="31" t="s">
        <v>217</v>
      </c>
      <c r="P105" s="100">
        <v>7.0601851851851841E-3</v>
      </c>
      <c r="Q105" s="100">
        <v>6.7708333333333336E-3</v>
      </c>
      <c r="R105" s="100">
        <v>6.4814814814814813E-3</v>
      </c>
      <c r="S105" s="100">
        <v>6.1921296296296299E-3</v>
      </c>
      <c r="T105" s="100">
        <v>5.9027777777777776E-3</v>
      </c>
    </row>
    <row r="106" spans="1:22" x14ac:dyDescent="0.25">
      <c r="C106" s="31" t="s">
        <v>301</v>
      </c>
      <c r="D106" s="31" t="s">
        <v>190</v>
      </c>
      <c r="E106" s="31" t="s">
        <v>217</v>
      </c>
      <c r="G106" s="100">
        <v>4.1666666666666701E-3</v>
      </c>
      <c r="H106" s="100">
        <v>4.1666666666666701E-3</v>
      </c>
      <c r="I106" s="100">
        <v>4.1666666666666701E-3</v>
      </c>
      <c r="J106" s="100">
        <v>4.1666666666666701E-3</v>
      </c>
      <c r="K106" s="100">
        <v>4.1666666666666701E-3</v>
      </c>
      <c r="M106" s="118"/>
      <c r="O106" s="31" t="s">
        <v>217</v>
      </c>
      <c r="P106" s="100">
        <v>2.9745370370370373E-3</v>
      </c>
      <c r="Q106" s="100">
        <v>2.7546296296296294E-3</v>
      </c>
      <c r="R106" s="100">
        <v>2.5462962962962961E-3</v>
      </c>
      <c r="S106" s="100">
        <v>2.3379629629629631E-3</v>
      </c>
      <c r="T106" s="100">
        <v>2.0833333333333333E-3</v>
      </c>
    </row>
    <row r="107" spans="1:22" x14ac:dyDescent="0.25">
      <c r="C107" s="31" t="s">
        <v>302</v>
      </c>
      <c r="D107" s="31" t="s">
        <v>252</v>
      </c>
      <c r="E107" s="31" t="s">
        <v>217</v>
      </c>
      <c r="G107" s="100">
        <v>7.7777777777777767E-3</v>
      </c>
      <c r="H107" s="100">
        <v>7.2222222222222228E-3</v>
      </c>
      <c r="I107" s="100">
        <v>6.6666666666666671E-3</v>
      </c>
      <c r="J107" s="100">
        <v>6.1111111111111114E-3</v>
      </c>
      <c r="K107" s="100">
        <v>5.5555555555555558E-3</v>
      </c>
      <c r="M107" s="118"/>
      <c r="O107" s="31" t="s">
        <v>217</v>
      </c>
      <c r="P107" s="100">
        <v>7.7777777777777767E-3</v>
      </c>
      <c r="Q107" s="100">
        <v>7.2222222222222228E-3</v>
      </c>
      <c r="R107" s="100">
        <v>6.6666666666666671E-3</v>
      </c>
      <c r="S107" s="100">
        <v>6.1111111111111114E-3</v>
      </c>
      <c r="T107" s="100">
        <v>5.5555555555555558E-3</v>
      </c>
    </row>
    <row r="108" spans="1:22" x14ac:dyDescent="0.25">
      <c r="C108" s="31" t="s">
        <v>215</v>
      </c>
      <c r="D108" s="31" t="s">
        <v>169</v>
      </c>
      <c r="E108" s="31" t="s">
        <v>217</v>
      </c>
      <c r="G108" s="100">
        <v>2.9745370370370373E-3</v>
      </c>
      <c r="H108" s="100">
        <v>2.7546296296296294E-3</v>
      </c>
      <c r="I108" s="100">
        <v>2.5462962962962961E-3</v>
      </c>
      <c r="J108" s="100">
        <v>2.3379629629629631E-3</v>
      </c>
      <c r="K108" s="100">
        <v>2.1643518518518518E-3</v>
      </c>
      <c r="M108" s="118"/>
      <c r="O108" s="31" t="s">
        <v>217</v>
      </c>
      <c r="P108" s="100">
        <v>2.9745370370370373E-3</v>
      </c>
      <c r="Q108" s="100">
        <v>2.7546296296296294E-3</v>
      </c>
      <c r="R108" s="100">
        <v>2.5462962962962961E-3</v>
      </c>
      <c r="S108" s="100">
        <v>2.3379629629629631E-3</v>
      </c>
      <c r="T108" s="100">
        <v>2.0833333333333333E-3</v>
      </c>
    </row>
    <row r="109" spans="1:22" x14ac:dyDescent="0.25">
      <c r="C109" s="31" t="s">
        <v>216</v>
      </c>
      <c r="D109" s="31" t="s">
        <v>171</v>
      </c>
      <c r="E109" s="31" t="s">
        <v>217</v>
      </c>
      <c r="G109" s="100">
        <v>2.5000000000000001E-3</v>
      </c>
      <c r="H109" s="100">
        <v>2.2222222222222222E-3</v>
      </c>
      <c r="I109" s="100">
        <v>1.9444444444444442E-3</v>
      </c>
      <c r="J109" s="100">
        <v>1.6666666666666668E-3</v>
      </c>
      <c r="K109" s="100">
        <v>1.3888888888888889E-3</v>
      </c>
      <c r="M109" s="118"/>
      <c r="O109" s="31" t="s">
        <v>217</v>
      </c>
      <c r="P109" s="100">
        <v>2.5000000000000001E-3</v>
      </c>
      <c r="Q109" s="100">
        <v>2.2222222222222222E-3</v>
      </c>
      <c r="R109" s="100">
        <v>1.9444444444444442E-3</v>
      </c>
      <c r="S109" s="100">
        <v>1.6666666666666668E-3</v>
      </c>
      <c r="T109" s="100">
        <v>1.3888888888888889E-3</v>
      </c>
    </row>
    <row r="110" spans="1:22" x14ac:dyDescent="0.25">
      <c r="M110" s="118"/>
    </row>
    <row r="111" spans="1:22" ht="13.8" x14ac:dyDescent="0.3">
      <c r="A111" s="36" t="s">
        <v>22</v>
      </c>
      <c r="B111" s="36"/>
      <c r="C111" s="36"/>
      <c r="D111" s="36"/>
      <c r="E111" s="36"/>
      <c r="F111" s="36"/>
      <c r="G111" s="36"/>
      <c r="H111" s="36"/>
      <c r="I111" s="36"/>
      <c r="J111" s="36"/>
      <c r="K111" s="36"/>
      <c r="L111" s="36"/>
      <c r="M111" s="36"/>
      <c r="N111" s="36"/>
      <c r="O111" s="36"/>
      <c r="P111" s="36"/>
      <c r="Q111" s="36"/>
      <c r="R111" s="36"/>
      <c r="S111" s="36"/>
      <c r="T111" s="36"/>
      <c r="U111" s="36"/>
      <c r="V111" s="36"/>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sheetPr>
  <dimension ref="A1:Y106"/>
  <sheetViews>
    <sheetView zoomScaleNormal="100" workbookViewId="0">
      <pane ySplit="1" topLeftCell="A2" activePane="bottomLeft" state="frozen"/>
      <selection pane="bottomLeft" activeCell="A2" sqref="A2"/>
    </sheetView>
  </sheetViews>
  <sheetFormatPr defaultColWidth="9" defaultRowHeight="13.2" x14ac:dyDescent="0.25"/>
  <cols>
    <col min="1" max="2" width="2.77734375" style="9" customWidth="1"/>
    <col min="3" max="3" width="31" style="9" bestFit="1" customWidth="1"/>
    <col min="4" max="4" width="16.109375" style="9" bestFit="1" customWidth="1"/>
    <col min="5" max="5" width="31.88671875" style="9" bestFit="1" customWidth="1"/>
    <col min="6" max="6" width="2.77734375" style="9" customWidth="1"/>
    <col min="7" max="11" width="10" style="9" bestFit="1" customWidth="1"/>
    <col min="12" max="12" width="10" style="9" customWidth="1"/>
    <col min="13" max="13" width="10" style="9" bestFit="1" customWidth="1"/>
    <col min="14" max="16384" width="9" style="9"/>
  </cols>
  <sheetData>
    <row r="1" spans="1:25" ht="30" x14ac:dyDescent="0.5">
      <c r="A1" s="3" t="s">
        <v>535</v>
      </c>
      <c r="B1" s="3"/>
      <c r="C1" s="3"/>
      <c r="D1" s="3"/>
      <c r="E1" s="3"/>
      <c r="F1" s="3"/>
      <c r="G1" s="3"/>
      <c r="H1" s="3"/>
      <c r="I1" s="3"/>
      <c r="J1" s="3"/>
      <c r="K1" s="3"/>
      <c r="L1" s="3"/>
      <c r="M1" s="3"/>
      <c r="N1" s="3"/>
      <c r="O1" s="3"/>
      <c r="P1" s="3"/>
      <c r="Q1" s="3"/>
      <c r="R1" s="3"/>
      <c r="S1" s="3"/>
      <c r="T1" s="3"/>
      <c r="U1" s="3"/>
      <c r="V1" s="3"/>
      <c r="W1" s="3"/>
      <c r="X1" s="3"/>
      <c r="Y1" s="3"/>
    </row>
    <row r="2" spans="1:25" customFormat="1" x14ac:dyDescent="0.25">
      <c r="A2" s="9"/>
      <c r="B2" s="9"/>
      <c r="C2" s="9"/>
      <c r="D2" s="9"/>
      <c r="E2" s="9"/>
      <c r="F2" s="9"/>
      <c r="G2" s="9"/>
      <c r="H2" s="9"/>
      <c r="I2" s="9"/>
      <c r="J2" s="9"/>
      <c r="K2" s="9"/>
      <c r="L2" s="9"/>
      <c r="M2" s="9"/>
      <c r="N2" s="9"/>
      <c r="O2" s="9"/>
      <c r="P2" s="9"/>
      <c r="Q2" s="9"/>
      <c r="R2" s="9"/>
      <c r="S2" s="9"/>
      <c r="T2" s="9"/>
      <c r="U2" s="9"/>
      <c r="V2" s="9"/>
      <c r="W2" s="9"/>
      <c r="X2" s="9"/>
      <c r="Y2" s="9"/>
    </row>
    <row r="3" spans="1:25" customFormat="1" x14ac:dyDescent="0.25">
      <c r="A3" s="9"/>
      <c r="B3" s="4" t="s">
        <v>536</v>
      </c>
      <c r="C3" s="9"/>
      <c r="D3" s="9"/>
      <c r="E3" s="9"/>
      <c r="F3" s="9"/>
      <c r="G3" s="9"/>
      <c r="H3" s="9"/>
      <c r="I3" s="9"/>
      <c r="J3" s="9"/>
      <c r="K3" s="9"/>
      <c r="L3" s="9"/>
      <c r="M3" s="9"/>
      <c r="N3" s="9"/>
      <c r="O3" s="9"/>
      <c r="P3" s="9"/>
      <c r="Q3" s="9"/>
      <c r="R3" s="9"/>
      <c r="S3" s="9"/>
      <c r="T3" s="9"/>
      <c r="U3" s="9"/>
      <c r="V3" s="9"/>
      <c r="W3" s="9"/>
      <c r="X3" s="9"/>
      <c r="Y3" s="9"/>
    </row>
    <row r="5" spans="1:25" ht="13.8" x14ac:dyDescent="0.3">
      <c r="A5" s="8" t="s">
        <v>147</v>
      </c>
      <c r="B5" s="8"/>
      <c r="C5" s="8"/>
      <c r="D5" s="8"/>
      <c r="E5" s="8"/>
      <c r="F5" s="8"/>
      <c r="G5" s="8"/>
      <c r="H5" s="8"/>
      <c r="I5" s="8"/>
      <c r="J5" s="8"/>
      <c r="K5" s="8"/>
      <c r="L5" s="8"/>
      <c r="M5" s="8"/>
      <c r="N5" s="8"/>
      <c r="O5" s="8"/>
      <c r="P5" s="8"/>
      <c r="Q5" s="8"/>
      <c r="R5" s="8"/>
      <c r="S5" s="8"/>
      <c r="T5" s="8"/>
      <c r="U5" s="8"/>
      <c r="V5" s="8"/>
      <c r="W5" s="8"/>
      <c r="X5" s="8"/>
      <c r="Y5" s="8"/>
    </row>
    <row r="7" spans="1:25" x14ac:dyDescent="0.25">
      <c r="L7" s="9" t="s">
        <v>537</v>
      </c>
      <c r="M7" s="9" t="s">
        <v>373</v>
      </c>
    </row>
    <row r="8" spans="1:25" x14ac:dyDescent="0.25">
      <c r="C8" s="9" t="s">
        <v>149</v>
      </c>
      <c r="D8" s="9" t="s">
        <v>150</v>
      </c>
      <c r="E8" s="9" t="s">
        <v>151</v>
      </c>
      <c r="G8" s="9" t="s">
        <v>538</v>
      </c>
      <c r="H8" s="9" t="s">
        <v>539</v>
      </c>
      <c r="I8" s="9" t="s">
        <v>540</v>
      </c>
      <c r="J8" s="9" t="s">
        <v>541</v>
      </c>
      <c r="K8" s="9" t="s">
        <v>375</v>
      </c>
      <c r="L8" s="9" t="s">
        <v>376</v>
      </c>
      <c r="M8" s="9" t="s">
        <v>377</v>
      </c>
    </row>
    <row r="9" spans="1:25" x14ac:dyDescent="0.25">
      <c r="C9" s="9" t="s">
        <v>230</v>
      </c>
      <c r="D9" s="9" t="s">
        <v>231</v>
      </c>
      <c r="E9" s="9" t="s">
        <v>179</v>
      </c>
      <c r="G9" s="6"/>
      <c r="H9" s="6"/>
      <c r="I9" s="6"/>
      <c r="J9" s="6"/>
      <c r="K9" s="6"/>
      <c r="L9" s="83">
        <v>201.2</v>
      </c>
      <c r="M9" s="6">
        <v>162.21000000000004</v>
      </c>
    </row>
    <row r="10" spans="1:25" x14ac:dyDescent="0.25">
      <c r="C10" s="9" t="s">
        <v>156</v>
      </c>
      <c r="D10" s="9" t="s">
        <v>157</v>
      </c>
      <c r="E10" s="9" t="s">
        <v>179</v>
      </c>
      <c r="G10" s="6">
        <v>193.8</v>
      </c>
      <c r="H10" s="6">
        <v>191.3</v>
      </c>
      <c r="I10" s="6">
        <v>189.1</v>
      </c>
      <c r="J10" s="6">
        <v>186.5</v>
      </c>
      <c r="K10" s="6">
        <v>183.3</v>
      </c>
      <c r="L10" s="83">
        <v>191.6</v>
      </c>
      <c r="M10" s="6">
        <v>177</v>
      </c>
    </row>
    <row r="11" spans="1:25" x14ac:dyDescent="0.25">
      <c r="C11" s="9" t="s">
        <v>234</v>
      </c>
      <c r="D11" s="9" t="s">
        <v>235</v>
      </c>
      <c r="E11" s="9" t="s">
        <v>179</v>
      </c>
      <c r="G11" s="6"/>
      <c r="H11" s="6"/>
      <c r="I11" s="6"/>
      <c r="J11" s="6"/>
      <c r="K11" s="6"/>
      <c r="L11" s="83">
        <v>45.25</v>
      </c>
      <c r="M11" s="6">
        <v>38.340000000000003</v>
      </c>
    </row>
    <row r="12" spans="1:25" x14ac:dyDescent="0.25">
      <c r="C12" s="9" t="s">
        <v>236</v>
      </c>
      <c r="D12" s="9" t="s">
        <v>237</v>
      </c>
      <c r="E12" s="9" t="s">
        <v>179</v>
      </c>
      <c r="G12" s="6"/>
      <c r="H12" s="6"/>
      <c r="I12" s="6"/>
      <c r="J12" s="6"/>
      <c r="K12" s="6"/>
      <c r="L12" s="83">
        <v>15.762859473218432</v>
      </c>
      <c r="M12" s="6">
        <v>14.67</v>
      </c>
    </row>
    <row r="13" spans="1:25" s="21" customFormat="1" x14ac:dyDescent="0.25">
      <c r="C13" s="21" t="s">
        <v>160</v>
      </c>
      <c r="D13" s="21" t="s">
        <v>161</v>
      </c>
      <c r="E13" s="9" t="s">
        <v>179</v>
      </c>
      <c r="F13" s="9"/>
      <c r="G13" s="6" t="s">
        <v>516</v>
      </c>
      <c r="H13" s="6" t="s">
        <v>516</v>
      </c>
      <c r="I13" s="6" t="s">
        <v>516</v>
      </c>
      <c r="J13" s="6">
        <v>137.6</v>
      </c>
      <c r="K13" s="6">
        <v>138.6</v>
      </c>
      <c r="L13" s="83">
        <v>131</v>
      </c>
      <c r="M13" s="6">
        <v>135.41999999999999</v>
      </c>
    </row>
    <row r="14" spans="1:25" s="21" customFormat="1" x14ac:dyDescent="0.25">
      <c r="C14" s="21" t="s">
        <v>162</v>
      </c>
      <c r="D14" s="21" t="s">
        <v>163</v>
      </c>
      <c r="E14" s="9" t="s">
        <v>179</v>
      </c>
      <c r="F14" s="9"/>
      <c r="G14" s="6" t="s">
        <v>516</v>
      </c>
      <c r="H14" s="6" t="s">
        <v>516</v>
      </c>
      <c r="I14" s="6" t="s">
        <v>516</v>
      </c>
      <c r="J14" s="6">
        <v>68.099999999999994</v>
      </c>
      <c r="K14" s="6">
        <v>66.2</v>
      </c>
      <c r="L14" s="83">
        <v>63.1</v>
      </c>
      <c r="M14" s="6">
        <v>62.59</v>
      </c>
    </row>
    <row r="15" spans="1:25" x14ac:dyDescent="0.25">
      <c r="C15" s="9" t="s">
        <v>238</v>
      </c>
      <c r="D15" s="9" t="s">
        <v>239</v>
      </c>
      <c r="E15" s="9" t="s">
        <v>179</v>
      </c>
      <c r="G15" s="6"/>
      <c r="H15" s="6"/>
      <c r="I15" s="6">
        <v>33.94</v>
      </c>
      <c r="J15" s="6">
        <v>34.229999999999997</v>
      </c>
      <c r="K15" s="6">
        <v>35.270000000000003</v>
      </c>
      <c r="L15" s="83">
        <v>28.48</v>
      </c>
      <c r="M15" s="6">
        <v>31.6</v>
      </c>
    </row>
    <row r="16" spans="1:25" s="21" customFormat="1" x14ac:dyDescent="0.25">
      <c r="C16" s="21" t="s">
        <v>164</v>
      </c>
      <c r="D16" s="21" t="s">
        <v>165</v>
      </c>
      <c r="E16" s="9" t="s">
        <v>179</v>
      </c>
      <c r="F16" s="9"/>
      <c r="G16" s="6">
        <v>23.7</v>
      </c>
      <c r="H16" s="6">
        <v>23.9</v>
      </c>
      <c r="I16" s="6">
        <v>24.1</v>
      </c>
      <c r="J16" s="6">
        <v>24.2</v>
      </c>
      <c r="K16" s="6">
        <v>24.2</v>
      </c>
      <c r="L16" s="83">
        <v>27.5</v>
      </c>
      <c r="M16" s="6">
        <v>24</v>
      </c>
    </row>
    <row r="17" spans="1:25" s="21" customFormat="1" x14ac:dyDescent="0.25">
      <c r="C17" s="21" t="s">
        <v>240</v>
      </c>
      <c r="D17" s="21" t="s">
        <v>241</v>
      </c>
      <c r="E17" s="9" t="s">
        <v>179</v>
      </c>
      <c r="F17" s="9"/>
      <c r="G17" s="6"/>
      <c r="H17" s="6"/>
      <c r="I17" s="6"/>
      <c r="J17" s="6">
        <v>89.7</v>
      </c>
      <c r="K17" s="6">
        <v>88.1</v>
      </c>
      <c r="L17" s="83">
        <v>86.9</v>
      </c>
      <c r="M17" s="6">
        <v>86.6</v>
      </c>
    </row>
    <row r="18" spans="1:25" s="21" customFormat="1" x14ac:dyDescent="0.25">
      <c r="C18" s="21" t="s">
        <v>242</v>
      </c>
      <c r="D18" s="21" t="s">
        <v>205</v>
      </c>
      <c r="E18" s="9" t="s">
        <v>179</v>
      </c>
      <c r="F18" s="9"/>
      <c r="G18" s="6" t="s">
        <v>542</v>
      </c>
      <c r="H18" s="6" t="s">
        <v>542</v>
      </c>
      <c r="I18" s="6" t="s">
        <v>542</v>
      </c>
      <c r="J18" s="6">
        <v>111.1</v>
      </c>
      <c r="K18" s="6">
        <v>102.6</v>
      </c>
      <c r="L18" s="83">
        <v>102.9</v>
      </c>
      <c r="M18" s="6">
        <v>102</v>
      </c>
    </row>
    <row r="19" spans="1:25" s="21" customFormat="1" x14ac:dyDescent="0.25">
      <c r="C19" s="21" t="s">
        <v>243</v>
      </c>
      <c r="D19" s="21" t="s">
        <v>244</v>
      </c>
      <c r="E19" s="9" t="s">
        <v>179</v>
      </c>
      <c r="F19" s="9"/>
      <c r="G19" s="6">
        <v>66.8</v>
      </c>
      <c r="H19" s="6">
        <v>67.099999999999994</v>
      </c>
      <c r="I19" s="6">
        <v>68.7</v>
      </c>
      <c r="J19" s="6">
        <v>69.599999999999994</v>
      </c>
      <c r="K19" s="6">
        <v>70.7</v>
      </c>
      <c r="L19" s="83">
        <v>70.959999999999994</v>
      </c>
      <c r="M19" s="6">
        <v>71</v>
      </c>
    </row>
    <row r="20" spans="1:25" s="21" customFormat="1" x14ac:dyDescent="0.25">
      <c r="C20" s="21" t="s">
        <v>245</v>
      </c>
      <c r="D20" s="21" t="s">
        <v>246</v>
      </c>
      <c r="E20" s="9" t="s">
        <v>179</v>
      </c>
      <c r="F20" s="9"/>
      <c r="G20" s="6">
        <v>12.5</v>
      </c>
      <c r="H20" s="6">
        <v>12.9</v>
      </c>
      <c r="I20" s="6">
        <v>13.1</v>
      </c>
      <c r="J20" s="6">
        <v>13.7</v>
      </c>
      <c r="K20" s="6">
        <v>14</v>
      </c>
      <c r="L20" s="83">
        <v>15.02</v>
      </c>
      <c r="M20" s="6">
        <v>15.340909090909093</v>
      </c>
    </row>
    <row r="21" spans="1:25" s="21" customFormat="1" x14ac:dyDescent="0.25">
      <c r="C21" s="21" t="s">
        <v>247</v>
      </c>
      <c r="D21" s="21" t="s">
        <v>198</v>
      </c>
      <c r="E21" s="9" t="s">
        <v>179</v>
      </c>
      <c r="F21" s="9"/>
      <c r="G21" s="6">
        <v>403.17</v>
      </c>
      <c r="H21" s="6">
        <v>397.9</v>
      </c>
      <c r="I21" s="6">
        <v>396.18</v>
      </c>
      <c r="J21" s="6">
        <v>402.16</v>
      </c>
      <c r="K21" s="6">
        <v>401.14</v>
      </c>
      <c r="L21" s="83">
        <v>416.63747469497969</v>
      </c>
      <c r="M21" s="6">
        <v>410.80000000000007</v>
      </c>
    </row>
    <row r="22" spans="1:25" s="21" customFormat="1" x14ac:dyDescent="0.25">
      <c r="C22" s="21" t="s">
        <v>166</v>
      </c>
      <c r="D22" s="21" t="s">
        <v>167</v>
      </c>
      <c r="E22" s="9" t="s">
        <v>179</v>
      </c>
      <c r="F22" s="9"/>
      <c r="G22" s="6"/>
      <c r="H22" s="6"/>
      <c r="I22" s="6"/>
      <c r="J22" s="6"/>
      <c r="K22" s="6"/>
      <c r="L22" s="83">
        <v>118.80924747859402</v>
      </c>
      <c r="M22" s="6">
        <v>116.2</v>
      </c>
    </row>
    <row r="23" spans="1:25" s="21" customFormat="1" x14ac:dyDescent="0.25">
      <c r="C23" s="21" t="s">
        <v>248</v>
      </c>
      <c r="D23" s="21" t="s">
        <v>249</v>
      </c>
      <c r="E23" s="9" t="s">
        <v>179</v>
      </c>
      <c r="F23" s="9"/>
      <c r="G23" s="6"/>
      <c r="H23" s="6"/>
      <c r="I23" s="6"/>
      <c r="J23" s="6"/>
      <c r="K23" s="6"/>
      <c r="L23" s="83">
        <v>718.8</v>
      </c>
      <c r="M23" s="6">
        <v>674.6</v>
      </c>
    </row>
    <row r="24" spans="1:25" s="21" customFormat="1" x14ac:dyDescent="0.25">
      <c r="C24" s="21" t="s">
        <v>250</v>
      </c>
      <c r="D24" s="21" t="s">
        <v>190</v>
      </c>
      <c r="E24" s="9" t="s">
        <v>179</v>
      </c>
      <c r="F24" s="9"/>
      <c r="G24" s="6">
        <v>454.11</v>
      </c>
      <c r="H24" s="6">
        <v>454.3</v>
      </c>
      <c r="I24" s="6">
        <v>452.47</v>
      </c>
      <c r="J24" s="6">
        <v>448.23</v>
      </c>
      <c r="K24" s="6">
        <v>448.2</v>
      </c>
      <c r="L24" s="83">
        <v>452</v>
      </c>
      <c r="M24" s="6">
        <v>448.2</v>
      </c>
    </row>
    <row r="25" spans="1:25" s="21" customFormat="1" x14ac:dyDescent="0.25">
      <c r="C25" s="21" t="s">
        <v>251</v>
      </c>
      <c r="D25" s="21" t="s">
        <v>252</v>
      </c>
      <c r="E25" s="9" t="s">
        <v>179</v>
      </c>
      <c r="F25" s="9"/>
      <c r="G25" s="6">
        <v>184.6</v>
      </c>
      <c r="H25" s="6">
        <v>182.7</v>
      </c>
      <c r="I25" s="6">
        <v>181.1</v>
      </c>
      <c r="J25" s="6">
        <v>178.3</v>
      </c>
      <c r="K25" s="6">
        <v>176.1</v>
      </c>
      <c r="L25" s="83">
        <v>191.9</v>
      </c>
      <c r="M25" s="6">
        <v>169</v>
      </c>
    </row>
    <row r="26" spans="1:25" x14ac:dyDescent="0.25">
      <c r="C26" s="9" t="s">
        <v>168</v>
      </c>
      <c r="D26" s="9" t="s">
        <v>169</v>
      </c>
      <c r="E26" s="9" t="s">
        <v>179</v>
      </c>
      <c r="G26" s="6">
        <v>81.099999999999994</v>
      </c>
      <c r="H26" s="6">
        <v>80.97</v>
      </c>
      <c r="I26" s="6">
        <v>80.900000000000006</v>
      </c>
      <c r="J26" s="6">
        <v>80.5</v>
      </c>
      <c r="K26" s="6">
        <v>80.150000000000006</v>
      </c>
      <c r="L26" s="83">
        <v>79.680000000000007</v>
      </c>
      <c r="M26" s="6">
        <v>78.98</v>
      </c>
    </row>
    <row r="27" spans="1:25" x14ac:dyDescent="0.25">
      <c r="C27" s="9" t="s">
        <v>170</v>
      </c>
      <c r="D27" s="9" t="s">
        <v>171</v>
      </c>
      <c r="E27" s="9" t="s">
        <v>179</v>
      </c>
      <c r="G27" s="6"/>
      <c r="H27" s="6"/>
      <c r="I27" s="6"/>
      <c r="J27" s="6"/>
      <c r="K27" s="6">
        <v>295.60000000000002</v>
      </c>
      <c r="L27" s="83">
        <v>306.7</v>
      </c>
      <c r="M27" s="6">
        <v>269</v>
      </c>
    </row>
    <row r="29" spans="1:25" ht="13.8" x14ac:dyDescent="0.3">
      <c r="A29" s="8" t="s">
        <v>518</v>
      </c>
      <c r="B29" s="8"/>
      <c r="C29" s="8"/>
      <c r="D29" s="8"/>
      <c r="E29" s="8"/>
      <c r="F29" s="8"/>
      <c r="G29" s="8"/>
      <c r="H29" s="8"/>
      <c r="I29" s="8"/>
      <c r="J29" s="8"/>
      <c r="K29" s="8"/>
      <c r="L29" s="8"/>
      <c r="M29" s="8"/>
      <c r="N29" s="8"/>
      <c r="O29" s="8"/>
      <c r="P29" s="8"/>
      <c r="Q29" s="8"/>
      <c r="R29" s="8"/>
      <c r="S29" s="8"/>
      <c r="T29" s="8"/>
      <c r="U29" s="8"/>
      <c r="V29" s="8"/>
      <c r="W29" s="8"/>
      <c r="X29" s="8"/>
      <c r="Y29" s="8"/>
    </row>
    <row r="31" spans="1:25" x14ac:dyDescent="0.25">
      <c r="L31" s="9" t="s">
        <v>537</v>
      </c>
      <c r="M31" s="9" t="s">
        <v>373</v>
      </c>
    </row>
    <row r="32" spans="1:25" x14ac:dyDescent="0.25">
      <c r="C32" s="9" t="s">
        <v>149</v>
      </c>
      <c r="D32" s="9" t="s">
        <v>150</v>
      </c>
      <c r="E32" s="9" t="s">
        <v>151</v>
      </c>
      <c r="G32" s="9" t="s">
        <v>538</v>
      </c>
      <c r="H32" s="9" t="s">
        <v>539</v>
      </c>
      <c r="I32" s="9" t="s">
        <v>540</v>
      </c>
      <c r="J32" s="9" t="s">
        <v>541</v>
      </c>
      <c r="K32" s="9" t="s">
        <v>375</v>
      </c>
      <c r="L32" s="9" t="s">
        <v>376</v>
      </c>
      <c r="M32" s="9" t="s">
        <v>377</v>
      </c>
      <c r="P32" s="18"/>
      <c r="Q32" s="18"/>
      <c r="R32" s="18"/>
      <c r="S32" s="18"/>
      <c r="T32" s="18"/>
      <c r="U32" s="18"/>
      <c r="V32" s="18"/>
      <c r="W32" s="18"/>
      <c r="X32" s="18"/>
      <c r="Y32" s="18"/>
    </row>
    <row r="33" spans="1:25" s="21" customFormat="1" x14ac:dyDescent="0.25">
      <c r="C33" s="21" t="s">
        <v>253</v>
      </c>
      <c r="D33" s="21" t="s">
        <v>157</v>
      </c>
      <c r="E33" s="21" t="s">
        <v>194</v>
      </c>
      <c r="G33" s="83">
        <v>89</v>
      </c>
      <c r="H33" s="83">
        <v>90</v>
      </c>
      <c r="I33" s="83">
        <v>35</v>
      </c>
      <c r="J33" s="83">
        <v>32</v>
      </c>
      <c r="K33" s="83">
        <v>30</v>
      </c>
      <c r="L33" s="83">
        <v>25</v>
      </c>
      <c r="M33" s="83">
        <v>29</v>
      </c>
      <c r="P33" s="75"/>
      <c r="Q33" s="75"/>
      <c r="R33" s="75"/>
      <c r="S33" s="75"/>
      <c r="T33" s="75"/>
      <c r="U33" s="75"/>
      <c r="V33" s="75"/>
      <c r="W33" s="75"/>
      <c r="X33" s="75"/>
      <c r="Y33" s="75"/>
    </row>
    <row r="34" spans="1:25" s="21" customFormat="1" x14ac:dyDescent="0.25">
      <c r="C34" s="21" t="s">
        <v>257</v>
      </c>
      <c r="D34" s="21" t="s">
        <v>237</v>
      </c>
      <c r="E34" s="21" t="s">
        <v>194</v>
      </c>
      <c r="G34" s="83">
        <v>162</v>
      </c>
      <c r="H34" s="83">
        <v>323</v>
      </c>
      <c r="I34" s="83">
        <v>181</v>
      </c>
      <c r="J34" s="83">
        <v>180</v>
      </c>
      <c r="K34" s="83">
        <v>140</v>
      </c>
      <c r="L34" s="83">
        <v>117</v>
      </c>
      <c r="M34" s="83">
        <v>158</v>
      </c>
      <c r="P34" s="75"/>
      <c r="Q34" s="75"/>
      <c r="R34" s="75"/>
      <c r="S34" s="75"/>
      <c r="T34" s="75"/>
      <c r="U34" s="75"/>
      <c r="V34" s="75"/>
      <c r="W34" s="75"/>
      <c r="X34" s="75"/>
      <c r="Y34" s="75"/>
    </row>
    <row r="35" spans="1:25" s="21" customFormat="1" x14ac:dyDescent="0.25">
      <c r="C35" s="21" t="s">
        <v>185</v>
      </c>
      <c r="D35" s="21" t="s">
        <v>186</v>
      </c>
      <c r="E35" s="21" t="s">
        <v>194</v>
      </c>
      <c r="G35" s="83" t="s">
        <v>516</v>
      </c>
      <c r="H35" s="83">
        <v>29.35</v>
      </c>
      <c r="I35" s="83">
        <v>52.36</v>
      </c>
      <c r="J35" s="83">
        <v>36.35</v>
      </c>
      <c r="K35" s="83">
        <v>16.68</v>
      </c>
      <c r="L35" s="83">
        <v>12</v>
      </c>
      <c r="M35" s="83">
        <v>25.01</v>
      </c>
      <c r="P35" s="75"/>
      <c r="Q35" s="75"/>
      <c r="R35" s="75"/>
      <c r="S35" s="75"/>
      <c r="T35" s="75"/>
      <c r="U35" s="75"/>
      <c r="V35" s="75"/>
      <c r="W35" s="75"/>
      <c r="X35" s="75"/>
      <c r="Y35" s="75"/>
    </row>
    <row r="36" spans="1:25" s="21" customFormat="1" x14ac:dyDescent="0.25">
      <c r="C36" s="21" t="s">
        <v>258</v>
      </c>
      <c r="D36" s="21" t="s">
        <v>205</v>
      </c>
      <c r="E36" s="21" t="s">
        <v>194</v>
      </c>
      <c r="G36" s="83">
        <v>81</v>
      </c>
      <c r="H36" s="83">
        <v>73.900000000000006</v>
      </c>
      <c r="I36" s="83">
        <v>41</v>
      </c>
      <c r="J36" s="83">
        <v>35</v>
      </c>
      <c r="K36" s="83">
        <v>31.1</v>
      </c>
      <c r="L36" s="83">
        <v>39</v>
      </c>
      <c r="M36" s="83">
        <v>29.2</v>
      </c>
      <c r="P36" s="75"/>
      <c r="Q36" s="75"/>
      <c r="R36" s="75"/>
      <c r="S36" s="75"/>
      <c r="T36" s="75"/>
      <c r="U36" s="75"/>
      <c r="V36" s="75"/>
      <c r="W36" s="75"/>
      <c r="X36" s="75"/>
      <c r="Y36" s="75"/>
    </row>
    <row r="37" spans="1:25" x14ac:dyDescent="0.25">
      <c r="C37" s="9" t="s">
        <v>259</v>
      </c>
      <c r="D37" s="9" t="s">
        <v>198</v>
      </c>
      <c r="E37" s="21" t="s">
        <v>194</v>
      </c>
      <c r="F37" s="21"/>
      <c r="G37" s="83">
        <v>48.14</v>
      </c>
      <c r="H37" s="83">
        <v>37.67</v>
      </c>
      <c r="I37" s="83">
        <v>27.16</v>
      </c>
      <c r="J37" s="83">
        <v>28.84</v>
      </c>
      <c r="K37" s="83">
        <v>29.29</v>
      </c>
      <c r="L37" s="83">
        <v>31</v>
      </c>
      <c r="M37" s="83">
        <v>27.41</v>
      </c>
      <c r="P37" s="75"/>
      <c r="Q37" s="75"/>
      <c r="R37" s="75"/>
      <c r="S37" s="75"/>
      <c r="T37" s="75"/>
      <c r="U37" s="75"/>
      <c r="V37" s="75"/>
      <c r="W37" s="75"/>
      <c r="X37" s="75"/>
      <c r="Y37" s="75"/>
    </row>
    <row r="38" spans="1:25" x14ac:dyDescent="0.25">
      <c r="C38" s="9" t="s">
        <v>260</v>
      </c>
      <c r="D38" s="9" t="s">
        <v>167</v>
      </c>
      <c r="E38" s="21" t="s">
        <v>194</v>
      </c>
      <c r="F38" s="21"/>
      <c r="G38" s="83"/>
      <c r="H38" s="83"/>
      <c r="I38" s="83">
        <v>171</v>
      </c>
      <c r="J38" s="83">
        <v>115</v>
      </c>
      <c r="K38" s="83">
        <v>109</v>
      </c>
      <c r="L38" s="83">
        <v>98</v>
      </c>
      <c r="M38" s="83">
        <v>46</v>
      </c>
      <c r="P38" s="75"/>
      <c r="Q38" s="75"/>
      <c r="R38" s="75"/>
      <c r="S38" s="75"/>
      <c r="T38" s="75"/>
      <c r="U38" s="75"/>
      <c r="V38" s="75"/>
      <c r="W38" s="75"/>
      <c r="X38" s="75"/>
      <c r="Y38" s="75"/>
    </row>
    <row r="39" spans="1:25" x14ac:dyDescent="0.25">
      <c r="C39" s="9" t="s">
        <v>261</v>
      </c>
      <c r="D39" s="9" t="s">
        <v>249</v>
      </c>
      <c r="E39" s="21" t="s">
        <v>194</v>
      </c>
      <c r="F39" s="21"/>
      <c r="G39" s="83"/>
      <c r="H39" s="83"/>
      <c r="I39" s="83"/>
      <c r="J39" s="83">
        <v>33</v>
      </c>
      <c r="K39" s="83">
        <v>28</v>
      </c>
      <c r="L39" s="83">
        <v>27</v>
      </c>
      <c r="M39" s="83">
        <v>28</v>
      </c>
      <c r="P39" s="75"/>
      <c r="Q39" s="75"/>
      <c r="R39" s="75"/>
      <c r="S39" s="75"/>
      <c r="T39" s="75"/>
      <c r="U39" s="75"/>
      <c r="V39" s="75"/>
      <c r="W39" s="75"/>
      <c r="X39" s="75"/>
      <c r="Y39" s="75"/>
    </row>
    <row r="40" spans="1:25" x14ac:dyDescent="0.25">
      <c r="C40" s="9" t="s">
        <v>189</v>
      </c>
      <c r="D40" s="9" t="s">
        <v>190</v>
      </c>
      <c r="E40" s="21" t="s">
        <v>194</v>
      </c>
      <c r="F40" s="21"/>
      <c r="G40" s="83">
        <v>31.317</v>
      </c>
      <c r="H40" s="83">
        <v>32.087000000000003</v>
      </c>
      <c r="I40" s="83">
        <v>26.568000000000001</v>
      </c>
      <c r="J40" s="83">
        <v>25.413</v>
      </c>
      <c r="K40" s="83">
        <v>24.771000000000001</v>
      </c>
      <c r="L40" s="83">
        <v>24</v>
      </c>
      <c r="M40" s="83">
        <v>24.385999999999999</v>
      </c>
      <c r="P40" s="75"/>
      <c r="Q40" s="75"/>
      <c r="R40" s="75"/>
      <c r="S40" s="75"/>
      <c r="T40" s="75"/>
      <c r="U40" s="75"/>
      <c r="V40" s="75"/>
      <c r="W40" s="75"/>
      <c r="X40" s="75"/>
      <c r="Y40" s="75"/>
    </row>
    <row r="41" spans="1:25" x14ac:dyDescent="0.25">
      <c r="C41" s="9" t="s">
        <v>262</v>
      </c>
      <c r="D41" s="9" t="s">
        <v>252</v>
      </c>
      <c r="E41" s="21" t="s">
        <v>194</v>
      </c>
      <c r="F41" s="21"/>
      <c r="G41" s="83">
        <v>34</v>
      </c>
      <c r="H41" s="83">
        <v>30</v>
      </c>
      <c r="I41" s="83">
        <v>31</v>
      </c>
      <c r="J41" s="83">
        <v>30</v>
      </c>
      <c r="K41" s="83">
        <v>28</v>
      </c>
      <c r="L41" s="83">
        <v>28</v>
      </c>
      <c r="M41" s="83">
        <v>29</v>
      </c>
    </row>
    <row r="42" spans="1:25" x14ac:dyDescent="0.25">
      <c r="C42" s="9" t="s">
        <v>191</v>
      </c>
      <c r="D42" s="9" t="s">
        <v>169</v>
      </c>
      <c r="E42" s="21" t="s">
        <v>194</v>
      </c>
      <c r="F42" s="21"/>
      <c r="G42" s="83">
        <v>25</v>
      </c>
      <c r="H42" s="83">
        <v>23</v>
      </c>
      <c r="I42" s="83">
        <v>25</v>
      </c>
      <c r="J42" s="83">
        <v>22</v>
      </c>
      <c r="K42" s="83">
        <v>23</v>
      </c>
      <c r="L42" s="83">
        <v>24</v>
      </c>
      <c r="M42" s="83">
        <v>22</v>
      </c>
    </row>
    <row r="43" spans="1:25" x14ac:dyDescent="0.25">
      <c r="C43" s="9" t="s">
        <v>192</v>
      </c>
      <c r="D43" s="9" t="s">
        <v>171</v>
      </c>
      <c r="E43" s="21" t="s">
        <v>194</v>
      </c>
      <c r="F43" s="21"/>
      <c r="G43" s="83"/>
      <c r="H43" s="83"/>
      <c r="I43" s="83">
        <v>42</v>
      </c>
      <c r="J43" s="83">
        <v>46</v>
      </c>
      <c r="K43" s="83">
        <v>43</v>
      </c>
      <c r="L43" s="83">
        <v>44.192525698914395</v>
      </c>
      <c r="M43" s="83">
        <v>33</v>
      </c>
    </row>
    <row r="44" spans="1:25" x14ac:dyDescent="0.25">
      <c r="G44" s="43"/>
      <c r="H44" s="43"/>
      <c r="I44" s="43"/>
      <c r="J44" s="43"/>
      <c r="K44" s="43"/>
      <c r="L44" s="43"/>
      <c r="M44" s="43"/>
      <c r="N44" s="43"/>
    </row>
    <row r="45" spans="1:25" ht="13.8" x14ac:dyDescent="0.3">
      <c r="A45" s="8" t="s">
        <v>196</v>
      </c>
      <c r="B45" s="8"/>
      <c r="C45" s="8"/>
      <c r="D45" s="8"/>
      <c r="E45" s="8"/>
      <c r="F45" s="8"/>
      <c r="G45" s="8"/>
      <c r="H45" s="8"/>
      <c r="I45" s="8"/>
      <c r="J45" s="8"/>
      <c r="K45" s="8"/>
      <c r="L45" s="8"/>
      <c r="M45" s="8"/>
      <c r="N45" s="8"/>
      <c r="O45" s="8"/>
      <c r="P45" s="8"/>
      <c r="Q45" s="8"/>
      <c r="R45" s="8"/>
      <c r="S45" s="8"/>
      <c r="T45" s="8"/>
      <c r="U45" s="8"/>
      <c r="V45" s="8"/>
      <c r="W45" s="8"/>
      <c r="X45" s="8"/>
      <c r="Y45" s="8"/>
    </row>
    <row r="47" spans="1:25" x14ac:dyDescent="0.25">
      <c r="L47" s="9" t="s">
        <v>537</v>
      </c>
      <c r="M47" s="9" t="s">
        <v>373</v>
      </c>
    </row>
    <row r="48" spans="1:25" x14ac:dyDescent="0.25">
      <c r="C48" s="9" t="s">
        <v>149</v>
      </c>
      <c r="D48" s="9" t="s">
        <v>150</v>
      </c>
      <c r="E48" s="9" t="s">
        <v>151</v>
      </c>
      <c r="G48" s="9" t="s">
        <v>538</v>
      </c>
      <c r="H48" s="9" t="s">
        <v>539</v>
      </c>
      <c r="I48" s="9" t="s">
        <v>540</v>
      </c>
      <c r="J48" s="9" t="s">
        <v>541</v>
      </c>
      <c r="K48" s="9" t="s">
        <v>375</v>
      </c>
      <c r="L48" s="9" t="s">
        <v>376</v>
      </c>
      <c r="M48" s="9" t="s">
        <v>377</v>
      </c>
      <c r="O48" s="18"/>
    </row>
    <row r="49" spans="1:25" x14ac:dyDescent="0.25">
      <c r="C49" s="9" t="s">
        <v>263</v>
      </c>
      <c r="D49" s="9" t="s">
        <v>157</v>
      </c>
      <c r="E49" s="9" t="s">
        <v>202</v>
      </c>
      <c r="G49" s="6"/>
      <c r="H49" s="6"/>
      <c r="I49" s="6"/>
      <c r="J49" s="6">
        <v>1.78</v>
      </c>
      <c r="K49" s="6">
        <v>1.33</v>
      </c>
      <c r="L49" s="83">
        <v>0.94330312828342044</v>
      </c>
      <c r="M49" s="6">
        <v>1.7</v>
      </c>
    </row>
    <row r="50" spans="1:25" x14ac:dyDescent="0.25">
      <c r="C50" s="9" t="s">
        <v>265</v>
      </c>
      <c r="D50" s="9" t="s">
        <v>237</v>
      </c>
      <c r="E50" s="9" t="s">
        <v>202</v>
      </c>
      <c r="G50" s="6">
        <v>3.23</v>
      </c>
      <c r="H50" s="6">
        <v>2.36</v>
      </c>
      <c r="I50" s="6">
        <v>1.53</v>
      </c>
      <c r="J50" s="6">
        <v>2.2400000000000002</v>
      </c>
      <c r="K50" s="6">
        <v>2.5499999999999998</v>
      </c>
      <c r="L50" s="83">
        <v>2.1221660241219538</v>
      </c>
      <c r="M50" s="6">
        <v>1.74</v>
      </c>
    </row>
    <row r="51" spans="1:25" x14ac:dyDescent="0.25">
      <c r="C51" s="9" t="s">
        <v>266</v>
      </c>
      <c r="D51" s="9" t="s">
        <v>186</v>
      </c>
      <c r="E51" s="9" t="s">
        <v>202</v>
      </c>
      <c r="G51" s="6"/>
      <c r="H51" s="6"/>
      <c r="I51" s="6"/>
      <c r="J51" s="6">
        <v>3.08</v>
      </c>
      <c r="K51" s="6">
        <v>3.09</v>
      </c>
      <c r="L51" s="83">
        <v>4.0901542787206759</v>
      </c>
      <c r="M51" s="6">
        <v>2.35</v>
      </c>
    </row>
    <row r="52" spans="1:25" x14ac:dyDescent="0.25">
      <c r="C52" s="9" t="s">
        <v>267</v>
      </c>
      <c r="D52" s="9" t="s">
        <v>205</v>
      </c>
      <c r="E52" s="9" t="s">
        <v>202</v>
      </c>
      <c r="G52" s="6"/>
      <c r="H52" s="6"/>
      <c r="I52" s="6"/>
      <c r="J52" s="6">
        <v>2.37</v>
      </c>
      <c r="K52" s="6">
        <v>2.11</v>
      </c>
      <c r="L52" s="83">
        <v>2.2343515592581951</v>
      </c>
      <c r="M52" s="6">
        <v>1.99</v>
      </c>
    </row>
    <row r="53" spans="1:25" s="21" customFormat="1" x14ac:dyDescent="0.25">
      <c r="C53" s="21" t="s">
        <v>197</v>
      </c>
      <c r="D53" s="21" t="s">
        <v>198</v>
      </c>
      <c r="E53" s="9" t="s">
        <v>202</v>
      </c>
      <c r="F53" s="9"/>
      <c r="G53" s="6">
        <v>2.86</v>
      </c>
      <c r="H53" s="6">
        <v>3</v>
      </c>
      <c r="I53" s="6">
        <v>2.04</v>
      </c>
      <c r="J53" s="6">
        <v>2.35</v>
      </c>
      <c r="K53" s="6">
        <v>1.63</v>
      </c>
      <c r="L53" s="83">
        <v>1.913046784107431</v>
      </c>
      <c r="M53" s="6">
        <v>1.7</v>
      </c>
    </row>
    <row r="54" spans="1:25" s="21" customFormat="1" x14ac:dyDescent="0.25">
      <c r="C54" s="21" t="s">
        <v>200</v>
      </c>
      <c r="D54" s="21" t="s">
        <v>167</v>
      </c>
      <c r="E54" s="9" t="s">
        <v>202</v>
      </c>
      <c r="F54" s="9"/>
      <c r="G54" s="6"/>
      <c r="H54" s="6"/>
      <c r="I54" s="6"/>
      <c r="J54" s="6">
        <v>2.29</v>
      </c>
      <c r="K54" s="6">
        <v>1.89</v>
      </c>
      <c r="L54" s="83">
        <v>1.2460741963491366</v>
      </c>
      <c r="M54" s="6">
        <v>1.77</v>
      </c>
    </row>
    <row r="55" spans="1:25" s="21" customFormat="1" x14ac:dyDescent="0.25">
      <c r="C55" s="21" t="s">
        <v>268</v>
      </c>
      <c r="D55" s="21" t="s">
        <v>249</v>
      </c>
      <c r="E55" s="9" t="s">
        <v>202</v>
      </c>
      <c r="F55" s="9"/>
      <c r="G55" s="6"/>
      <c r="H55" s="6"/>
      <c r="I55" s="6"/>
      <c r="J55" s="6">
        <v>2.93</v>
      </c>
      <c r="K55" s="6">
        <v>2</v>
      </c>
      <c r="L55" s="83">
        <v>2.1221571187580701</v>
      </c>
      <c r="M55" s="6">
        <v>2.08</v>
      </c>
      <c r="P55" s="29"/>
      <c r="Q55" s="29"/>
      <c r="R55" s="29"/>
      <c r="S55" s="29"/>
      <c r="T55" s="29"/>
      <c r="U55" s="29"/>
      <c r="V55" s="29"/>
      <c r="W55" s="29"/>
      <c r="X55" s="29"/>
      <c r="Y55" s="29"/>
    </row>
    <row r="56" spans="1:25" s="21" customFormat="1" x14ac:dyDescent="0.25">
      <c r="C56" s="21" t="s">
        <v>269</v>
      </c>
      <c r="D56" s="21" t="s">
        <v>190</v>
      </c>
      <c r="E56" s="9" t="s">
        <v>202</v>
      </c>
      <c r="F56" s="9"/>
      <c r="G56" s="6">
        <v>4.8390000000000004</v>
      </c>
      <c r="H56" s="6">
        <v>3.903</v>
      </c>
      <c r="I56" s="6">
        <v>5.1369999999999996</v>
      </c>
      <c r="J56" s="6">
        <v>8.4749999999999996</v>
      </c>
      <c r="K56" s="6">
        <v>4.0439999999999996</v>
      </c>
      <c r="L56" s="83">
        <v>2.8893148131671924</v>
      </c>
      <c r="M56" s="6">
        <v>4.9400000000000004</v>
      </c>
    </row>
    <row r="57" spans="1:25" s="21" customFormat="1" x14ac:dyDescent="0.25">
      <c r="C57" s="21" t="s">
        <v>270</v>
      </c>
      <c r="D57" s="21" t="s">
        <v>252</v>
      </c>
      <c r="E57" s="9" t="s">
        <v>202</v>
      </c>
      <c r="F57" s="9"/>
      <c r="G57" s="6"/>
      <c r="H57" s="6"/>
      <c r="I57" s="6"/>
      <c r="J57" s="6"/>
      <c r="K57" s="6">
        <v>2</v>
      </c>
      <c r="L57" s="83">
        <v>1.7242461423441056</v>
      </c>
      <c r="M57" s="6">
        <v>2</v>
      </c>
    </row>
    <row r="58" spans="1:25" s="21" customFormat="1" x14ac:dyDescent="0.25">
      <c r="C58" s="21" t="s">
        <v>201</v>
      </c>
      <c r="D58" s="21" t="s">
        <v>169</v>
      </c>
      <c r="E58" s="9" t="s">
        <v>202</v>
      </c>
      <c r="F58" s="9"/>
      <c r="G58" s="6">
        <v>2.0099999999999998</v>
      </c>
      <c r="H58" s="6">
        <v>1.91</v>
      </c>
      <c r="I58" s="6">
        <v>1.54</v>
      </c>
      <c r="J58" s="6">
        <v>1.32</v>
      </c>
      <c r="K58" s="6">
        <v>1.24</v>
      </c>
      <c r="L58" s="83">
        <v>1.4537313649810653</v>
      </c>
      <c r="M58" s="6">
        <v>1.6</v>
      </c>
      <c r="P58" s="9"/>
      <c r="Q58" s="9"/>
      <c r="R58" s="9"/>
      <c r="S58" s="9"/>
      <c r="T58" s="9"/>
      <c r="U58" s="9"/>
      <c r="V58" s="9"/>
      <c r="W58" s="9"/>
      <c r="X58" s="9"/>
      <c r="Y58" s="9"/>
    </row>
    <row r="59" spans="1:25" s="21" customFormat="1" x14ac:dyDescent="0.25">
      <c r="C59" s="21" t="s">
        <v>271</v>
      </c>
      <c r="D59" s="21" t="s">
        <v>171</v>
      </c>
      <c r="E59" s="9" t="s">
        <v>202</v>
      </c>
      <c r="F59" s="9"/>
      <c r="G59" s="6"/>
      <c r="H59" s="6"/>
      <c r="I59" s="6">
        <v>4.91</v>
      </c>
      <c r="J59" s="6">
        <v>5.28</v>
      </c>
      <c r="K59" s="6">
        <v>7.49</v>
      </c>
      <c r="L59" s="83">
        <v>5.842881670696241</v>
      </c>
      <c r="M59" s="6">
        <v>2.52</v>
      </c>
      <c r="P59" s="9"/>
      <c r="Q59" s="9"/>
      <c r="R59" s="9"/>
      <c r="S59" s="9"/>
      <c r="T59" s="9"/>
      <c r="U59" s="9"/>
      <c r="V59" s="9"/>
      <c r="W59" s="9"/>
      <c r="X59" s="9"/>
      <c r="Y59" s="9"/>
    </row>
    <row r="61" spans="1:25" ht="13.8" x14ac:dyDescent="0.3">
      <c r="A61" s="8" t="s">
        <v>519</v>
      </c>
      <c r="B61" s="8"/>
      <c r="C61" s="8"/>
      <c r="D61" s="8"/>
      <c r="E61" s="8"/>
      <c r="F61" s="8"/>
      <c r="G61" s="8"/>
      <c r="H61" s="8"/>
      <c r="I61" s="8"/>
      <c r="J61" s="8"/>
      <c r="K61" s="8"/>
      <c r="L61" s="8"/>
      <c r="M61" s="8"/>
      <c r="N61" s="8"/>
      <c r="O61" s="8"/>
      <c r="P61" s="8"/>
      <c r="Q61" s="8"/>
      <c r="R61" s="8"/>
      <c r="S61" s="8"/>
      <c r="T61" s="8"/>
      <c r="U61" s="8"/>
      <c r="V61" s="8"/>
      <c r="W61" s="8"/>
      <c r="X61" s="8"/>
      <c r="Y61" s="8"/>
    </row>
    <row r="63" spans="1:25" x14ac:dyDescent="0.25">
      <c r="L63" s="9" t="s">
        <v>537</v>
      </c>
      <c r="M63" s="9" t="s">
        <v>373</v>
      </c>
    </row>
    <row r="64" spans="1:25" x14ac:dyDescent="0.25">
      <c r="C64" s="9" t="s">
        <v>149</v>
      </c>
      <c r="D64" s="9" t="s">
        <v>150</v>
      </c>
      <c r="E64" s="9" t="s">
        <v>151</v>
      </c>
      <c r="G64" s="9" t="s">
        <v>538</v>
      </c>
      <c r="H64" s="9" t="s">
        <v>539</v>
      </c>
      <c r="I64" s="9" t="s">
        <v>540</v>
      </c>
      <c r="J64" s="9" t="s">
        <v>541</v>
      </c>
      <c r="K64" s="9" t="s">
        <v>375</v>
      </c>
      <c r="L64" s="9" t="s">
        <v>376</v>
      </c>
      <c r="M64" s="9" t="s">
        <v>377</v>
      </c>
    </row>
    <row r="65" spans="3:13" x14ac:dyDescent="0.25">
      <c r="C65" s="9" t="s">
        <v>272</v>
      </c>
      <c r="D65" s="9" t="s">
        <v>231</v>
      </c>
      <c r="E65" s="9" t="s">
        <v>210</v>
      </c>
      <c r="G65" s="6"/>
      <c r="H65" s="6"/>
      <c r="I65" s="6"/>
      <c r="J65" s="6"/>
      <c r="K65" s="6"/>
      <c r="L65" s="83">
        <v>161</v>
      </c>
      <c r="M65" s="6">
        <v>151.6</v>
      </c>
    </row>
    <row r="66" spans="3:13" x14ac:dyDescent="0.25">
      <c r="C66" s="9" t="s">
        <v>274</v>
      </c>
      <c r="D66" s="9" t="s">
        <v>157</v>
      </c>
      <c r="E66" s="9" t="s">
        <v>210</v>
      </c>
      <c r="G66" s="6"/>
      <c r="H66" s="6"/>
      <c r="I66" s="6"/>
      <c r="J66" s="6"/>
      <c r="K66" s="6">
        <v>136.69999999999999</v>
      </c>
      <c r="L66" s="83">
        <v>135</v>
      </c>
      <c r="M66" s="6">
        <v>136.19999999999999</v>
      </c>
    </row>
    <row r="67" spans="3:13" x14ac:dyDescent="0.25">
      <c r="C67" s="9" t="s">
        <v>275</v>
      </c>
      <c r="D67" s="9" t="s">
        <v>235</v>
      </c>
      <c r="E67" s="9" t="s">
        <v>210</v>
      </c>
      <c r="G67" s="6"/>
      <c r="H67" s="6"/>
      <c r="I67" s="6"/>
      <c r="J67" s="6"/>
      <c r="K67" s="6"/>
      <c r="L67" s="83">
        <v>148</v>
      </c>
      <c r="M67" s="6">
        <v>142</v>
      </c>
    </row>
    <row r="68" spans="3:13" x14ac:dyDescent="0.25">
      <c r="C68" s="9" t="s">
        <v>276</v>
      </c>
      <c r="D68" s="9" t="s">
        <v>237</v>
      </c>
      <c r="E68" s="9" t="s">
        <v>210</v>
      </c>
      <c r="G68" s="6">
        <v>152.5</v>
      </c>
      <c r="H68" s="6">
        <v>150.30000000000001</v>
      </c>
      <c r="I68" s="6">
        <v>160.4</v>
      </c>
      <c r="J68" s="6">
        <v>154.6</v>
      </c>
      <c r="K68" s="6">
        <v>156.69999999999999</v>
      </c>
      <c r="L68" s="83">
        <v>143.59659884904573</v>
      </c>
      <c r="M68" s="6">
        <v>141.30000000000001</v>
      </c>
    </row>
    <row r="69" spans="3:13" x14ac:dyDescent="0.25">
      <c r="C69" s="9" t="s">
        <v>277</v>
      </c>
      <c r="D69" s="9" t="s">
        <v>186</v>
      </c>
      <c r="E69" s="9" t="s">
        <v>210</v>
      </c>
      <c r="G69" s="6"/>
      <c r="H69" s="6"/>
      <c r="I69" s="6"/>
      <c r="J69" s="6"/>
      <c r="K69" s="6"/>
      <c r="L69" s="83">
        <v>154</v>
      </c>
      <c r="M69" s="6">
        <v>143.6</v>
      </c>
    </row>
    <row r="70" spans="3:13" x14ac:dyDescent="0.25">
      <c r="C70" s="9" t="s">
        <v>278</v>
      </c>
      <c r="D70" s="9" t="s">
        <v>239</v>
      </c>
      <c r="E70" s="9" t="s">
        <v>210</v>
      </c>
      <c r="G70" s="6"/>
      <c r="H70" s="6"/>
      <c r="I70" s="6"/>
      <c r="J70" s="6"/>
      <c r="K70" s="6">
        <v>141.5</v>
      </c>
      <c r="L70" s="83">
        <v>152.19999999999999</v>
      </c>
      <c r="M70" s="6">
        <v>142</v>
      </c>
    </row>
    <row r="71" spans="3:13" x14ac:dyDescent="0.25">
      <c r="C71" s="9" t="s">
        <v>279</v>
      </c>
      <c r="D71" s="9" t="s">
        <v>165</v>
      </c>
      <c r="E71" s="9" t="s">
        <v>210</v>
      </c>
      <c r="G71" s="6"/>
      <c r="H71" s="6"/>
      <c r="I71" s="6"/>
      <c r="J71" s="6"/>
      <c r="K71" s="6"/>
      <c r="L71" s="83">
        <v>155</v>
      </c>
      <c r="M71" s="6">
        <v>145.80000000000001</v>
      </c>
    </row>
    <row r="72" spans="3:13" x14ac:dyDescent="0.25">
      <c r="C72" s="9" t="s">
        <v>280</v>
      </c>
      <c r="D72" s="9" t="s">
        <v>241</v>
      </c>
      <c r="E72" s="9" t="s">
        <v>210</v>
      </c>
      <c r="G72" s="6"/>
      <c r="H72" s="6"/>
      <c r="I72" s="6">
        <v>155</v>
      </c>
      <c r="J72" s="6">
        <v>153.30000000000001</v>
      </c>
      <c r="K72" s="6">
        <v>154</v>
      </c>
      <c r="L72" s="83">
        <v>152</v>
      </c>
      <c r="M72" s="6">
        <v>149.69999999999999</v>
      </c>
    </row>
    <row r="73" spans="3:13" x14ac:dyDescent="0.25">
      <c r="C73" s="9" t="s">
        <v>204</v>
      </c>
      <c r="D73" s="9" t="s">
        <v>205</v>
      </c>
      <c r="E73" s="9" t="s">
        <v>210</v>
      </c>
      <c r="G73" s="6"/>
      <c r="H73" s="6"/>
      <c r="I73" s="6"/>
      <c r="J73" s="6"/>
      <c r="K73" s="6"/>
      <c r="L73" s="83">
        <v>130</v>
      </c>
      <c r="M73" s="6">
        <v>130.42999999999998</v>
      </c>
    </row>
    <row r="74" spans="3:13" x14ac:dyDescent="0.25">
      <c r="C74" s="9" t="s">
        <v>281</v>
      </c>
      <c r="D74" s="21" t="s">
        <v>244</v>
      </c>
      <c r="E74" s="9" t="s">
        <v>210</v>
      </c>
      <c r="G74" s="6"/>
      <c r="H74" s="6"/>
      <c r="I74" s="6"/>
      <c r="J74" s="6"/>
      <c r="K74" s="6">
        <v>128.93</v>
      </c>
      <c r="L74" s="83">
        <v>133.16999999999999</v>
      </c>
      <c r="M74" s="6">
        <v>129.6</v>
      </c>
    </row>
    <row r="75" spans="3:13" x14ac:dyDescent="0.25">
      <c r="C75" s="9" t="s">
        <v>282</v>
      </c>
      <c r="D75" s="21" t="s">
        <v>246</v>
      </c>
      <c r="E75" s="9" t="s">
        <v>210</v>
      </c>
      <c r="G75" s="6"/>
      <c r="H75" s="6"/>
      <c r="I75" s="6"/>
      <c r="J75" s="6"/>
      <c r="K75" s="6"/>
      <c r="L75" s="83">
        <v>139.08000000000001</v>
      </c>
      <c r="M75" s="6">
        <v>143.66</v>
      </c>
    </row>
    <row r="76" spans="3:13" x14ac:dyDescent="0.25">
      <c r="C76" s="9" t="s">
        <v>283</v>
      </c>
      <c r="D76" s="9" t="s">
        <v>198</v>
      </c>
      <c r="E76" s="9" t="s">
        <v>210</v>
      </c>
      <c r="G76" s="6"/>
      <c r="H76" s="6"/>
      <c r="I76" s="6"/>
      <c r="J76" s="6"/>
      <c r="K76" s="6">
        <v>139.11000000000001</v>
      </c>
      <c r="L76" s="83">
        <v>134.51127636436411</v>
      </c>
      <c r="M76" s="6">
        <v>133.27000000000001</v>
      </c>
    </row>
    <row r="77" spans="3:13" x14ac:dyDescent="0.25">
      <c r="C77" s="9" t="s">
        <v>284</v>
      </c>
      <c r="D77" s="9" t="s">
        <v>167</v>
      </c>
      <c r="E77" s="9" t="s">
        <v>210</v>
      </c>
      <c r="G77" s="6">
        <v>133.53</v>
      </c>
      <c r="H77" s="6">
        <v>129.81</v>
      </c>
      <c r="I77" s="6">
        <v>131.86000000000001</v>
      </c>
      <c r="J77" s="6">
        <v>132.34</v>
      </c>
      <c r="K77" s="6">
        <v>134.57</v>
      </c>
      <c r="L77" s="83">
        <v>153.92860393181837</v>
      </c>
      <c r="M77" s="6">
        <v>137.19999999999999</v>
      </c>
    </row>
    <row r="78" spans="3:13" x14ac:dyDescent="0.25">
      <c r="C78" s="9" t="s">
        <v>285</v>
      </c>
      <c r="D78" s="9" t="s">
        <v>249</v>
      </c>
      <c r="E78" s="9" t="s">
        <v>210</v>
      </c>
      <c r="G78" s="6"/>
      <c r="H78" s="6"/>
      <c r="I78" s="6"/>
      <c r="J78" s="6"/>
      <c r="K78" s="6">
        <v>135.19999999999999</v>
      </c>
      <c r="L78" s="83">
        <v>143.6</v>
      </c>
      <c r="M78" s="6">
        <v>142</v>
      </c>
    </row>
    <row r="79" spans="3:13" x14ac:dyDescent="0.25">
      <c r="C79" s="9" t="s">
        <v>286</v>
      </c>
      <c r="D79" s="9" t="s">
        <v>190</v>
      </c>
      <c r="E79" s="9" t="s">
        <v>210</v>
      </c>
      <c r="G79" s="6"/>
      <c r="H79" s="6"/>
      <c r="I79" s="6"/>
      <c r="J79" s="6"/>
      <c r="K79" s="6">
        <v>146</v>
      </c>
      <c r="L79" s="83">
        <v>144</v>
      </c>
      <c r="M79" s="6">
        <v>141.30000000000001</v>
      </c>
    </row>
    <row r="80" spans="3:13" x14ac:dyDescent="0.25">
      <c r="C80" s="9" t="s">
        <v>287</v>
      </c>
      <c r="D80" s="9" t="s">
        <v>252</v>
      </c>
      <c r="E80" s="9" t="s">
        <v>210</v>
      </c>
      <c r="G80" s="6">
        <v>129.44999999999999</v>
      </c>
      <c r="H80" s="6">
        <v>128.94</v>
      </c>
      <c r="I80" s="6">
        <v>129.57</v>
      </c>
      <c r="J80" s="6">
        <v>132.85</v>
      </c>
      <c r="K80" s="6">
        <v>136.84</v>
      </c>
      <c r="L80" s="83">
        <v>151</v>
      </c>
      <c r="M80" s="6">
        <v>145</v>
      </c>
    </row>
    <row r="81" spans="1:25" x14ac:dyDescent="0.25">
      <c r="C81" s="9" t="s">
        <v>207</v>
      </c>
      <c r="D81" s="9" t="s">
        <v>169</v>
      </c>
      <c r="E81" s="9" t="s">
        <v>210</v>
      </c>
      <c r="G81" s="6"/>
      <c r="H81" s="6"/>
      <c r="I81" s="6">
        <v>143</v>
      </c>
      <c r="J81" s="6">
        <v>143</v>
      </c>
      <c r="K81" s="6">
        <v>144</v>
      </c>
      <c r="L81" s="83">
        <v>136</v>
      </c>
      <c r="M81" s="6">
        <v>129</v>
      </c>
    </row>
    <row r="82" spans="1:25" x14ac:dyDescent="0.25">
      <c r="C82" s="9" t="s">
        <v>208</v>
      </c>
      <c r="D82" s="9" t="s">
        <v>171</v>
      </c>
      <c r="E82" s="9" t="s">
        <v>210</v>
      </c>
      <c r="G82" s="6"/>
      <c r="H82" s="6"/>
      <c r="I82" s="6"/>
      <c r="J82" s="6"/>
      <c r="K82" s="6">
        <v>129.19999999999999</v>
      </c>
      <c r="L82" s="83">
        <v>133</v>
      </c>
      <c r="M82" s="6">
        <v>131.19999999999999</v>
      </c>
    </row>
    <row r="84" spans="1:25" ht="13.8" x14ac:dyDescent="0.3">
      <c r="A84" s="8" t="s">
        <v>211</v>
      </c>
      <c r="B84" s="8"/>
      <c r="C84" s="8"/>
      <c r="D84" s="8"/>
      <c r="E84" s="8"/>
      <c r="F84" s="8"/>
      <c r="G84" s="8"/>
      <c r="H84" s="8"/>
      <c r="I84" s="8"/>
      <c r="J84" s="8"/>
      <c r="K84" s="8"/>
      <c r="L84" s="8"/>
      <c r="M84" s="8"/>
      <c r="N84" s="8"/>
      <c r="O84" s="8"/>
      <c r="P84" s="8"/>
      <c r="Q84" s="8"/>
      <c r="R84" s="8"/>
      <c r="S84" s="8"/>
      <c r="T84" s="8"/>
      <c r="U84" s="8"/>
      <c r="V84" s="8"/>
      <c r="W84" s="8"/>
      <c r="X84" s="8"/>
      <c r="Y84" s="8"/>
    </row>
    <row r="86" spans="1:25" x14ac:dyDescent="0.25">
      <c r="L86" s="9" t="s">
        <v>537</v>
      </c>
      <c r="M86" s="9" t="s">
        <v>373</v>
      </c>
    </row>
    <row r="87" spans="1:25" x14ac:dyDescent="0.25">
      <c r="C87" s="9" t="s">
        <v>149</v>
      </c>
      <c r="D87" s="9" t="s">
        <v>150</v>
      </c>
      <c r="E87" s="9" t="s">
        <v>151</v>
      </c>
      <c r="G87" s="9" t="s">
        <v>538</v>
      </c>
      <c r="H87" s="9" t="s">
        <v>539</v>
      </c>
      <c r="I87" s="9" t="s">
        <v>540</v>
      </c>
      <c r="J87" s="9" t="s">
        <v>541</v>
      </c>
      <c r="K87" s="9" t="s">
        <v>375</v>
      </c>
      <c r="L87" s="9" t="s">
        <v>376</v>
      </c>
      <c r="M87" s="9" t="s">
        <v>377</v>
      </c>
    </row>
    <row r="88" spans="1:25" x14ac:dyDescent="0.25">
      <c r="C88" s="9" t="s">
        <v>288</v>
      </c>
      <c r="D88" s="9" t="s">
        <v>231</v>
      </c>
      <c r="E88" s="9" t="s">
        <v>217</v>
      </c>
      <c r="G88" s="100">
        <v>1.5972222222222224E-2</v>
      </c>
      <c r="H88" s="100">
        <v>1.8749999999999999E-2</v>
      </c>
      <c r="I88" s="100">
        <v>1.2499999999999999E-2</v>
      </c>
      <c r="J88" s="100">
        <v>1.4583333333333332E-2</v>
      </c>
      <c r="K88" s="100">
        <v>2.2847222222222224E-2</v>
      </c>
      <c r="L88" s="100">
        <v>8.819444444444444E-3</v>
      </c>
      <c r="M88" s="100">
        <v>4.1666666666666666E-3</v>
      </c>
    </row>
    <row r="89" spans="1:25" x14ac:dyDescent="0.25">
      <c r="C89" s="9" t="s">
        <v>290</v>
      </c>
      <c r="D89" s="9" t="s">
        <v>157</v>
      </c>
      <c r="E89" s="9" t="s">
        <v>217</v>
      </c>
      <c r="G89" s="100">
        <v>1.3946759259259258E-2</v>
      </c>
      <c r="H89" s="100">
        <v>1.3310185185185187E-2</v>
      </c>
      <c r="I89" s="100">
        <v>5.6944444444444438E-3</v>
      </c>
      <c r="J89" s="100">
        <v>8.1365740740740738E-3</v>
      </c>
      <c r="K89" s="100">
        <v>5.138888888888889E-3</v>
      </c>
      <c r="L89" s="100">
        <v>6.0648148148148145E-3</v>
      </c>
      <c r="M89" s="100">
        <v>7.6388888888888886E-3</v>
      </c>
    </row>
    <row r="90" spans="1:25" x14ac:dyDescent="0.25">
      <c r="C90" s="9" t="s">
        <v>291</v>
      </c>
      <c r="D90" s="9" t="s">
        <v>235</v>
      </c>
      <c r="E90" s="9" t="s">
        <v>217</v>
      </c>
      <c r="G90" s="100">
        <v>1.6053240740740739E-2</v>
      </c>
      <c r="H90" s="100">
        <v>0.10820601851851852</v>
      </c>
      <c r="I90" s="100">
        <v>1.1724537037037035E-2</v>
      </c>
      <c r="J90" s="100">
        <v>8.726851851851852E-3</v>
      </c>
      <c r="K90" s="100">
        <v>5.2766203703703697E-2</v>
      </c>
      <c r="L90" s="100">
        <v>1.042824074074074E-2</v>
      </c>
      <c r="M90" s="100">
        <v>8.4722222222222213E-3</v>
      </c>
    </row>
    <row r="91" spans="1:25" x14ac:dyDescent="0.25">
      <c r="C91" s="9" t="s">
        <v>292</v>
      </c>
      <c r="D91" s="9" t="s">
        <v>237</v>
      </c>
      <c r="E91" s="9" t="s">
        <v>217</v>
      </c>
      <c r="G91" s="100"/>
      <c r="H91" s="100">
        <v>7.013888888888889E-3</v>
      </c>
      <c r="I91" s="100">
        <v>4.7916666666666672E-3</v>
      </c>
      <c r="J91" s="100">
        <v>1.2666666666666665E-2</v>
      </c>
      <c r="K91" s="100">
        <v>5.9652777777777777E-3</v>
      </c>
      <c r="L91" s="100">
        <v>2.4658449074074076E-2</v>
      </c>
      <c r="M91" s="100">
        <v>8.2430555555555556E-3</v>
      </c>
    </row>
    <row r="92" spans="1:25" x14ac:dyDescent="0.25">
      <c r="C92" s="9" t="s">
        <v>212</v>
      </c>
      <c r="D92" s="9" t="s">
        <v>186</v>
      </c>
      <c r="E92" s="9" t="s">
        <v>217</v>
      </c>
      <c r="G92" s="100"/>
      <c r="H92" s="100" t="s">
        <v>516</v>
      </c>
      <c r="I92" s="100" t="s">
        <v>516</v>
      </c>
      <c r="J92" s="100">
        <v>1.5046296296296301E-3</v>
      </c>
      <c r="K92" s="100">
        <v>3.6921296296296298E-3</v>
      </c>
      <c r="L92" s="100">
        <v>5.6481481481481478E-3</v>
      </c>
      <c r="M92" s="100">
        <v>3.4722222222222199E-3</v>
      </c>
    </row>
    <row r="93" spans="1:25" x14ac:dyDescent="0.25">
      <c r="C93" s="9" t="s">
        <v>293</v>
      </c>
      <c r="D93" s="9" t="s">
        <v>239</v>
      </c>
      <c r="E93" s="9" t="s">
        <v>217</v>
      </c>
      <c r="G93" s="100"/>
      <c r="H93" s="100"/>
      <c r="I93" s="100">
        <v>2.4305555555555556E-3</v>
      </c>
      <c r="J93" s="100">
        <v>2.8819444444444444E-3</v>
      </c>
      <c r="K93" s="100">
        <v>2.9745370370370373E-3</v>
      </c>
      <c r="L93" s="100">
        <v>2.7083333333333334E-3</v>
      </c>
      <c r="M93" s="100">
        <v>2.7777777777777779E-3</v>
      </c>
    </row>
    <row r="94" spans="1:25" x14ac:dyDescent="0.25">
      <c r="C94" s="9" t="s">
        <v>214</v>
      </c>
      <c r="D94" s="9" t="s">
        <v>165</v>
      </c>
      <c r="E94" s="9" t="s">
        <v>217</v>
      </c>
      <c r="G94" s="100">
        <v>9.2129629629629627E-3</v>
      </c>
      <c r="H94" s="100">
        <v>1.9837962962962963E-2</v>
      </c>
      <c r="I94" s="100">
        <v>4.3749999999999995E-3</v>
      </c>
      <c r="J94" s="100">
        <v>3.0439814814814821E-3</v>
      </c>
      <c r="K94" s="100">
        <v>2.2453703703703702E-3</v>
      </c>
      <c r="L94" s="100">
        <v>1.1792443283723333E-2</v>
      </c>
      <c r="M94" s="100">
        <v>1.9444444444444442E-3</v>
      </c>
    </row>
    <row r="95" spans="1:25" x14ac:dyDescent="0.25">
      <c r="C95" s="9" t="s">
        <v>294</v>
      </c>
      <c r="D95" s="9" t="s">
        <v>241</v>
      </c>
      <c r="E95" s="9" t="s">
        <v>217</v>
      </c>
      <c r="G95" s="100">
        <v>1.1087962962962964E-2</v>
      </c>
      <c r="H95" s="100">
        <v>6.0416666666666665E-3</v>
      </c>
      <c r="I95" s="100">
        <v>2.2569444444444444E-2</v>
      </c>
      <c r="J95" s="100">
        <v>8.7152777777777784E-3</v>
      </c>
      <c r="K95" s="100">
        <v>3.0972222222222224E-2</v>
      </c>
      <c r="L95" s="100">
        <v>9.8958333333333329E-3</v>
      </c>
      <c r="M95" s="100">
        <v>6.9444444444444441E-3</v>
      </c>
    </row>
    <row r="96" spans="1:25" x14ac:dyDescent="0.25">
      <c r="C96" s="9" t="s">
        <v>295</v>
      </c>
      <c r="D96" s="9" t="s">
        <v>205</v>
      </c>
      <c r="E96" s="9" t="s">
        <v>217</v>
      </c>
      <c r="G96" s="100" t="s">
        <v>542</v>
      </c>
      <c r="H96" s="100" t="s">
        <v>542</v>
      </c>
      <c r="I96" s="100" t="s">
        <v>542</v>
      </c>
      <c r="J96" s="100">
        <v>4.3749999999999995E-3</v>
      </c>
      <c r="K96" s="100">
        <v>1.0254629629629629E-2</v>
      </c>
      <c r="L96" s="100">
        <v>1.9587134113552176E-3</v>
      </c>
      <c r="M96" s="100">
        <v>4.2939814814814811E-3</v>
      </c>
    </row>
    <row r="97" spans="1:25" x14ac:dyDescent="0.25">
      <c r="C97" s="9" t="s">
        <v>296</v>
      </c>
      <c r="D97" s="9" t="s">
        <v>297</v>
      </c>
      <c r="E97" s="9" t="s">
        <v>217</v>
      </c>
      <c r="G97" s="100">
        <v>6.4467592592592597E-3</v>
      </c>
      <c r="H97" s="100">
        <v>5.8101851851851856E-3</v>
      </c>
      <c r="I97" s="100">
        <v>2.9398148148148148E-3</v>
      </c>
      <c r="J97" s="100">
        <v>3.5995370370370369E-3</v>
      </c>
      <c r="K97" s="100">
        <v>5.9259259259259256E-3</v>
      </c>
      <c r="L97" s="100">
        <v>4.9652777777777777E-3</v>
      </c>
      <c r="M97" s="100">
        <v>4.8611111111111112E-3</v>
      </c>
    </row>
    <row r="98" spans="1:25" x14ac:dyDescent="0.25">
      <c r="C98" s="9" t="s">
        <v>298</v>
      </c>
      <c r="D98" s="9" t="s">
        <v>198</v>
      </c>
      <c r="E98" s="9" t="s">
        <v>217</v>
      </c>
      <c r="G98" s="100">
        <v>1.1481481481481483E-2</v>
      </c>
      <c r="H98" s="100">
        <v>7.3495370370370372E-3</v>
      </c>
      <c r="I98" s="100">
        <v>8.113425925925925E-3</v>
      </c>
      <c r="J98" s="100">
        <v>7.8009259259259256E-3</v>
      </c>
      <c r="K98" s="100">
        <v>2.4884259259259259E-2</v>
      </c>
      <c r="L98" s="100">
        <v>1.3751967592592592E-2</v>
      </c>
      <c r="M98" s="100">
        <v>6.1342592592592594E-3</v>
      </c>
    </row>
    <row r="99" spans="1:25" x14ac:dyDescent="0.25">
      <c r="C99" s="9" t="s">
        <v>299</v>
      </c>
      <c r="D99" s="9" t="s">
        <v>167</v>
      </c>
      <c r="E99" s="9" t="s">
        <v>217</v>
      </c>
      <c r="G99" s="100"/>
      <c r="H99" s="100"/>
      <c r="I99" s="100"/>
      <c r="J99" s="100">
        <v>6.2731481481481484E-3</v>
      </c>
      <c r="K99" s="100">
        <v>1.2106481481481482E-2</v>
      </c>
      <c r="L99" s="100">
        <v>5.1042606157747188E-3</v>
      </c>
      <c r="M99" s="100">
        <v>5.3587962962962964E-3</v>
      </c>
    </row>
    <row r="100" spans="1:25" x14ac:dyDescent="0.25">
      <c r="C100" s="9" t="s">
        <v>300</v>
      </c>
      <c r="D100" s="9" t="s">
        <v>249</v>
      </c>
      <c r="E100" s="9" t="s">
        <v>217</v>
      </c>
      <c r="G100" s="100"/>
      <c r="H100" s="100"/>
      <c r="I100" s="100"/>
      <c r="J100" s="100">
        <v>6.030092592592593E-3</v>
      </c>
      <c r="K100" s="100">
        <v>1.6932870370370369E-2</v>
      </c>
      <c r="L100" s="100">
        <v>1.315972222222222E-2</v>
      </c>
      <c r="M100" s="100">
        <v>7.3495370370370372E-3</v>
      </c>
    </row>
    <row r="101" spans="1:25" x14ac:dyDescent="0.25">
      <c r="C101" s="9" t="s">
        <v>301</v>
      </c>
      <c r="D101" s="9" t="s">
        <v>190</v>
      </c>
      <c r="E101" s="9" t="s">
        <v>217</v>
      </c>
      <c r="G101" s="100">
        <v>6.9907407407407409E-3</v>
      </c>
      <c r="H101" s="100">
        <v>9.525462962962963E-3</v>
      </c>
      <c r="I101" s="100">
        <v>1.1851851851851851E-2</v>
      </c>
      <c r="J101" s="100">
        <v>9.6874999999999999E-3</v>
      </c>
      <c r="K101" s="100">
        <v>9.2708333333333341E-3</v>
      </c>
      <c r="L101" s="100">
        <v>6.4583333333333333E-3</v>
      </c>
      <c r="M101" s="100">
        <v>8.217592592592594E-3</v>
      </c>
    </row>
    <row r="102" spans="1:25" x14ac:dyDescent="0.25">
      <c r="C102" s="9" t="s">
        <v>302</v>
      </c>
      <c r="D102" s="9" t="s">
        <v>252</v>
      </c>
      <c r="E102" s="9" t="s">
        <v>217</v>
      </c>
      <c r="G102" s="100">
        <v>3.4999999999999996E-2</v>
      </c>
      <c r="H102" s="100">
        <v>1.5972222222222224E-2</v>
      </c>
      <c r="I102" s="100">
        <v>1.5069444444444443E-2</v>
      </c>
      <c r="J102" s="100">
        <v>8.4722222222222213E-3</v>
      </c>
      <c r="K102" s="100">
        <v>3.006944444444444E-2</v>
      </c>
      <c r="L102" s="100">
        <v>1.2141203703703704E-2</v>
      </c>
      <c r="M102" s="100">
        <v>8.3333333333333332E-3</v>
      </c>
    </row>
    <row r="103" spans="1:25" x14ac:dyDescent="0.25">
      <c r="C103" s="9" t="s">
        <v>215</v>
      </c>
      <c r="D103" s="9" t="s">
        <v>169</v>
      </c>
      <c r="E103" s="9" t="s">
        <v>217</v>
      </c>
      <c r="G103" s="100">
        <v>1.861111111111111E-2</v>
      </c>
      <c r="H103" s="100">
        <v>1.4374999999999999E-2</v>
      </c>
      <c r="I103" s="100">
        <v>9.9305555555555553E-3</v>
      </c>
      <c r="J103" s="100">
        <v>9.2476851851851852E-3</v>
      </c>
      <c r="K103" s="100">
        <v>8.726851851851852E-3</v>
      </c>
      <c r="L103" s="100">
        <v>4.2245370370370371E-3</v>
      </c>
      <c r="M103" s="100">
        <v>8.564814814814815E-3</v>
      </c>
    </row>
    <row r="104" spans="1:25" x14ac:dyDescent="0.25">
      <c r="C104" s="9" t="s">
        <v>216</v>
      </c>
      <c r="D104" s="9" t="s">
        <v>171</v>
      </c>
      <c r="E104" s="9" t="s">
        <v>217</v>
      </c>
      <c r="G104" s="100"/>
      <c r="H104" s="100"/>
      <c r="I104" s="100"/>
      <c r="J104" s="100">
        <v>5.7175925925925927E-3</v>
      </c>
      <c r="K104" s="100">
        <v>4.3055555555555555E-3</v>
      </c>
      <c r="L104" s="100">
        <v>6.4004629629629628E-3</v>
      </c>
      <c r="M104" s="100">
        <v>2.7777777777777779E-3</v>
      </c>
    </row>
    <row r="106" spans="1:25" ht="13.8" x14ac:dyDescent="0.3">
      <c r="A106" s="10" t="s">
        <v>22</v>
      </c>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CEABF"/>
  </sheetPr>
  <dimension ref="A1:Y139"/>
  <sheetViews>
    <sheetView zoomScaleNormal="100" workbookViewId="0">
      <pane ySplit="1" topLeftCell="A2" activePane="bottomLeft" state="frozen"/>
      <selection pane="bottomLeft" activeCell="A2" sqref="A2"/>
    </sheetView>
  </sheetViews>
  <sheetFormatPr defaultColWidth="9" defaultRowHeight="13.2" x14ac:dyDescent="0.25"/>
  <cols>
    <col min="1" max="3" width="2.77734375" style="9" customWidth="1"/>
    <col min="4" max="4" width="27.21875" style="9" customWidth="1"/>
    <col min="5" max="5" width="16.21875" style="9" bestFit="1" customWidth="1"/>
    <col min="6" max="6" width="2.77734375" style="9" customWidth="1"/>
    <col min="7" max="7" width="24.21875" style="9" customWidth="1"/>
    <col min="8" max="9" width="21" style="9" customWidth="1"/>
    <col min="10" max="16384" width="9" style="9"/>
  </cols>
  <sheetData>
    <row r="1" spans="1:25" ht="30" x14ac:dyDescent="0.5">
      <c r="A1" s="3" t="s">
        <v>543</v>
      </c>
      <c r="B1" s="3"/>
      <c r="C1" s="3"/>
      <c r="D1" s="3"/>
      <c r="E1" s="3"/>
      <c r="F1" s="3"/>
      <c r="G1" s="3"/>
      <c r="H1" s="3"/>
      <c r="I1" s="3"/>
      <c r="J1" s="3"/>
      <c r="K1" s="3"/>
      <c r="L1" s="3"/>
      <c r="M1" s="3"/>
      <c r="N1" s="3"/>
      <c r="O1" s="3"/>
      <c r="P1" s="3"/>
      <c r="Q1" s="3"/>
      <c r="R1" s="3"/>
      <c r="S1" s="3"/>
      <c r="T1" s="3"/>
      <c r="U1" s="3"/>
      <c r="V1" s="3"/>
      <c r="W1" s="3"/>
      <c r="X1" s="3"/>
      <c r="Y1" s="3"/>
    </row>
    <row r="2" spans="1:25" customFormat="1" x14ac:dyDescent="0.25">
      <c r="A2" s="9"/>
      <c r="B2" s="9"/>
      <c r="C2" s="9"/>
      <c r="D2" s="9"/>
      <c r="E2" s="9"/>
      <c r="F2" s="9"/>
      <c r="G2" s="9"/>
      <c r="H2" s="9"/>
      <c r="I2" s="9"/>
      <c r="J2" s="9"/>
      <c r="K2" s="9"/>
      <c r="L2" s="9"/>
      <c r="M2" s="9"/>
      <c r="N2" s="9"/>
      <c r="O2" s="9"/>
      <c r="P2" s="9"/>
      <c r="Q2" s="9"/>
      <c r="R2" s="9"/>
      <c r="S2" s="9"/>
      <c r="T2" s="9"/>
      <c r="U2" s="9"/>
      <c r="V2" s="9"/>
      <c r="W2" s="9"/>
      <c r="X2" s="9"/>
      <c r="Y2" s="9"/>
    </row>
    <row r="3" spans="1:25" customFormat="1" x14ac:dyDescent="0.25">
      <c r="A3" s="9"/>
      <c r="B3" s="141" t="s">
        <v>544</v>
      </c>
      <c r="C3" s="9"/>
      <c r="D3" s="9"/>
      <c r="E3" s="9"/>
      <c r="F3" s="9"/>
      <c r="G3" s="9"/>
      <c r="H3" s="9"/>
      <c r="I3" s="9"/>
      <c r="J3" s="9"/>
      <c r="K3" s="9"/>
      <c r="L3" s="9"/>
      <c r="M3" s="9"/>
      <c r="N3" s="9"/>
      <c r="O3" s="9"/>
      <c r="P3" s="9"/>
      <c r="Q3" s="9"/>
      <c r="R3" s="9"/>
      <c r="S3" s="9"/>
      <c r="T3" s="9"/>
      <c r="U3" s="9"/>
      <c r="V3" s="9"/>
      <c r="W3" s="9"/>
      <c r="X3" s="9"/>
      <c r="Y3" s="9"/>
    </row>
    <row r="4" spans="1:25" x14ac:dyDescent="0.25">
      <c r="B4" s="4" t="s">
        <v>545</v>
      </c>
    </row>
    <row r="6" spans="1:25" ht="13.8" x14ac:dyDescent="0.3">
      <c r="A6" s="8" t="s">
        <v>147</v>
      </c>
      <c r="B6" s="8"/>
      <c r="C6" s="8"/>
      <c r="D6" s="8"/>
      <c r="E6" s="8"/>
      <c r="F6" s="8"/>
      <c r="G6" s="8"/>
      <c r="H6" s="8"/>
      <c r="I6" s="8"/>
      <c r="J6" s="16"/>
      <c r="K6" s="8"/>
      <c r="L6" s="8"/>
      <c r="M6" s="8"/>
      <c r="N6" s="8"/>
      <c r="O6" s="8"/>
      <c r="P6" s="8"/>
      <c r="Q6" s="8"/>
      <c r="R6" s="8"/>
      <c r="S6" s="8"/>
      <c r="T6" s="8"/>
      <c r="U6" s="8"/>
      <c r="V6" s="8"/>
      <c r="W6" s="8"/>
      <c r="X6" s="8"/>
      <c r="Y6" s="8"/>
    </row>
    <row r="7" spans="1:25" x14ac:dyDescent="0.25">
      <c r="J7" s="17"/>
    </row>
    <row r="8" spans="1:25" ht="15" x14ac:dyDescent="0.35">
      <c r="A8" s="1" t="s">
        <v>546</v>
      </c>
      <c r="J8" s="17"/>
    </row>
    <row r="9" spans="1:25" x14ac:dyDescent="0.25">
      <c r="B9" s="4"/>
      <c r="H9" s="9" t="s">
        <v>547</v>
      </c>
      <c r="I9" s="9" t="s">
        <v>547</v>
      </c>
      <c r="J9" s="17"/>
    </row>
    <row r="10" spans="1:25" x14ac:dyDescent="0.25">
      <c r="D10" s="9" t="s">
        <v>149</v>
      </c>
      <c r="E10" s="9" t="s">
        <v>150</v>
      </c>
      <c r="G10" s="9" t="s">
        <v>151</v>
      </c>
      <c r="H10" s="49" t="s">
        <v>548</v>
      </c>
      <c r="I10" s="49" t="s">
        <v>549</v>
      </c>
      <c r="J10" s="19"/>
    </row>
    <row r="11" spans="1:25" x14ac:dyDescent="0.25">
      <c r="D11" s="9" t="s">
        <v>230</v>
      </c>
      <c r="E11" s="9" t="s">
        <v>231</v>
      </c>
      <c r="G11" s="9" t="s">
        <v>179</v>
      </c>
      <c r="H11" s="26"/>
      <c r="I11" s="20"/>
      <c r="J11" s="17"/>
    </row>
    <row r="12" spans="1:25" x14ac:dyDescent="0.25">
      <c r="D12" s="9" t="s">
        <v>156</v>
      </c>
      <c r="E12" s="9" t="s">
        <v>157</v>
      </c>
      <c r="G12" s="9" t="s">
        <v>179</v>
      </c>
      <c r="H12" s="26"/>
      <c r="I12" s="20"/>
      <c r="J12" s="17"/>
    </row>
    <row r="13" spans="1:25" x14ac:dyDescent="0.25">
      <c r="D13" s="9" t="s">
        <v>234</v>
      </c>
      <c r="E13" s="9" t="s">
        <v>235</v>
      </c>
      <c r="G13" s="9" t="s">
        <v>179</v>
      </c>
      <c r="H13" s="26"/>
      <c r="I13" s="20"/>
      <c r="J13" s="17"/>
    </row>
    <row r="14" spans="1:25" x14ac:dyDescent="0.25">
      <c r="D14" s="9" t="s">
        <v>236</v>
      </c>
      <c r="E14" s="9" t="s">
        <v>237</v>
      </c>
      <c r="G14" s="9" t="s">
        <v>179</v>
      </c>
      <c r="H14" s="26"/>
      <c r="I14" s="20"/>
      <c r="J14" s="17"/>
    </row>
    <row r="15" spans="1:25" s="21" customFormat="1" x14ac:dyDescent="0.25">
      <c r="D15" s="21" t="s">
        <v>160</v>
      </c>
      <c r="E15" s="21" t="s">
        <v>161</v>
      </c>
      <c r="G15" s="9" t="s">
        <v>179</v>
      </c>
      <c r="H15" s="26"/>
      <c r="I15" s="20"/>
      <c r="J15" s="27"/>
      <c r="K15" s="9"/>
      <c r="L15" s="9"/>
    </row>
    <row r="16" spans="1:25" s="21" customFormat="1" x14ac:dyDescent="0.25">
      <c r="D16" s="21" t="s">
        <v>162</v>
      </c>
      <c r="E16" s="21" t="s">
        <v>163</v>
      </c>
      <c r="G16" s="9" t="s">
        <v>179</v>
      </c>
      <c r="H16" s="26"/>
      <c r="I16" s="20"/>
      <c r="J16" s="27"/>
      <c r="K16" s="9"/>
      <c r="L16" s="9"/>
    </row>
    <row r="17" spans="1:25" x14ac:dyDescent="0.25">
      <c r="D17" s="9" t="s">
        <v>238</v>
      </c>
      <c r="E17" s="9" t="s">
        <v>239</v>
      </c>
      <c r="G17" s="9" t="s">
        <v>179</v>
      </c>
      <c r="H17" s="26"/>
      <c r="I17" s="20"/>
      <c r="J17" s="17"/>
    </row>
    <row r="18" spans="1:25" s="21" customFormat="1" x14ac:dyDescent="0.25">
      <c r="D18" s="21" t="s">
        <v>164</v>
      </c>
      <c r="E18" s="21" t="s">
        <v>165</v>
      </c>
      <c r="G18" s="9" t="s">
        <v>179</v>
      </c>
      <c r="H18" s="83">
        <v>123586.95612597851</v>
      </c>
      <c r="I18" s="116">
        <v>84913.486862066871</v>
      </c>
      <c r="J18" s="27"/>
      <c r="K18" s="4" t="s">
        <v>617</v>
      </c>
      <c r="L18" s="9"/>
    </row>
    <row r="19" spans="1:25" s="21" customFormat="1" x14ac:dyDescent="0.25">
      <c r="D19" s="21" t="s">
        <v>240</v>
      </c>
      <c r="E19" s="21" t="s">
        <v>241</v>
      </c>
      <c r="G19" s="9" t="s">
        <v>179</v>
      </c>
      <c r="H19" s="83">
        <v>1669915.1560216947</v>
      </c>
      <c r="I19" s="116">
        <v>834957.57801084733</v>
      </c>
      <c r="J19" s="27"/>
      <c r="K19" s="4" t="s">
        <v>616</v>
      </c>
      <c r="L19" s="9"/>
    </row>
    <row r="20" spans="1:25" s="21" customFormat="1" x14ac:dyDescent="0.25">
      <c r="D20" s="21" t="s">
        <v>242</v>
      </c>
      <c r="E20" s="21" t="s">
        <v>205</v>
      </c>
      <c r="G20" s="9" t="s">
        <v>179</v>
      </c>
      <c r="H20" s="83">
        <v>350000</v>
      </c>
      <c r="I20" s="116">
        <v>187500</v>
      </c>
      <c r="J20" s="27"/>
      <c r="K20" s="4" t="s">
        <v>550</v>
      </c>
      <c r="L20" s="9"/>
    </row>
    <row r="21" spans="1:25" s="21" customFormat="1" x14ac:dyDescent="0.25">
      <c r="D21" s="21" t="s">
        <v>243</v>
      </c>
      <c r="E21" s="21" t="s">
        <v>244</v>
      </c>
      <c r="G21" s="9" t="s">
        <v>179</v>
      </c>
      <c r="H21" s="83"/>
      <c r="I21" s="83"/>
      <c r="J21" s="27"/>
      <c r="L21" s="9"/>
    </row>
    <row r="22" spans="1:25" s="21" customFormat="1" x14ac:dyDescent="0.25">
      <c r="D22" s="21" t="s">
        <v>245</v>
      </c>
      <c r="E22" s="21" t="s">
        <v>246</v>
      </c>
      <c r="G22" s="9" t="s">
        <v>179</v>
      </c>
      <c r="H22" s="83"/>
      <c r="I22" s="83"/>
      <c r="J22" s="27"/>
      <c r="L22" s="9"/>
    </row>
    <row r="23" spans="1:25" s="21" customFormat="1" x14ac:dyDescent="0.25">
      <c r="D23" s="21" t="s">
        <v>247</v>
      </c>
      <c r="E23" s="21" t="s">
        <v>198</v>
      </c>
      <c r="G23" s="9" t="s">
        <v>179</v>
      </c>
      <c r="H23" s="83"/>
      <c r="I23" s="83"/>
      <c r="J23" s="9"/>
      <c r="K23" s="9"/>
      <c r="L23" s="9"/>
      <c r="M23" s="9"/>
      <c r="N23" s="9"/>
      <c r="O23" s="9"/>
    </row>
    <row r="24" spans="1:25" s="21" customFormat="1" x14ac:dyDescent="0.25">
      <c r="D24" s="21" t="s">
        <v>166</v>
      </c>
      <c r="E24" s="21" t="s">
        <v>167</v>
      </c>
      <c r="G24" s="9" t="s">
        <v>179</v>
      </c>
      <c r="H24" s="83"/>
      <c r="I24" s="83"/>
      <c r="J24" s="9"/>
      <c r="K24" s="9"/>
      <c r="L24" s="9"/>
      <c r="M24" s="9"/>
      <c r="N24" s="9"/>
      <c r="O24" s="9"/>
    </row>
    <row r="25" spans="1:25" s="21" customFormat="1" x14ac:dyDescent="0.25">
      <c r="D25" s="21" t="s">
        <v>248</v>
      </c>
      <c r="E25" s="21" t="s">
        <v>249</v>
      </c>
      <c r="G25" s="9" t="s">
        <v>179</v>
      </c>
      <c r="H25" s="83"/>
      <c r="I25" s="83"/>
      <c r="J25" s="9"/>
      <c r="K25" s="9"/>
      <c r="L25" s="9"/>
      <c r="M25" s="9"/>
      <c r="N25" s="9"/>
      <c r="O25" s="9"/>
    </row>
    <row r="26" spans="1:25" s="21" customFormat="1" x14ac:dyDescent="0.25">
      <c r="D26" s="21" t="s">
        <v>250</v>
      </c>
      <c r="E26" s="21" t="s">
        <v>190</v>
      </c>
      <c r="G26" s="9" t="s">
        <v>179</v>
      </c>
      <c r="H26" s="83"/>
      <c r="I26" s="83"/>
      <c r="J26" s="9"/>
      <c r="K26" s="9"/>
      <c r="L26" s="9"/>
      <c r="M26" s="9"/>
      <c r="N26" s="9"/>
      <c r="O26" s="9"/>
    </row>
    <row r="27" spans="1:25" s="21" customFormat="1" x14ac:dyDescent="0.25">
      <c r="D27" s="21" t="s">
        <v>251</v>
      </c>
      <c r="E27" s="21" t="s">
        <v>252</v>
      </c>
      <c r="G27" s="9" t="s">
        <v>179</v>
      </c>
      <c r="H27" s="83"/>
      <c r="I27" s="83"/>
      <c r="J27" s="9"/>
      <c r="K27" s="9"/>
      <c r="L27" s="9"/>
      <c r="M27" s="9"/>
      <c r="N27" s="9"/>
      <c r="O27" s="9"/>
    </row>
    <row r="28" spans="1:25" x14ac:dyDescent="0.25">
      <c r="D28" s="9" t="s">
        <v>168</v>
      </c>
      <c r="E28" s="9" t="s">
        <v>169</v>
      </c>
      <c r="G28" s="9" t="s">
        <v>179</v>
      </c>
      <c r="H28" s="83"/>
      <c r="I28" s="116"/>
    </row>
    <row r="29" spans="1:25" x14ac:dyDescent="0.25">
      <c r="D29" s="9" t="s">
        <v>170</v>
      </c>
      <c r="E29" s="9" t="s">
        <v>171</v>
      </c>
      <c r="G29" s="9" t="s">
        <v>179</v>
      </c>
      <c r="H29" s="83">
        <v>36139.740139211113</v>
      </c>
      <c r="I29" s="116">
        <v>21199.444510035413</v>
      </c>
      <c r="K29" s="4" t="s">
        <v>551</v>
      </c>
    </row>
    <row r="30" spans="1:25" x14ac:dyDescent="0.25">
      <c r="H30" s="43"/>
      <c r="I30" s="43"/>
    </row>
    <row r="31" spans="1:25" customFormat="1" ht="15" x14ac:dyDescent="0.35">
      <c r="A31" s="1" t="s">
        <v>552</v>
      </c>
      <c r="B31" s="9"/>
      <c r="C31" s="9"/>
      <c r="D31" s="9"/>
      <c r="E31" s="9"/>
      <c r="F31" s="9"/>
      <c r="G31" s="9"/>
      <c r="H31" s="43"/>
      <c r="I31" s="43"/>
      <c r="J31" s="9"/>
      <c r="K31" s="9"/>
      <c r="L31" s="9"/>
      <c r="M31" s="9"/>
      <c r="N31" s="9"/>
      <c r="O31" s="9"/>
      <c r="P31" s="9"/>
      <c r="Q31" s="9"/>
      <c r="R31" s="9"/>
      <c r="S31" s="9"/>
      <c r="T31" s="9"/>
      <c r="U31" s="9"/>
      <c r="V31" s="9"/>
      <c r="W31" s="9"/>
      <c r="X31" s="9"/>
      <c r="Y31" s="9"/>
    </row>
    <row r="32" spans="1:25" x14ac:dyDescent="0.25">
      <c r="D32" s="9" t="s">
        <v>311</v>
      </c>
      <c r="E32" s="9" t="s">
        <v>311</v>
      </c>
      <c r="G32" s="9" t="s">
        <v>179</v>
      </c>
      <c r="H32" s="83">
        <v>660790.44007408072</v>
      </c>
      <c r="I32" s="116">
        <v>660790.44007408072</v>
      </c>
      <c r="J32" s="4" t="s">
        <v>553</v>
      </c>
      <c r="K32" s="4" t="s">
        <v>554</v>
      </c>
    </row>
    <row r="33" spans="1:25" x14ac:dyDescent="0.25">
      <c r="D33" s="9" t="s">
        <v>312</v>
      </c>
      <c r="E33" s="9" t="s">
        <v>312</v>
      </c>
      <c r="G33" s="9" t="s">
        <v>179</v>
      </c>
      <c r="H33" s="83">
        <v>25029.940911896996</v>
      </c>
      <c r="I33" s="116">
        <v>25029.940911896996</v>
      </c>
      <c r="J33" s="4" t="s">
        <v>555</v>
      </c>
      <c r="K33" s="4" t="s">
        <v>554</v>
      </c>
    </row>
    <row r="34" spans="1:25" customFormat="1" x14ac:dyDescent="0.25">
      <c r="A34" s="9"/>
      <c r="B34" s="9"/>
      <c r="C34" s="9"/>
      <c r="D34" s="9"/>
      <c r="E34" s="9"/>
      <c r="F34" s="9"/>
      <c r="G34" s="9"/>
      <c r="H34" s="9"/>
      <c r="I34" s="9"/>
      <c r="J34" s="9"/>
      <c r="K34" s="9"/>
      <c r="L34" s="9"/>
      <c r="M34" s="9"/>
      <c r="N34" s="9"/>
      <c r="O34" s="9"/>
      <c r="P34" s="9"/>
      <c r="Q34" s="9"/>
      <c r="R34" s="9"/>
      <c r="S34" s="9"/>
      <c r="T34" s="9"/>
      <c r="U34" s="9"/>
      <c r="V34" s="9"/>
      <c r="W34" s="9"/>
      <c r="X34" s="9"/>
      <c r="Y34" s="9"/>
    </row>
    <row r="35" spans="1:25" x14ac:dyDescent="0.25">
      <c r="B35" s="4" t="s">
        <v>556</v>
      </c>
      <c r="H35" s="23"/>
      <c r="I35" s="23"/>
    </row>
    <row r="37" spans="1:25" ht="13.8" x14ac:dyDescent="0.3">
      <c r="A37" s="8" t="s">
        <v>518</v>
      </c>
      <c r="B37" s="8"/>
      <c r="C37" s="8"/>
      <c r="D37" s="8"/>
      <c r="E37" s="8"/>
      <c r="F37" s="8"/>
      <c r="G37" s="8"/>
      <c r="H37" s="8"/>
      <c r="I37" s="8"/>
      <c r="J37" s="16"/>
      <c r="K37" s="8"/>
      <c r="L37" s="8"/>
      <c r="M37" s="8"/>
      <c r="N37" s="8"/>
      <c r="O37" s="8"/>
      <c r="P37" s="8"/>
      <c r="Q37" s="8"/>
      <c r="R37" s="8"/>
      <c r="S37" s="8"/>
      <c r="T37" s="8"/>
      <c r="U37" s="8"/>
      <c r="V37" s="8"/>
      <c r="W37" s="8"/>
      <c r="X37" s="8"/>
      <c r="Y37" s="8"/>
    </row>
    <row r="38" spans="1:25" x14ac:dyDescent="0.25">
      <c r="J38" s="17"/>
    </row>
    <row r="39" spans="1:25" ht="15" x14ac:dyDescent="0.35">
      <c r="A39" s="1" t="s">
        <v>546</v>
      </c>
      <c r="J39" s="17"/>
    </row>
    <row r="40" spans="1:25" x14ac:dyDescent="0.25">
      <c r="B40" s="4"/>
      <c r="H40" s="9" t="s">
        <v>547</v>
      </c>
      <c r="I40" s="9" t="s">
        <v>547</v>
      </c>
      <c r="J40" s="17"/>
    </row>
    <row r="41" spans="1:25" x14ac:dyDescent="0.25">
      <c r="D41" s="9" t="s">
        <v>149</v>
      </c>
      <c r="E41" s="9" t="s">
        <v>150</v>
      </c>
      <c r="G41" s="9" t="s">
        <v>151</v>
      </c>
      <c r="H41" s="49" t="s">
        <v>548</v>
      </c>
      <c r="I41" s="49" t="s">
        <v>549</v>
      </c>
      <c r="J41" s="19"/>
    </row>
    <row r="42" spans="1:25" s="21" customFormat="1" x14ac:dyDescent="0.25">
      <c r="D42" s="21" t="s">
        <v>253</v>
      </c>
      <c r="E42" s="21" t="s">
        <v>157</v>
      </c>
      <c r="G42" s="21" t="s">
        <v>528</v>
      </c>
      <c r="H42" s="83"/>
      <c r="I42" s="116"/>
      <c r="J42" s="27"/>
    </row>
    <row r="43" spans="1:25" s="21" customFormat="1" x14ac:dyDescent="0.25">
      <c r="D43" s="21" t="s">
        <v>257</v>
      </c>
      <c r="E43" s="21" t="s">
        <v>237</v>
      </c>
      <c r="G43" s="21" t="s">
        <v>528</v>
      </c>
      <c r="H43" s="83"/>
      <c r="I43" s="116"/>
      <c r="J43" s="27"/>
    </row>
    <row r="44" spans="1:25" s="21" customFormat="1" x14ac:dyDescent="0.25">
      <c r="D44" s="21" t="s">
        <v>185</v>
      </c>
      <c r="E44" s="21" t="s">
        <v>186</v>
      </c>
      <c r="G44" s="21" t="s">
        <v>528</v>
      </c>
      <c r="H44" s="83"/>
      <c r="I44" s="116"/>
      <c r="J44" s="27"/>
    </row>
    <row r="45" spans="1:25" s="21" customFormat="1" x14ac:dyDescent="0.25">
      <c r="D45" s="21" t="s">
        <v>258</v>
      </c>
      <c r="E45" s="21" t="s">
        <v>205</v>
      </c>
      <c r="G45" s="21" t="s">
        <v>528</v>
      </c>
      <c r="H45" s="83">
        <v>648510.29999999993</v>
      </c>
      <c r="I45" s="116">
        <v>32500.000000000004</v>
      </c>
      <c r="J45" s="27"/>
      <c r="K45" s="4" t="s">
        <v>557</v>
      </c>
    </row>
    <row r="46" spans="1:25" x14ac:dyDescent="0.25">
      <c r="D46" s="9" t="s">
        <v>259</v>
      </c>
      <c r="E46" s="9" t="s">
        <v>198</v>
      </c>
      <c r="G46" s="21" t="s">
        <v>528</v>
      </c>
      <c r="H46" s="83"/>
      <c r="I46" s="116"/>
      <c r="J46" s="27"/>
      <c r="K46" s="4"/>
    </row>
    <row r="47" spans="1:25" x14ac:dyDescent="0.25">
      <c r="D47" s="9" t="s">
        <v>260</v>
      </c>
      <c r="E47" s="9" t="s">
        <v>167</v>
      </c>
      <c r="G47" s="21" t="s">
        <v>528</v>
      </c>
      <c r="H47" s="83"/>
      <c r="I47" s="116"/>
      <c r="J47" s="27"/>
      <c r="K47" s="4"/>
    </row>
    <row r="48" spans="1:25" x14ac:dyDescent="0.25">
      <c r="D48" s="9" t="s">
        <v>261</v>
      </c>
      <c r="E48" s="9" t="s">
        <v>249</v>
      </c>
      <c r="G48" s="21" t="s">
        <v>528</v>
      </c>
      <c r="H48" s="83"/>
      <c r="I48" s="116"/>
      <c r="J48" s="27"/>
      <c r="K48" s="4"/>
    </row>
    <row r="49" spans="1:25" x14ac:dyDescent="0.25">
      <c r="D49" s="9" t="s">
        <v>189</v>
      </c>
      <c r="E49" s="9" t="s">
        <v>190</v>
      </c>
      <c r="G49" s="21" t="s">
        <v>528</v>
      </c>
      <c r="H49" s="83">
        <v>116048.27499999999</v>
      </c>
      <c r="I49" s="116">
        <v>144231.42750000002</v>
      </c>
      <c r="J49" s="27"/>
      <c r="K49" s="4" t="s">
        <v>558</v>
      </c>
    </row>
    <row r="50" spans="1:25" x14ac:dyDescent="0.25">
      <c r="D50" s="9" t="s">
        <v>262</v>
      </c>
      <c r="E50" s="9" t="s">
        <v>252</v>
      </c>
      <c r="G50" s="21" t="s">
        <v>528</v>
      </c>
      <c r="H50" s="83"/>
      <c r="I50" s="116"/>
      <c r="J50" s="27"/>
      <c r="K50" s="4"/>
    </row>
    <row r="51" spans="1:25" x14ac:dyDescent="0.25">
      <c r="D51" s="9" t="s">
        <v>191</v>
      </c>
      <c r="E51" s="9" t="s">
        <v>169</v>
      </c>
      <c r="G51" s="21" t="s">
        <v>528</v>
      </c>
      <c r="H51" s="83">
        <v>183960.10285714286</v>
      </c>
      <c r="I51" s="116">
        <v>184272.25235294117</v>
      </c>
      <c r="J51" s="27"/>
      <c r="K51" s="4" t="s">
        <v>554</v>
      </c>
    </row>
    <row r="52" spans="1:25" x14ac:dyDescent="0.25">
      <c r="D52" s="9" t="s">
        <v>192</v>
      </c>
      <c r="E52" s="9" t="s">
        <v>171</v>
      </c>
      <c r="G52" s="21" t="s">
        <v>528</v>
      </c>
      <c r="H52" s="83">
        <v>27956.571428571424</v>
      </c>
      <c r="I52" s="116">
        <v>16866.291891891891</v>
      </c>
      <c r="J52" s="27"/>
      <c r="K52" s="4" t="s">
        <v>559</v>
      </c>
    </row>
    <row r="53" spans="1:25" x14ac:dyDescent="0.25">
      <c r="G53" s="21"/>
      <c r="H53" s="43"/>
      <c r="I53" s="43"/>
      <c r="J53" s="27"/>
      <c r="K53" s="4"/>
    </row>
    <row r="54" spans="1:25" customFormat="1" ht="15" x14ac:dyDescent="0.35">
      <c r="A54" s="1" t="s">
        <v>560</v>
      </c>
      <c r="B54" s="9"/>
      <c r="C54" s="9"/>
      <c r="D54" s="9"/>
      <c r="E54" s="9"/>
      <c r="F54" s="9"/>
      <c r="G54" s="9"/>
      <c r="H54" s="43"/>
      <c r="I54" s="43"/>
      <c r="J54" s="9"/>
      <c r="K54" s="4"/>
      <c r="L54" s="9"/>
      <c r="M54" s="9"/>
      <c r="N54" s="9"/>
      <c r="O54" s="9"/>
      <c r="P54" s="9"/>
      <c r="Q54" s="9"/>
      <c r="R54" s="9"/>
      <c r="S54" s="9"/>
      <c r="T54" s="9"/>
      <c r="U54" s="9"/>
      <c r="V54" s="9"/>
      <c r="W54" s="9"/>
      <c r="X54" s="9"/>
      <c r="Y54" s="9"/>
    </row>
    <row r="55" spans="1:25" x14ac:dyDescent="0.25">
      <c r="D55" s="9" t="s">
        <v>313</v>
      </c>
      <c r="E55" s="9" t="s">
        <v>252</v>
      </c>
      <c r="G55" s="21" t="s">
        <v>528</v>
      </c>
      <c r="H55" s="83">
        <v>159973.29300000001</v>
      </c>
      <c r="I55" s="116">
        <v>104635.09950000001</v>
      </c>
      <c r="J55" s="4" t="s">
        <v>561</v>
      </c>
      <c r="K55" s="4" t="s">
        <v>562</v>
      </c>
    </row>
    <row r="56" spans="1:25" x14ac:dyDescent="0.25">
      <c r="D56" s="9" t="s">
        <v>314</v>
      </c>
      <c r="E56" s="9" t="s">
        <v>252</v>
      </c>
      <c r="G56" s="21" t="s">
        <v>528</v>
      </c>
      <c r="H56" s="83">
        <v>405974.52</v>
      </c>
      <c r="I56" s="116">
        <v>268233.16500000004</v>
      </c>
      <c r="J56" s="4" t="s">
        <v>563</v>
      </c>
      <c r="K56" s="4" t="s">
        <v>562</v>
      </c>
    </row>
    <row r="57" spans="1:25" x14ac:dyDescent="0.25">
      <c r="G57" s="21"/>
    </row>
    <row r="58" spans="1:25" x14ac:dyDescent="0.25">
      <c r="B58" s="4" t="s">
        <v>556</v>
      </c>
      <c r="G58" s="21"/>
    </row>
    <row r="60" spans="1:25" ht="13.8" x14ac:dyDescent="0.3">
      <c r="A60" s="8" t="s">
        <v>196</v>
      </c>
      <c r="B60" s="8"/>
      <c r="C60" s="8"/>
      <c r="D60" s="8"/>
      <c r="E60" s="8"/>
      <c r="F60" s="8"/>
      <c r="G60" s="8"/>
      <c r="H60" s="8"/>
      <c r="I60" s="8"/>
      <c r="J60" s="16"/>
      <c r="K60" s="8"/>
      <c r="L60" s="8"/>
      <c r="M60" s="8"/>
      <c r="N60" s="8"/>
      <c r="O60" s="8"/>
      <c r="P60" s="8"/>
      <c r="Q60" s="8"/>
      <c r="R60" s="8"/>
      <c r="S60" s="8"/>
      <c r="T60" s="8"/>
      <c r="U60" s="8"/>
      <c r="V60" s="8"/>
      <c r="W60" s="8"/>
      <c r="X60" s="8"/>
      <c r="Y60" s="8"/>
    </row>
    <row r="61" spans="1:25" x14ac:dyDescent="0.25">
      <c r="J61" s="17"/>
    </row>
    <row r="62" spans="1:25" ht="15" x14ac:dyDescent="0.35">
      <c r="A62" s="1" t="s">
        <v>546</v>
      </c>
      <c r="J62" s="17"/>
    </row>
    <row r="63" spans="1:25" x14ac:dyDescent="0.25">
      <c r="B63" s="4"/>
      <c r="H63" s="9" t="s">
        <v>547</v>
      </c>
      <c r="I63" s="9" t="s">
        <v>547</v>
      </c>
      <c r="J63" s="17"/>
    </row>
    <row r="64" spans="1:25" x14ac:dyDescent="0.25">
      <c r="D64" s="9" t="s">
        <v>149</v>
      </c>
      <c r="E64" s="9" t="s">
        <v>150</v>
      </c>
      <c r="G64" s="9" t="s">
        <v>151</v>
      </c>
      <c r="H64" s="49" t="s">
        <v>548</v>
      </c>
      <c r="I64" s="49" t="s">
        <v>549</v>
      </c>
      <c r="J64" s="19"/>
    </row>
    <row r="65" spans="1:25" x14ac:dyDescent="0.25">
      <c r="D65" s="9" t="s">
        <v>263</v>
      </c>
      <c r="E65" s="9" t="s">
        <v>157</v>
      </c>
      <c r="G65" s="9" t="s">
        <v>529</v>
      </c>
      <c r="H65" s="26"/>
      <c r="I65" s="20"/>
      <c r="J65" s="27"/>
    </row>
    <row r="66" spans="1:25" x14ac:dyDescent="0.25">
      <c r="D66" s="9" t="s">
        <v>265</v>
      </c>
      <c r="E66" s="9" t="s">
        <v>237</v>
      </c>
      <c r="G66" s="9" t="s">
        <v>529</v>
      </c>
      <c r="H66" s="26"/>
      <c r="I66" s="20"/>
      <c r="J66" s="27"/>
    </row>
    <row r="67" spans="1:25" x14ac:dyDescent="0.25">
      <c r="D67" s="9" t="s">
        <v>266</v>
      </c>
      <c r="E67" s="9" t="s">
        <v>186</v>
      </c>
      <c r="G67" s="9" t="s">
        <v>529</v>
      </c>
      <c r="H67" s="26"/>
      <c r="I67" s="20"/>
      <c r="J67" s="27"/>
    </row>
    <row r="68" spans="1:25" x14ac:dyDescent="0.25">
      <c r="D68" s="9" t="s">
        <v>267</v>
      </c>
      <c r="E68" s="9" t="s">
        <v>205</v>
      </c>
      <c r="G68" s="9" t="s">
        <v>529</v>
      </c>
      <c r="H68" s="83">
        <v>60000.000000000015</v>
      </c>
      <c r="I68" s="116">
        <v>32500.000000000004</v>
      </c>
      <c r="J68" s="27"/>
      <c r="K68" s="4" t="s">
        <v>564</v>
      </c>
    </row>
    <row r="69" spans="1:25" s="21" customFormat="1" x14ac:dyDescent="0.25">
      <c r="D69" s="21" t="s">
        <v>197</v>
      </c>
      <c r="E69" s="21" t="s">
        <v>198</v>
      </c>
      <c r="G69" s="9" t="s">
        <v>529</v>
      </c>
      <c r="H69" s="83"/>
      <c r="I69" s="116"/>
      <c r="J69" s="27"/>
      <c r="K69" s="4"/>
    </row>
    <row r="70" spans="1:25" s="21" customFormat="1" x14ac:dyDescent="0.25">
      <c r="D70" s="21" t="s">
        <v>200</v>
      </c>
      <c r="E70" s="21" t="s">
        <v>167</v>
      </c>
      <c r="G70" s="9" t="s">
        <v>529</v>
      </c>
      <c r="H70" s="83"/>
      <c r="I70" s="116"/>
      <c r="J70" s="27"/>
      <c r="K70" s="4"/>
    </row>
    <row r="71" spans="1:25" s="21" customFormat="1" x14ac:dyDescent="0.25">
      <c r="D71" s="21" t="s">
        <v>268</v>
      </c>
      <c r="E71" s="21" t="s">
        <v>249</v>
      </c>
      <c r="G71" s="9" t="s">
        <v>529</v>
      </c>
      <c r="H71" s="83"/>
      <c r="I71" s="116"/>
      <c r="J71" s="27"/>
      <c r="K71" s="4"/>
    </row>
    <row r="72" spans="1:25" s="21" customFormat="1" x14ac:dyDescent="0.25">
      <c r="D72" s="21" t="s">
        <v>269</v>
      </c>
      <c r="E72" s="21" t="s">
        <v>190</v>
      </c>
      <c r="G72" s="9" t="s">
        <v>529</v>
      </c>
      <c r="H72" s="83">
        <v>62334.501999999993</v>
      </c>
      <c r="I72" s="116">
        <v>61671.368999999999</v>
      </c>
      <c r="J72" s="27"/>
      <c r="K72" s="4" t="s">
        <v>558</v>
      </c>
    </row>
    <row r="73" spans="1:25" s="21" customFormat="1" x14ac:dyDescent="0.25">
      <c r="D73" s="21" t="s">
        <v>270</v>
      </c>
      <c r="E73" s="21" t="s">
        <v>252</v>
      </c>
      <c r="G73" s="9" t="s">
        <v>529</v>
      </c>
      <c r="H73" s="83">
        <v>14176.888000000003</v>
      </c>
      <c r="I73" s="116">
        <v>10563.622714285715</v>
      </c>
      <c r="J73" s="27"/>
      <c r="K73" s="4" t="s">
        <v>562</v>
      </c>
      <c r="S73" s="29"/>
    </row>
    <row r="74" spans="1:25" s="21" customFormat="1" x14ac:dyDescent="0.25">
      <c r="D74" s="21" t="s">
        <v>201</v>
      </c>
      <c r="E74" s="21" t="s">
        <v>169</v>
      </c>
      <c r="G74" s="9" t="s">
        <v>529</v>
      </c>
      <c r="H74" s="83"/>
      <c r="I74" s="116"/>
      <c r="J74" s="27"/>
      <c r="K74" s="4"/>
    </row>
    <row r="75" spans="1:25" s="21" customFormat="1" x14ac:dyDescent="0.25">
      <c r="D75" s="21" t="s">
        <v>271</v>
      </c>
      <c r="E75" s="21" t="s">
        <v>171</v>
      </c>
      <c r="G75" s="9" t="s">
        <v>529</v>
      </c>
      <c r="H75" s="83">
        <v>6484.2787589498803</v>
      </c>
      <c r="I75" s="116">
        <v>4880.2116591928243</v>
      </c>
      <c r="J75" s="27"/>
      <c r="K75" s="4" t="s">
        <v>559</v>
      </c>
    </row>
    <row r="76" spans="1:25" s="21" customFormat="1" x14ac:dyDescent="0.25">
      <c r="H76" s="83"/>
      <c r="I76" s="116"/>
      <c r="J76" s="27"/>
      <c r="K76" s="4"/>
    </row>
    <row r="77" spans="1:25" customFormat="1" ht="15" x14ac:dyDescent="0.35">
      <c r="A77" s="51" t="s">
        <v>552</v>
      </c>
      <c r="B77" s="9"/>
      <c r="C77" s="9"/>
      <c r="D77" s="9"/>
      <c r="E77" s="9"/>
      <c r="F77" s="9"/>
      <c r="G77" s="9"/>
      <c r="H77" s="43"/>
      <c r="I77" s="43"/>
      <c r="J77" s="9"/>
      <c r="K77" s="4"/>
      <c r="L77" s="9"/>
      <c r="M77" s="9"/>
      <c r="N77" s="9"/>
      <c r="O77" s="9"/>
      <c r="P77" s="9"/>
      <c r="Q77" s="9"/>
      <c r="R77" s="9"/>
      <c r="S77" s="9"/>
      <c r="T77" s="9"/>
      <c r="U77" s="9"/>
      <c r="V77" s="9"/>
      <c r="W77" s="9"/>
      <c r="X77" s="9"/>
      <c r="Y77" s="9"/>
    </row>
    <row r="78" spans="1:25" s="21" customFormat="1" x14ac:dyDescent="0.25">
      <c r="D78" s="21" t="s">
        <v>315</v>
      </c>
      <c r="E78" s="21" t="s">
        <v>169</v>
      </c>
      <c r="G78" s="9" t="s">
        <v>529</v>
      </c>
      <c r="H78" s="83">
        <v>4815.1950000000006</v>
      </c>
      <c r="I78" s="116">
        <v>2476.3860000000004</v>
      </c>
      <c r="J78" s="4" t="s">
        <v>565</v>
      </c>
      <c r="K78" s="4" t="s">
        <v>554</v>
      </c>
    </row>
    <row r="79" spans="1:25" s="21" customFormat="1" x14ac:dyDescent="0.25">
      <c r="D79" s="21" t="s">
        <v>316</v>
      </c>
      <c r="E79" s="21" t="s">
        <v>169</v>
      </c>
      <c r="G79" s="9" t="s">
        <v>529</v>
      </c>
      <c r="H79" s="83">
        <v>57575.974500000011</v>
      </c>
      <c r="I79" s="116">
        <v>57575.974500000011</v>
      </c>
      <c r="J79" s="4" t="s">
        <v>566</v>
      </c>
      <c r="K79" s="4" t="s">
        <v>554</v>
      </c>
    </row>
    <row r="80" spans="1:25" s="21" customFormat="1" x14ac:dyDescent="0.25">
      <c r="G80" s="9"/>
      <c r="H80" s="9"/>
      <c r="I80" s="9"/>
      <c r="J80" s="9"/>
      <c r="K80" s="9"/>
    </row>
    <row r="81" spans="1:25" x14ac:dyDescent="0.25">
      <c r="B81" s="4" t="s">
        <v>556</v>
      </c>
    </row>
    <row r="83" spans="1:25" ht="13.8" x14ac:dyDescent="0.3">
      <c r="A83" s="8" t="s">
        <v>519</v>
      </c>
      <c r="B83" s="8"/>
      <c r="C83" s="8"/>
      <c r="D83" s="8"/>
      <c r="E83" s="8"/>
      <c r="F83" s="8"/>
      <c r="G83" s="8"/>
      <c r="H83" s="8"/>
      <c r="I83" s="8"/>
      <c r="J83" s="16"/>
      <c r="K83" s="8"/>
      <c r="L83" s="8"/>
      <c r="M83" s="8"/>
      <c r="N83" s="8"/>
      <c r="O83" s="8"/>
      <c r="P83" s="8"/>
      <c r="Q83" s="8"/>
      <c r="R83" s="8"/>
      <c r="S83" s="8"/>
      <c r="T83" s="8"/>
      <c r="U83" s="8"/>
      <c r="V83" s="8"/>
      <c r="W83" s="8"/>
      <c r="X83" s="8"/>
      <c r="Y83" s="8"/>
    </row>
    <row r="84" spans="1:25" x14ac:dyDescent="0.25">
      <c r="J84" s="17"/>
    </row>
    <row r="85" spans="1:25" ht="15" x14ac:dyDescent="0.35">
      <c r="A85" s="1" t="s">
        <v>546</v>
      </c>
      <c r="J85" s="17"/>
    </row>
    <row r="86" spans="1:25" x14ac:dyDescent="0.25">
      <c r="B86" s="4"/>
      <c r="H86" s="9" t="s">
        <v>547</v>
      </c>
      <c r="I86" s="9" t="s">
        <v>547</v>
      </c>
      <c r="J86" s="17"/>
    </row>
    <row r="87" spans="1:25" x14ac:dyDescent="0.25">
      <c r="D87" s="9" t="s">
        <v>149</v>
      </c>
      <c r="E87" s="9" t="s">
        <v>150</v>
      </c>
      <c r="G87" s="9" t="s">
        <v>151</v>
      </c>
      <c r="H87" s="49" t="s">
        <v>548</v>
      </c>
      <c r="I87" s="49" t="s">
        <v>549</v>
      </c>
      <c r="J87" s="19"/>
    </row>
    <row r="88" spans="1:25" x14ac:dyDescent="0.25">
      <c r="D88" s="9" t="s">
        <v>272</v>
      </c>
      <c r="E88" s="9" t="s">
        <v>231</v>
      </c>
      <c r="G88" s="9" t="s">
        <v>210</v>
      </c>
      <c r="H88" s="20"/>
      <c r="I88" s="20"/>
      <c r="J88" s="27"/>
    </row>
    <row r="89" spans="1:25" x14ac:dyDescent="0.25">
      <c r="D89" s="9" t="s">
        <v>274</v>
      </c>
      <c r="E89" s="9" t="s">
        <v>157</v>
      </c>
      <c r="G89" s="9" t="s">
        <v>210</v>
      </c>
      <c r="H89" s="20"/>
      <c r="I89" s="20"/>
      <c r="J89" s="27"/>
    </row>
    <row r="90" spans="1:25" x14ac:dyDescent="0.25">
      <c r="D90" s="9" t="s">
        <v>275</v>
      </c>
      <c r="E90" s="9" t="s">
        <v>235</v>
      </c>
      <c r="G90" s="9" t="s">
        <v>210</v>
      </c>
      <c r="H90" s="20"/>
      <c r="I90" s="20"/>
      <c r="J90" s="27"/>
    </row>
    <row r="91" spans="1:25" x14ac:dyDescent="0.25">
      <c r="D91" s="9" t="s">
        <v>276</v>
      </c>
      <c r="E91" s="9" t="s">
        <v>237</v>
      </c>
      <c r="G91" s="9" t="s">
        <v>210</v>
      </c>
      <c r="H91" s="20"/>
      <c r="I91" s="20"/>
      <c r="J91" s="27"/>
    </row>
    <row r="92" spans="1:25" x14ac:dyDescent="0.25">
      <c r="D92" s="9" t="s">
        <v>277</v>
      </c>
      <c r="E92" s="9" t="s">
        <v>186</v>
      </c>
      <c r="G92" s="9" t="s">
        <v>210</v>
      </c>
      <c r="H92" s="20"/>
      <c r="I92" s="20"/>
      <c r="J92" s="27"/>
    </row>
    <row r="93" spans="1:25" x14ac:dyDescent="0.25">
      <c r="D93" s="9" t="s">
        <v>278</v>
      </c>
      <c r="E93" s="9" t="s">
        <v>239</v>
      </c>
      <c r="G93" s="9" t="s">
        <v>210</v>
      </c>
      <c r="H93" s="20"/>
      <c r="I93" s="20"/>
      <c r="J93" s="27"/>
    </row>
    <row r="94" spans="1:25" x14ac:dyDescent="0.25">
      <c r="D94" s="9" t="s">
        <v>279</v>
      </c>
      <c r="E94" s="9" t="s">
        <v>165</v>
      </c>
      <c r="G94" s="9" t="s">
        <v>210</v>
      </c>
      <c r="H94" s="20"/>
      <c r="I94" s="20"/>
      <c r="J94" s="27"/>
    </row>
    <row r="95" spans="1:25" x14ac:dyDescent="0.25">
      <c r="D95" s="9" t="s">
        <v>280</v>
      </c>
      <c r="E95" s="9" t="s">
        <v>241</v>
      </c>
      <c r="G95" s="9" t="s">
        <v>210</v>
      </c>
      <c r="H95" s="116">
        <v>547286.42559310491</v>
      </c>
      <c r="I95" s="116">
        <v>547286.42559310491</v>
      </c>
      <c r="J95" s="27"/>
      <c r="K95" s="4" t="s">
        <v>616</v>
      </c>
    </row>
    <row r="96" spans="1:25" x14ac:dyDescent="0.25">
      <c r="D96" s="9" t="s">
        <v>204</v>
      </c>
      <c r="E96" s="9" t="s">
        <v>205</v>
      </c>
      <c r="G96" s="9" t="s">
        <v>210</v>
      </c>
      <c r="H96" s="116">
        <v>95069.34</v>
      </c>
      <c r="I96" s="116">
        <v>48014.818181818184</v>
      </c>
      <c r="J96" s="27"/>
      <c r="K96" s="4" t="s">
        <v>564</v>
      </c>
    </row>
    <row r="97" spans="1:25" x14ac:dyDescent="0.25">
      <c r="D97" s="9" t="s">
        <v>281</v>
      </c>
      <c r="E97" s="21" t="s">
        <v>244</v>
      </c>
      <c r="F97" s="21"/>
      <c r="G97" s="9" t="s">
        <v>210</v>
      </c>
      <c r="H97" s="116"/>
      <c r="I97" s="116"/>
      <c r="J97" s="27"/>
      <c r="K97" s="4"/>
    </row>
    <row r="98" spans="1:25" x14ac:dyDescent="0.25">
      <c r="D98" s="9" t="s">
        <v>282</v>
      </c>
      <c r="E98" s="21" t="s">
        <v>246</v>
      </c>
      <c r="F98" s="21"/>
      <c r="G98" s="9" t="s">
        <v>210</v>
      </c>
      <c r="H98" s="116"/>
      <c r="I98" s="116"/>
      <c r="J98" s="27"/>
      <c r="K98" s="4"/>
    </row>
    <row r="99" spans="1:25" x14ac:dyDescent="0.25">
      <c r="D99" s="9" t="s">
        <v>283</v>
      </c>
      <c r="E99" s="9" t="s">
        <v>198</v>
      </c>
      <c r="G99" s="9" t="s">
        <v>210</v>
      </c>
      <c r="H99" s="116"/>
      <c r="I99" s="116"/>
      <c r="J99" s="27"/>
      <c r="K99" s="4"/>
    </row>
    <row r="100" spans="1:25" x14ac:dyDescent="0.25">
      <c r="D100" s="9" t="s">
        <v>284</v>
      </c>
      <c r="E100" s="9" t="s">
        <v>167</v>
      </c>
      <c r="G100" s="9" t="s">
        <v>210</v>
      </c>
      <c r="H100" s="116"/>
      <c r="I100" s="116"/>
      <c r="J100" s="27"/>
      <c r="K100" s="4"/>
    </row>
    <row r="101" spans="1:25" x14ac:dyDescent="0.25">
      <c r="D101" s="9" t="s">
        <v>285</v>
      </c>
      <c r="E101" s="9" t="s">
        <v>249</v>
      </c>
      <c r="G101" s="9" t="s">
        <v>210</v>
      </c>
      <c r="H101" s="116"/>
      <c r="I101" s="116"/>
      <c r="J101" s="27"/>
      <c r="K101" s="4"/>
    </row>
    <row r="102" spans="1:25" x14ac:dyDescent="0.25">
      <c r="D102" s="9" t="s">
        <v>286</v>
      </c>
      <c r="E102" s="9" t="s">
        <v>190</v>
      </c>
      <c r="G102" s="9" t="s">
        <v>210</v>
      </c>
      <c r="H102" s="116"/>
      <c r="I102" s="116"/>
      <c r="J102" s="27"/>
      <c r="K102" s="4"/>
    </row>
    <row r="103" spans="1:25" x14ac:dyDescent="0.25">
      <c r="D103" s="9" t="s">
        <v>287</v>
      </c>
      <c r="E103" s="9" t="s">
        <v>252</v>
      </c>
      <c r="G103" s="9" t="s">
        <v>210</v>
      </c>
      <c r="H103" s="116">
        <v>324.59999999999997</v>
      </c>
      <c r="I103" s="117">
        <v>249.6</v>
      </c>
      <c r="J103" s="27"/>
      <c r="K103" s="4" t="s">
        <v>562</v>
      </c>
    </row>
    <row r="104" spans="1:25" x14ac:dyDescent="0.25">
      <c r="D104" s="9" t="s">
        <v>207</v>
      </c>
      <c r="E104" s="9" t="s">
        <v>169</v>
      </c>
      <c r="G104" s="9" t="s">
        <v>210</v>
      </c>
      <c r="H104" s="116"/>
      <c r="I104" s="116"/>
      <c r="J104" s="27"/>
      <c r="K104" s="4"/>
    </row>
    <row r="105" spans="1:25" x14ac:dyDescent="0.25">
      <c r="D105" s="9" t="s">
        <v>208</v>
      </c>
      <c r="E105" s="9" t="s">
        <v>171</v>
      </c>
      <c r="G105" s="9" t="s">
        <v>210</v>
      </c>
      <c r="H105" s="116">
        <v>13</v>
      </c>
      <c r="I105" s="116">
        <v>10.875</v>
      </c>
      <c r="J105" s="27"/>
      <c r="K105" s="4" t="s">
        <v>567</v>
      </c>
    </row>
    <row r="106" spans="1:25" customFormat="1" x14ac:dyDescent="0.25">
      <c r="A106" s="9"/>
      <c r="B106" s="9"/>
      <c r="C106" s="9"/>
      <c r="D106" s="9"/>
      <c r="E106" s="9"/>
      <c r="F106" s="9"/>
      <c r="G106" s="9"/>
      <c r="H106" s="43"/>
      <c r="I106" s="43"/>
      <c r="J106" s="9"/>
      <c r="K106" s="4"/>
      <c r="L106" s="9"/>
      <c r="M106" s="9"/>
      <c r="N106" s="9"/>
      <c r="O106" s="9"/>
      <c r="P106" s="9"/>
      <c r="Q106" s="9"/>
      <c r="R106" s="9"/>
      <c r="S106" s="9"/>
      <c r="T106" s="9"/>
      <c r="U106" s="9"/>
      <c r="V106" s="9"/>
      <c r="W106" s="9"/>
      <c r="X106" s="9"/>
      <c r="Y106" s="9"/>
    </row>
    <row r="107" spans="1:25" ht="15" x14ac:dyDescent="0.35">
      <c r="A107" s="1" t="s">
        <v>552</v>
      </c>
      <c r="H107" s="43"/>
      <c r="I107" s="43"/>
      <c r="J107" s="27"/>
      <c r="K107" s="4"/>
    </row>
    <row r="108" spans="1:25" x14ac:dyDescent="0.25">
      <c r="D108" s="9" t="s">
        <v>317</v>
      </c>
      <c r="E108" s="9" t="s">
        <v>169</v>
      </c>
      <c r="G108" s="9" t="s">
        <v>210</v>
      </c>
      <c r="H108" s="116">
        <v>98</v>
      </c>
      <c r="I108" s="116">
        <v>66.25</v>
      </c>
      <c r="J108" s="27"/>
      <c r="K108" s="4" t="s">
        <v>568</v>
      </c>
    </row>
    <row r="109" spans="1:25" x14ac:dyDescent="0.25">
      <c r="D109" s="9" t="s">
        <v>318</v>
      </c>
      <c r="E109" s="9" t="s">
        <v>169</v>
      </c>
      <c r="G109" s="9" t="s">
        <v>210</v>
      </c>
      <c r="H109" s="116">
        <v>730</v>
      </c>
      <c r="I109" s="116">
        <v>569.99999999999989</v>
      </c>
      <c r="J109" s="27"/>
      <c r="K109" s="4" t="s">
        <v>568</v>
      </c>
    </row>
    <row r="110" spans="1:25" x14ac:dyDescent="0.25">
      <c r="D110" s="9" t="s">
        <v>319</v>
      </c>
      <c r="E110" s="9" t="s">
        <v>169</v>
      </c>
      <c r="G110" s="9" t="s">
        <v>210</v>
      </c>
      <c r="H110" s="116">
        <v>54</v>
      </c>
      <c r="I110" s="116">
        <v>53.750000000000007</v>
      </c>
      <c r="J110" s="27"/>
      <c r="K110" s="4" t="s">
        <v>568</v>
      </c>
    </row>
    <row r="112" spans="1:25" x14ac:dyDescent="0.25">
      <c r="B112" s="4" t="s">
        <v>556</v>
      </c>
      <c r="H112" s="21"/>
      <c r="I112" s="21"/>
      <c r="J112" s="21"/>
    </row>
    <row r="114" spans="1:25" ht="13.8" x14ac:dyDescent="0.3">
      <c r="A114" s="8" t="s">
        <v>211</v>
      </c>
      <c r="B114" s="8"/>
      <c r="C114" s="8"/>
      <c r="D114" s="8"/>
      <c r="E114" s="8"/>
      <c r="F114" s="8"/>
      <c r="G114" s="8"/>
      <c r="H114" s="8"/>
      <c r="I114" s="8"/>
      <c r="J114" s="16"/>
      <c r="K114" s="8"/>
      <c r="L114" s="8"/>
      <c r="M114" s="8"/>
      <c r="N114" s="8"/>
      <c r="O114" s="8"/>
      <c r="P114" s="8"/>
      <c r="Q114" s="8"/>
      <c r="R114" s="8"/>
      <c r="S114" s="8"/>
      <c r="T114" s="8"/>
      <c r="U114" s="8"/>
      <c r="V114" s="8"/>
      <c r="W114" s="8"/>
      <c r="X114" s="8"/>
      <c r="Y114" s="8"/>
    </row>
    <row r="115" spans="1:25" x14ac:dyDescent="0.25">
      <c r="J115" s="17"/>
    </row>
    <row r="116" spans="1:25" ht="15" x14ac:dyDescent="0.35">
      <c r="A116" s="1" t="s">
        <v>546</v>
      </c>
      <c r="J116" s="17"/>
    </row>
    <row r="117" spans="1:25" x14ac:dyDescent="0.25">
      <c r="B117" s="4"/>
      <c r="H117" s="9" t="s">
        <v>547</v>
      </c>
      <c r="I117" s="9" t="s">
        <v>547</v>
      </c>
      <c r="J117" s="17"/>
    </row>
    <row r="118" spans="1:25" x14ac:dyDescent="0.25">
      <c r="D118" s="9" t="s">
        <v>149</v>
      </c>
      <c r="E118" s="9" t="s">
        <v>150</v>
      </c>
      <c r="G118" s="9" t="s">
        <v>151</v>
      </c>
      <c r="H118" s="49" t="s">
        <v>548</v>
      </c>
      <c r="I118" s="49" t="s">
        <v>549</v>
      </c>
      <c r="J118" s="19"/>
    </row>
    <row r="119" spans="1:25" x14ac:dyDescent="0.25">
      <c r="D119" s="9" t="s">
        <v>288</v>
      </c>
      <c r="E119" s="9" t="s">
        <v>231</v>
      </c>
      <c r="G119" s="9" t="s">
        <v>217</v>
      </c>
      <c r="H119" s="26"/>
      <c r="I119" s="20"/>
      <c r="J119" s="27"/>
    </row>
    <row r="120" spans="1:25" x14ac:dyDescent="0.25">
      <c r="D120" s="9" t="s">
        <v>290</v>
      </c>
      <c r="E120" s="9" t="s">
        <v>157</v>
      </c>
      <c r="G120" s="9" t="s">
        <v>217</v>
      </c>
      <c r="H120" s="26"/>
      <c r="I120" s="20"/>
      <c r="J120" s="27"/>
    </row>
    <row r="121" spans="1:25" x14ac:dyDescent="0.25">
      <c r="D121" s="9" t="s">
        <v>291</v>
      </c>
      <c r="E121" s="9" t="s">
        <v>235</v>
      </c>
      <c r="G121" s="9" t="s">
        <v>217</v>
      </c>
      <c r="H121" s="26"/>
      <c r="I121" s="20"/>
      <c r="J121" s="27"/>
    </row>
    <row r="122" spans="1:25" x14ac:dyDescent="0.25">
      <c r="D122" s="9" t="s">
        <v>292</v>
      </c>
      <c r="E122" s="9" t="s">
        <v>237</v>
      </c>
      <c r="G122" s="9" t="s">
        <v>217</v>
      </c>
      <c r="H122" s="26"/>
      <c r="I122" s="20"/>
      <c r="J122" s="27"/>
    </row>
    <row r="123" spans="1:25" x14ac:dyDescent="0.25">
      <c r="D123" s="9" t="s">
        <v>212</v>
      </c>
      <c r="E123" s="9" t="s">
        <v>186</v>
      </c>
      <c r="G123" s="9" t="s">
        <v>217</v>
      </c>
      <c r="H123" s="26"/>
      <c r="I123" s="20"/>
      <c r="J123" s="27"/>
    </row>
    <row r="124" spans="1:25" x14ac:dyDescent="0.25">
      <c r="D124" s="9" t="s">
        <v>293</v>
      </c>
      <c r="E124" s="9" t="s">
        <v>239</v>
      </c>
      <c r="G124" s="9" t="s">
        <v>217</v>
      </c>
      <c r="H124" s="26"/>
      <c r="I124" s="20"/>
      <c r="J124" s="27"/>
    </row>
    <row r="125" spans="1:25" x14ac:dyDescent="0.25">
      <c r="D125" s="9" t="s">
        <v>214</v>
      </c>
      <c r="E125" s="9" t="s">
        <v>165</v>
      </c>
      <c r="G125" s="9" t="s">
        <v>217</v>
      </c>
      <c r="H125" s="83">
        <v>327.59999999999997</v>
      </c>
      <c r="I125" s="116">
        <v>229.5</v>
      </c>
      <c r="J125" s="27"/>
      <c r="K125" s="4" t="s">
        <v>618</v>
      </c>
    </row>
    <row r="126" spans="1:25" x14ac:dyDescent="0.25">
      <c r="D126" s="9" t="s">
        <v>294</v>
      </c>
      <c r="E126" s="9" t="s">
        <v>241</v>
      </c>
      <c r="G126" s="9" t="s">
        <v>217</v>
      </c>
      <c r="H126" s="83">
        <v>1340</v>
      </c>
      <c r="I126" s="116">
        <v>1339.5604395604398</v>
      </c>
      <c r="J126" s="27"/>
      <c r="K126" s="4" t="s">
        <v>616</v>
      </c>
    </row>
    <row r="127" spans="1:25" x14ac:dyDescent="0.25">
      <c r="D127" s="9" t="s">
        <v>295</v>
      </c>
      <c r="E127" s="9" t="s">
        <v>205</v>
      </c>
      <c r="G127" s="9" t="s">
        <v>217</v>
      </c>
      <c r="H127" s="83">
        <v>125.99999999999999</v>
      </c>
      <c r="I127" s="116">
        <v>62.999999999999993</v>
      </c>
      <c r="J127" s="27"/>
      <c r="K127" s="4" t="s">
        <v>564</v>
      </c>
    </row>
    <row r="128" spans="1:25" x14ac:dyDescent="0.25">
      <c r="D128" s="9" t="s">
        <v>296</v>
      </c>
      <c r="E128" s="9" t="s">
        <v>297</v>
      </c>
      <c r="G128" s="9" t="s">
        <v>217</v>
      </c>
      <c r="H128" s="83"/>
      <c r="I128" s="116"/>
      <c r="J128" s="27"/>
      <c r="K128" s="4"/>
    </row>
    <row r="129" spans="1:25" x14ac:dyDescent="0.25">
      <c r="D129" s="9" t="s">
        <v>298</v>
      </c>
      <c r="E129" s="9" t="s">
        <v>198</v>
      </c>
      <c r="G129" s="9" t="s">
        <v>217</v>
      </c>
      <c r="H129" s="83"/>
      <c r="I129" s="116"/>
      <c r="J129" s="27"/>
      <c r="K129" s="4"/>
    </row>
    <row r="130" spans="1:25" x14ac:dyDescent="0.25">
      <c r="D130" s="9" t="s">
        <v>299</v>
      </c>
      <c r="E130" s="9" t="s">
        <v>167</v>
      </c>
      <c r="G130" s="9" t="s">
        <v>217</v>
      </c>
      <c r="H130" s="83"/>
      <c r="I130" s="116"/>
      <c r="J130" s="27"/>
      <c r="K130" s="4"/>
    </row>
    <row r="131" spans="1:25" x14ac:dyDescent="0.25">
      <c r="D131" s="9" t="s">
        <v>300</v>
      </c>
      <c r="E131" s="9" t="s">
        <v>249</v>
      </c>
      <c r="G131" s="9" t="s">
        <v>217</v>
      </c>
      <c r="H131" s="83"/>
      <c r="I131" s="116"/>
      <c r="J131" s="27"/>
      <c r="K131" s="4"/>
    </row>
    <row r="132" spans="1:25" x14ac:dyDescent="0.25">
      <c r="D132" s="9" t="s">
        <v>301</v>
      </c>
      <c r="E132" s="9" t="s">
        <v>190</v>
      </c>
      <c r="G132" s="9" t="s">
        <v>217</v>
      </c>
      <c r="H132" s="83">
        <v>320.10780749999998</v>
      </c>
      <c r="I132" s="116">
        <v>434.72201760000007</v>
      </c>
      <c r="J132" s="27"/>
      <c r="K132" s="4" t="s">
        <v>558</v>
      </c>
    </row>
    <row r="133" spans="1:25" x14ac:dyDescent="0.25">
      <c r="D133" s="9" t="s">
        <v>302</v>
      </c>
      <c r="E133" s="9" t="s">
        <v>252</v>
      </c>
      <c r="G133" s="9" t="s">
        <v>217</v>
      </c>
      <c r="H133" s="83">
        <v>519.77521066666668</v>
      </c>
      <c r="I133" s="116">
        <v>375.6078296</v>
      </c>
      <c r="J133" s="27"/>
      <c r="K133" s="4" t="s">
        <v>562</v>
      </c>
    </row>
    <row r="134" spans="1:25" x14ac:dyDescent="0.25">
      <c r="D134" s="9" t="s">
        <v>215</v>
      </c>
      <c r="E134" s="9" t="s">
        <v>169</v>
      </c>
      <c r="G134" s="9" t="s">
        <v>217</v>
      </c>
      <c r="H134" s="83">
        <v>162.88484347826088</v>
      </c>
      <c r="I134" s="116">
        <v>91.807820869565219</v>
      </c>
      <c r="J134" s="27"/>
      <c r="K134" s="4" t="s">
        <v>554</v>
      </c>
    </row>
    <row r="135" spans="1:25" x14ac:dyDescent="0.25">
      <c r="D135" s="9" t="s">
        <v>216</v>
      </c>
      <c r="E135" s="9" t="s">
        <v>171</v>
      </c>
      <c r="G135" s="9" t="s">
        <v>217</v>
      </c>
      <c r="H135" s="83">
        <v>98.96900029998497</v>
      </c>
      <c r="I135" s="116">
        <v>99.945464090718175</v>
      </c>
      <c r="J135" s="27"/>
      <c r="K135" s="4" t="s">
        <v>559</v>
      </c>
    </row>
    <row r="137" spans="1:25" x14ac:dyDescent="0.25">
      <c r="B137" s="4" t="s">
        <v>556</v>
      </c>
    </row>
    <row r="139" spans="1:25" ht="13.8" x14ac:dyDescent="0.3">
      <c r="A139" s="10" t="s">
        <v>22</v>
      </c>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sheetPr>
  <dimension ref="A1:X22"/>
  <sheetViews>
    <sheetView zoomScaleNormal="100" workbookViewId="0">
      <pane ySplit="1" topLeftCell="A2" activePane="bottomLeft" state="frozen"/>
      <selection pane="bottomLeft" activeCell="A2" sqref="A2"/>
    </sheetView>
  </sheetViews>
  <sheetFormatPr defaultRowHeight="13.2" x14ac:dyDescent="0.25"/>
  <cols>
    <col min="1" max="2" width="2.77734375" customWidth="1"/>
    <col min="4" max="4" width="15.88671875" bestFit="1" customWidth="1"/>
    <col min="5" max="5" width="33.109375" customWidth="1"/>
    <col min="6" max="6" width="2.77734375" style="9" customWidth="1"/>
    <col min="7" max="7" width="19.44140625" bestFit="1" customWidth="1"/>
    <col min="8" max="8" width="17.5546875" bestFit="1" customWidth="1"/>
    <col min="9" max="9" width="21.109375" customWidth="1"/>
  </cols>
  <sheetData>
    <row r="1" spans="1:24" ht="30" x14ac:dyDescent="0.5">
      <c r="A1" s="3" t="s">
        <v>569</v>
      </c>
      <c r="B1" s="3"/>
      <c r="C1" s="3"/>
      <c r="D1" s="3"/>
      <c r="E1" s="3"/>
      <c r="F1" s="3"/>
      <c r="G1" s="3"/>
      <c r="H1" s="3"/>
      <c r="I1" s="3"/>
      <c r="J1" s="3"/>
      <c r="K1" s="3"/>
      <c r="L1" s="3"/>
      <c r="M1" s="3"/>
      <c r="N1" s="3"/>
      <c r="O1" s="3"/>
      <c r="P1" s="3"/>
      <c r="Q1" s="3"/>
      <c r="R1" s="3"/>
      <c r="S1" s="3"/>
      <c r="T1" s="3"/>
      <c r="U1" s="3"/>
      <c r="V1" s="3"/>
      <c r="W1" s="3"/>
      <c r="X1" s="3"/>
    </row>
    <row r="3" spans="1:24" x14ac:dyDescent="0.25">
      <c r="A3" s="9"/>
      <c r="B3" s="4" t="s">
        <v>570</v>
      </c>
      <c r="C3" s="9"/>
      <c r="D3" s="9"/>
      <c r="E3" s="9"/>
      <c r="G3" s="9"/>
      <c r="H3" s="9"/>
      <c r="I3" s="9"/>
      <c r="J3" s="9"/>
      <c r="K3" s="9"/>
      <c r="L3" s="9"/>
      <c r="M3" s="9"/>
      <c r="N3" s="9"/>
      <c r="O3" s="9"/>
      <c r="P3" s="9"/>
      <c r="Q3" s="9"/>
      <c r="R3" s="9"/>
      <c r="S3" s="9"/>
      <c r="T3" s="9"/>
      <c r="U3" s="9"/>
      <c r="V3" s="9"/>
      <c r="W3" s="9"/>
      <c r="X3" s="9"/>
    </row>
    <row r="4" spans="1:24" s="9" customFormat="1" x14ac:dyDescent="0.25">
      <c r="B4" s="4"/>
    </row>
    <row r="5" spans="1:24" ht="13.8" x14ac:dyDescent="0.3">
      <c r="A5" s="8" t="s">
        <v>147</v>
      </c>
      <c r="B5" s="8"/>
      <c r="C5" s="8"/>
      <c r="D5" s="8"/>
      <c r="E5" s="8"/>
      <c r="F5" s="8"/>
      <c r="G5" s="8"/>
      <c r="H5" s="8"/>
      <c r="I5" s="8"/>
      <c r="J5" s="8"/>
      <c r="K5" s="8"/>
      <c r="L5" s="8"/>
      <c r="M5" s="8"/>
      <c r="N5" s="8"/>
      <c r="O5" s="8"/>
      <c r="P5" s="8"/>
      <c r="Q5" s="8"/>
      <c r="R5" s="8"/>
      <c r="S5" s="8"/>
      <c r="T5" s="8"/>
      <c r="U5" s="8"/>
      <c r="V5" s="8"/>
      <c r="W5" s="8"/>
      <c r="X5" s="8"/>
    </row>
    <row r="6" spans="1:24" x14ac:dyDescent="0.25">
      <c r="A6" s="9"/>
      <c r="B6" s="9"/>
      <c r="C6" s="9"/>
      <c r="D6" s="9"/>
      <c r="E6" s="9"/>
      <c r="G6" s="9"/>
      <c r="H6" s="9"/>
      <c r="I6" s="9"/>
      <c r="J6" s="9"/>
      <c r="K6" s="9"/>
      <c r="L6" s="9"/>
      <c r="M6" s="9"/>
      <c r="N6" s="9"/>
      <c r="O6" s="9"/>
      <c r="P6" s="9"/>
      <c r="Q6" s="9"/>
      <c r="R6" s="9"/>
      <c r="S6" s="9"/>
      <c r="T6" s="9"/>
      <c r="U6" s="9"/>
      <c r="V6" s="9"/>
      <c r="W6" s="9"/>
      <c r="X6" s="9"/>
    </row>
    <row r="7" spans="1:24" ht="26.4" x14ac:dyDescent="0.25">
      <c r="A7" s="9"/>
      <c r="B7" s="9"/>
      <c r="C7" s="9" t="s">
        <v>150</v>
      </c>
      <c r="D7" s="9" t="s">
        <v>149</v>
      </c>
      <c r="E7" s="9" t="s">
        <v>224</v>
      </c>
      <c r="G7" s="9" t="s">
        <v>514</v>
      </c>
      <c r="H7" s="9" t="s">
        <v>515</v>
      </c>
      <c r="I7" s="18" t="s">
        <v>571</v>
      </c>
      <c r="J7" s="9"/>
      <c r="K7" s="9"/>
      <c r="L7" s="9"/>
      <c r="M7" s="9"/>
      <c r="N7" s="9"/>
      <c r="O7" s="9"/>
      <c r="P7" s="9"/>
      <c r="Q7" s="9"/>
      <c r="R7" s="9"/>
      <c r="S7" s="9"/>
      <c r="T7" s="9"/>
      <c r="U7" s="9"/>
      <c r="V7" s="9"/>
      <c r="W7" s="9"/>
      <c r="X7" s="9"/>
    </row>
    <row r="8" spans="1:24" x14ac:dyDescent="0.25">
      <c r="A8" s="9"/>
      <c r="B8" s="9"/>
      <c r="C8" s="9" t="s">
        <v>167</v>
      </c>
      <c r="D8" s="21" t="s">
        <v>166</v>
      </c>
      <c r="E8" s="9" t="s">
        <v>206</v>
      </c>
      <c r="G8" s="47">
        <v>-1.2305200000000001</v>
      </c>
      <c r="H8" s="47">
        <v>0.74</v>
      </c>
      <c r="I8" s="122">
        <v>191.1</v>
      </c>
      <c r="J8" s="9"/>
      <c r="K8" s="9"/>
      <c r="L8" s="9"/>
      <c r="M8" s="9"/>
      <c r="N8" s="9"/>
      <c r="O8" s="9"/>
      <c r="P8" s="9"/>
      <c r="Q8" s="9"/>
      <c r="R8" s="9"/>
      <c r="S8" s="9"/>
      <c r="T8" s="9"/>
      <c r="U8" s="9"/>
      <c r="V8" s="9"/>
      <c r="W8" s="9"/>
      <c r="X8" s="9"/>
    </row>
    <row r="10" spans="1:24" x14ac:dyDescent="0.25">
      <c r="A10" s="9"/>
      <c r="B10" s="4" t="s">
        <v>572</v>
      </c>
      <c r="C10" s="9"/>
      <c r="D10" s="9"/>
      <c r="E10" s="9"/>
      <c r="G10" s="9"/>
      <c r="H10" s="9"/>
      <c r="I10" s="9"/>
      <c r="J10" s="9"/>
      <c r="K10" s="9"/>
      <c r="L10" s="9"/>
      <c r="M10" s="9"/>
      <c r="N10" s="9"/>
      <c r="O10" s="9"/>
      <c r="P10" s="9"/>
      <c r="Q10" s="9"/>
      <c r="R10" s="9"/>
      <c r="S10" s="9"/>
      <c r="T10" s="9"/>
      <c r="U10" s="9"/>
      <c r="V10" s="9"/>
      <c r="W10" s="9"/>
      <c r="X10" s="9"/>
    </row>
    <row r="11" spans="1:24" x14ac:dyDescent="0.25">
      <c r="A11" s="9"/>
      <c r="B11" s="4" t="s">
        <v>573</v>
      </c>
      <c r="C11" s="9"/>
      <c r="D11" s="9"/>
      <c r="E11" s="9"/>
      <c r="G11" s="9"/>
      <c r="H11" s="9"/>
      <c r="I11" s="9"/>
      <c r="J11" s="9"/>
      <c r="K11" s="9"/>
      <c r="L11" s="9"/>
      <c r="M11" s="9"/>
      <c r="N11" s="9"/>
      <c r="O11" s="9"/>
      <c r="P11" s="9"/>
      <c r="Q11" s="9"/>
      <c r="R11" s="9"/>
      <c r="S11" s="9"/>
      <c r="T11" s="9"/>
      <c r="U11" s="9"/>
      <c r="V11" s="9"/>
      <c r="W11" s="9"/>
      <c r="X11" s="9"/>
    </row>
    <row r="13" spans="1:24" ht="13.8" x14ac:dyDescent="0.3">
      <c r="A13" s="8" t="s">
        <v>196</v>
      </c>
      <c r="B13" s="8"/>
      <c r="C13" s="8"/>
      <c r="D13" s="8"/>
      <c r="E13" s="8"/>
      <c r="F13" s="8"/>
      <c r="G13" s="8"/>
      <c r="H13" s="8"/>
      <c r="I13" s="8"/>
      <c r="J13" s="8"/>
      <c r="K13" s="8"/>
      <c r="L13" s="8"/>
      <c r="M13" s="8"/>
      <c r="N13" s="8"/>
      <c r="O13" s="8"/>
      <c r="P13" s="8"/>
      <c r="Q13" s="8"/>
      <c r="R13" s="8"/>
      <c r="S13" s="8"/>
      <c r="T13" s="8"/>
      <c r="U13" s="8"/>
      <c r="V13" s="8"/>
      <c r="W13" s="8"/>
      <c r="X13" s="8"/>
    </row>
    <row r="15" spans="1:24" ht="26.4" x14ac:dyDescent="0.25">
      <c r="A15" s="9"/>
      <c r="B15" s="9"/>
      <c r="C15" s="9" t="s">
        <v>150</v>
      </c>
      <c r="D15" s="9" t="s">
        <v>149</v>
      </c>
      <c r="E15" s="9" t="s">
        <v>224</v>
      </c>
      <c r="G15" s="9" t="s">
        <v>514</v>
      </c>
      <c r="H15" s="9" t="s">
        <v>515</v>
      </c>
      <c r="I15" s="18" t="s">
        <v>571</v>
      </c>
      <c r="J15" s="9"/>
      <c r="K15" s="9"/>
      <c r="L15" s="9"/>
      <c r="M15" s="9"/>
      <c r="N15" s="9"/>
      <c r="O15" s="9"/>
      <c r="P15" s="9"/>
      <c r="Q15" s="9"/>
      <c r="R15" s="9"/>
      <c r="S15" s="9"/>
      <c r="T15" s="9"/>
      <c r="U15" s="9"/>
      <c r="V15" s="9"/>
      <c r="W15" s="9"/>
      <c r="X15" s="9"/>
    </row>
    <row r="16" spans="1:24" x14ac:dyDescent="0.25">
      <c r="A16" s="9"/>
      <c r="B16" s="9"/>
      <c r="C16" s="9" t="s">
        <v>167</v>
      </c>
      <c r="D16" s="21" t="s">
        <v>200</v>
      </c>
      <c r="E16" s="18" t="s">
        <v>264</v>
      </c>
      <c r="G16" s="47">
        <v>-19.024132999999999</v>
      </c>
      <c r="H16" s="47">
        <v>7.04</v>
      </c>
      <c r="I16" s="47">
        <v>8.4700000000000006</v>
      </c>
      <c r="J16" s="9"/>
      <c r="K16" s="9"/>
      <c r="L16" s="9"/>
      <c r="M16" s="9"/>
      <c r="N16" s="9"/>
      <c r="O16" s="9"/>
      <c r="P16" s="9"/>
      <c r="Q16" s="9"/>
      <c r="R16" s="9"/>
      <c r="S16" s="9"/>
      <c r="T16" s="9"/>
      <c r="U16" s="9"/>
      <c r="V16" s="9"/>
      <c r="W16" s="9"/>
      <c r="X16" s="9"/>
    </row>
    <row r="17" spans="1:24" x14ac:dyDescent="0.25">
      <c r="A17" s="9"/>
      <c r="B17" s="9"/>
      <c r="C17" s="9" t="s">
        <v>198</v>
      </c>
      <c r="D17" s="21" t="s">
        <v>197</v>
      </c>
      <c r="E17" s="18" t="s">
        <v>264</v>
      </c>
      <c r="G17" s="47">
        <v>-33.903727000000003</v>
      </c>
      <c r="H17" s="47">
        <v>28.08</v>
      </c>
      <c r="I17" s="47">
        <v>2.35</v>
      </c>
      <c r="J17" s="9"/>
      <c r="K17" s="9"/>
      <c r="L17" s="9"/>
      <c r="M17" s="9"/>
      <c r="N17" s="9"/>
      <c r="O17" s="9"/>
      <c r="P17" s="9"/>
      <c r="Q17" s="9"/>
      <c r="R17" s="9"/>
      <c r="S17" s="9"/>
      <c r="T17" s="9"/>
      <c r="U17" s="9"/>
      <c r="V17" s="9"/>
      <c r="W17" s="9"/>
      <c r="X17" s="9"/>
    </row>
    <row r="19" spans="1:24" x14ac:dyDescent="0.25">
      <c r="A19" s="9"/>
      <c r="B19" s="4" t="s">
        <v>572</v>
      </c>
      <c r="C19" s="9"/>
      <c r="D19" s="9"/>
      <c r="E19" s="9"/>
      <c r="G19" s="9"/>
      <c r="H19" s="9"/>
      <c r="I19" s="9"/>
      <c r="J19" s="9"/>
      <c r="K19" s="9"/>
      <c r="L19" s="9"/>
      <c r="M19" s="9"/>
      <c r="N19" s="9"/>
      <c r="O19" s="9"/>
      <c r="P19" s="9"/>
      <c r="Q19" s="9"/>
      <c r="R19" s="9"/>
      <c r="S19" s="9"/>
      <c r="T19" s="9"/>
      <c r="U19" s="9"/>
      <c r="V19" s="9"/>
      <c r="W19" s="9"/>
      <c r="X19" s="9"/>
    </row>
    <row r="20" spans="1:24" s="9" customFormat="1" x14ac:dyDescent="0.25">
      <c r="B20" s="4" t="s">
        <v>574</v>
      </c>
    </row>
    <row r="22" spans="1:24" ht="13.8" x14ac:dyDescent="0.3">
      <c r="A22" s="10" t="s">
        <v>22</v>
      </c>
      <c r="B22" s="10"/>
      <c r="C22" s="10"/>
      <c r="D22" s="10"/>
      <c r="E22" s="10"/>
      <c r="F22" s="10"/>
      <c r="G22" s="10"/>
      <c r="H22" s="10"/>
      <c r="I22" s="10"/>
      <c r="J22" s="10"/>
      <c r="K22" s="10"/>
      <c r="L22" s="10"/>
      <c r="M22" s="10"/>
      <c r="N22" s="10"/>
      <c r="O22" s="10"/>
      <c r="P22" s="10"/>
      <c r="Q22" s="10"/>
      <c r="R22" s="10"/>
      <c r="S22" s="10"/>
      <c r="T22" s="10"/>
      <c r="U22" s="10"/>
      <c r="V22" s="10"/>
      <c r="W22" s="10"/>
      <c r="X22" s="10"/>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sheetPr>
  <dimension ref="A1:M445"/>
  <sheetViews>
    <sheetView workbookViewId="0"/>
  </sheetViews>
  <sheetFormatPr defaultRowHeight="13.2" x14ac:dyDescent="0.25"/>
  <cols>
    <col min="1" max="1" width="7.88671875" bestFit="1" customWidth="1"/>
    <col min="2" max="2" width="13.77734375" bestFit="1" customWidth="1"/>
    <col min="3" max="3" width="97" bestFit="1" customWidth="1"/>
    <col min="4" max="4" width="4.77734375" bestFit="1" customWidth="1"/>
    <col min="5" max="5" width="15.88671875" bestFit="1" customWidth="1"/>
    <col min="6" max="13" width="9.88671875" bestFit="1" customWidth="1"/>
  </cols>
  <sheetData>
    <row r="1" spans="1:13" x14ac:dyDescent="0.25">
      <c r="A1" s="9"/>
      <c r="B1" s="9"/>
      <c r="C1" s="9" t="s">
        <v>575</v>
      </c>
      <c r="D1" s="9"/>
      <c r="E1" s="9"/>
      <c r="F1" s="9"/>
      <c r="G1" s="9"/>
      <c r="H1" s="9"/>
      <c r="I1" s="9"/>
      <c r="J1" s="9"/>
      <c r="K1" s="9"/>
      <c r="L1" s="9"/>
      <c r="M1" s="9"/>
    </row>
    <row r="2" spans="1:13" x14ac:dyDescent="0.25">
      <c r="A2" s="9" t="s">
        <v>576</v>
      </c>
      <c r="B2" s="9" t="s">
        <v>577</v>
      </c>
      <c r="C2" s="9" t="s">
        <v>578</v>
      </c>
      <c r="D2" s="9" t="s">
        <v>224</v>
      </c>
      <c r="E2" s="9" t="s">
        <v>579</v>
      </c>
      <c r="F2" s="9" t="s">
        <v>375</v>
      </c>
      <c r="G2" s="9" t="s">
        <v>376</v>
      </c>
      <c r="H2" s="9" t="s">
        <v>377</v>
      </c>
      <c r="I2" s="9" t="s">
        <v>174</v>
      </c>
      <c r="J2" s="9" t="s">
        <v>175</v>
      </c>
      <c r="K2" s="9" t="s">
        <v>176</v>
      </c>
      <c r="L2" s="9" t="s">
        <v>177</v>
      </c>
      <c r="M2" s="9" t="s">
        <v>178</v>
      </c>
    </row>
    <row r="4" spans="1:13" x14ac:dyDescent="0.25">
      <c r="A4" s="9" t="s">
        <v>231</v>
      </c>
      <c r="B4" s="9" t="s">
        <v>580</v>
      </c>
      <c r="C4" s="9" t="s">
        <v>581</v>
      </c>
      <c r="D4" s="9" t="s">
        <v>582</v>
      </c>
      <c r="E4" s="9" t="s">
        <v>583</v>
      </c>
      <c r="F4" s="77">
        <v>1425.7950000000001</v>
      </c>
      <c r="G4" s="77">
        <v>1438.973</v>
      </c>
      <c r="H4" s="77">
        <v>1444.412</v>
      </c>
      <c r="I4" s="77">
        <v>1467.8409999999999</v>
      </c>
      <c r="J4" s="77">
        <v>1484.5640000000001</v>
      </c>
      <c r="K4" s="77">
        <v>1501.288</v>
      </c>
      <c r="L4" s="77">
        <v>1518.0119999999999</v>
      </c>
      <c r="M4" s="77">
        <v>1534.7360000000001</v>
      </c>
    </row>
    <row r="5" spans="1:13" x14ac:dyDescent="0.25">
      <c r="A5" s="9" t="s">
        <v>231</v>
      </c>
      <c r="B5" s="9" t="s">
        <v>584</v>
      </c>
      <c r="C5" s="9" t="s">
        <v>585</v>
      </c>
      <c r="D5" s="9" t="s">
        <v>582</v>
      </c>
      <c r="E5" s="9" t="s">
        <v>583</v>
      </c>
      <c r="F5" s="77">
        <v>74.400999999999996</v>
      </c>
      <c r="G5" s="77">
        <v>74.302000000000007</v>
      </c>
      <c r="H5" s="77">
        <v>81.713999999999999</v>
      </c>
      <c r="I5" s="77">
        <v>78.894999999999996</v>
      </c>
      <c r="J5" s="77">
        <v>78.602999999999994</v>
      </c>
      <c r="K5" s="77">
        <v>78.320999999999998</v>
      </c>
      <c r="L5" s="77">
        <v>78.046999999999997</v>
      </c>
      <c r="M5" s="77">
        <v>77.781000000000006</v>
      </c>
    </row>
    <row r="6" spans="1:13" x14ac:dyDescent="0.25">
      <c r="A6" s="9" t="s">
        <v>231</v>
      </c>
      <c r="B6" s="9" t="s">
        <v>586</v>
      </c>
      <c r="C6" s="9" t="s">
        <v>587</v>
      </c>
      <c r="D6" s="9">
        <v>0</v>
      </c>
      <c r="E6" s="9" t="s">
        <v>583</v>
      </c>
      <c r="F6" s="78">
        <v>1500.1959999999999</v>
      </c>
      <c r="G6" s="78">
        <v>1513.2750000000001</v>
      </c>
      <c r="H6" s="78">
        <v>1526.126</v>
      </c>
      <c r="I6" s="78">
        <v>1546.7360000000001</v>
      </c>
      <c r="J6" s="78">
        <v>1563.1669999999999</v>
      </c>
      <c r="K6" s="78">
        <v>1579.6089999999999</v>
      </c>
      <c r="L6" s="78">
        <v>1596.059</v>
      </c>
      <c r="M6" s="78">
        <v>1612.5170000000001</v>
      </c>
    </row>
    <row r="7" spans="1:13" x14ac:dyDescent="0.25">
      <c r="A7" s="9" t="s">
        <v>231</v>
      </c>
      <c r="B7" s="9" t="s">
        <v>588</v>
      </c>
      <c r="C7" s="9" t="s">
        <v>589</v>
      </c>
      <c r="D7" s="9">
        <v>0</v>
      </c>
      <c r="E7" s="9" t="s">
        <v>583</v>
      </c>
      <c r="F7" s="79">
        <v>3603.8069999999998</v>
      </c>
      <c r="G7" s="79">
        <v>3611.1130002804698</v>
      </c>
      <c r="H7" s="79">
        <v>3695.2620000000002</v>
      </c>
      <c r="I7" s="79">
        <v>3830.549</v>
      </c>
      <c r="J7" s="79">
        <v>3872.7689999999998</v>
      </c>
      <c r="K7" s="79">
        <v>3913.1239999999998</v>
      </c>
      <c r="L7" s="79">
        <v>3951.431</v>
      </c>
      <c r="M7" s="79">
        <v>3987.63</v>
      </c>
    </row>
    <row r="8" spans="1:13" x14ac:dyDescent="0.25">
      <c r="A8" s="9" t="s">
        <v>231</v>
      </c>
      <c r="B8" s="9" t="s">
        <v>590</v>
      </c>
      <c r="C8" s="9" t="s">
        <v>591</v>
      </c>
      <c r="D8" s="9">
        <v>0</v>
      </c>
      <c r="E8" s="9" t="s">
        <v>583</v>
      </c>
      <c r="F8" s="77">
        <v>0</v>
      </c>
      <c r="G8" s="77">
        <v>0</v>
      </c>
      <c r="H8" s="77">
        <v>0</v>
      </c>
      <c r="I8" s="77">
        <v>0</v>
      </c>
      <c r="J8" s="77">
        <v>0</v>
      </c>
      <c r="K8" s="77">
        <v>0</v>
      </c>
      <c r="L8" s="77">
        <v>0</v>
      </c>
      <c r="M8" s="77">
        <v>0</v>
      </c>
    </row>
    <row r="9" spans="1:13" x14ac:dyDescent="0.25">
      <c r="A9" s="9" t="s">
        <v>231</v>
      </c>
      <c r="B9" s="9" t="s">
        <v>592</v>
      </c>
      <c r="C9" s="9" t="s">
        <v>593</v>
      </c>
      <c r="D9" s="9">
        <v>0</v>
      </c>
      <c r="E9" s="9" t="s">
        <v>583</v>
      </c>
      <c r="F9" s="77">
        <v>0</v>
      </c>
      <c r="G9" s="77">
        <v>0</v>
      </c>
      <c r="H9" s="77">
        <v>0</v>
      </c>
      <c r="I9" s="77">
        <v>0</v>
      </c>
      <c r="J9" s="77">
        <v>0</v>
      </c>
      <c r="K9" s="77">
        <v>0</v>
      </c>
      <c r="L9" s="77">
        <v>0</v>
      </c>
      <c r="M9" s="77">
        <v>0</v>
      </c>
    </row>
    <row r="10" spans="1:13" x14ac:dyDescent="0.25">
      <c r="A10" s="9" t="s">
        <v>231</v>
      </c>
      <c r="B10" s="9" t="s">
        <v>594</v>
      </c>
      <c r="C10" s="9" t="s">
        <v>595</v>
      </c>
      <c r="D10" s="9" t="s">
        <v>582</v>
      </c>
      <c r="E10" s="9" t="s">
        <v>583</v>
      </c>
      <c r="F10" s="77">
        <v>0</v>
      </c>
      <c r="G10" s="77">
        <v>0</v>
      </c>
      <c r="H10" s="77">
        <v>0</v>
      </c>
      <c r="I10" s="77">
        <v>0</v>
      </c>
      <c r="J10" s="77">
        <v>0</v>
      </c>
      <c r="K10" s="77">
        <v>0</v>
      </c>
      <c r="L10" s="77">
        <v>0</v>
      </c>
      <c r="M10" s="77">
        <v>0</v>
      </c>
    </row>
    <row r="11" spans="1:13" x14ac:dyDescent="0.25">
      <c r="A11" s="9" t="s">
        <v>231</v>
      </c>
      <c r="B11" s="9" t="s">
        <v>596</v>
      </c>
      <c r="C11" s="9" t="s">
        <v>597</v>
      </c>
      <c r="D11" s="9">
        <v>0</v>
      </c>
      <c r="E11" s="9" t="s">
        <v>583</v>
      </c>
      <c r="F11" s="77"/>
      <c r="G11" s="77"/>
      <c r="H11" s="77"/>
      <c r="I11" s="77"/>
      <c r="J11" s="77"/>
      <c r="K11" s="77"/>
      <c r="L11" s="77"/>
      <c r="M11" s="77"/>
    </row>
    <row r="12" spans="1:13" x14ac:dyDescent="0.25">
      <c r="A12" s="9" t="s">
        <v>231</v>
      </c>
      <c r="B12" s="9" t="s">
        <v>598</v>
      </c>
      <c r="C12" s="9" t="s">
        <v>599</v>
      </c>
      <c r="D12" s="9">
        <v>0</v>
      </c>
      <c r="E12" s="9" t="s">
        <v>583</v>
      </c>
      <c r="F12" s="80"/>
      <c r="G12" s="80"/>
      <c r="H12" s="80"/>
      <c r="I12" s="80"/>
      <c r="J12" s="80"/>
      <c r="K12" s="80"/>
      <c r="L12" s="80"/>
      <c r="M12" s="80"/>
    </row>
    <row r="13" spans="1:13" x14ac:dyDescent="0.25">
      <c r="A13" s="9" t="s">
        <v>231</v>
      </c>
      <c r="B13" s="9" t="s">
        <v>600</v>
      </c>
      <c r="C13" s="9" t="s">
        <v>601</v>
      </c>
      <c r="D13" s="9" t="s">
        <v>602</v>
      </c>
      <c r="E13" s="9" t="s">
        <v>583</v>
      </c>
      <c r="F13" s="80">
        <v>0</v>
      </c>
      <c r="G13" s="80">
        <v>0</v>
      </c>
      <c r="H13" s="80">
        <v>0</v>
      </c>
      <c r="I13" s="80">
        <v>0</v>
      </c>
      <c r="J13" s="80">
        <v>0</v>
      </c>
      <c r="K13" s="80">
        <v>0</v>
      </c>
      <c r="L13" s="80">
        <v>0</v>
      </c>
      <c r="M13" s="80">
        <v>0</v>
      </c>
    </row>
    <row r="14" spans="1:13" x14ac:dyDescent="0.25">
      <c r="A14" s="9" t="s">
        <v>231</v>
      </c>
      <c r="B14" s="9" t="s">
        <v>603</v>
      </c>
      <c r="C14" s="9" t="s">
        <v>604</v>
      </c>
      <c r="D14" s="9" t="s">
        <v>504</v>
      </c>
      <c r="E14" s="9" t="s">
        <v>583</v>
      </c>
      <c r="F14" s="78"/>
      <c r="G14" s="78"/>
      <c r="H14" s="78"/>
      <c r="I14" s="78"/>
      <c r="J14" s="78"/>
      <c r="K14" s="78"/>
      <c r="L14" s="78"/>
      <c r="M14" s="78"/>
    </row>
    <row r="15" spans="1:13" x14ac:dyDescent="0.25">
      <c r="A15" s="9" t="s">
        <v>231</v>
      </c>
      <c r="B15" s="9" t="s">
        <v>605</v>
      </c>
      <c r="C15" s="9" t="s">
        <v>606</v>
      </c>
      <c r="D15" s="9" t="s">
        <v>504</v>
      </c>
      <c r="E15" s="9" t="s">
        <v>583</v>
      </c>
      <c r="F15" s="79">
        <v>16682.8</v>
      </c>
      <c r="G15" s="79">
        <v>16728.8</v>
      </c>
      <c r="H15" s="79">
        <v>16769.8</v>
      </c>
      <c r="I15" s="79">
        <v>16818.8</v>
      </c>
      <c r="J15" s="79">
        <v>16867.8</v>
      </c>
      <c r="K15" s="79">
        <v>16916.8</v>
      </c>
      <c r="L15" s="79">
        <v>16978.8</v>
      </c>
      <c r="M15" s="79">
        <v>17028</v>
      </c>
    </row>
    <row r="16" spans="1:13" x14ac:dyDescent="0.25">
      <c r="A16" s="9" t="s">
        <v>231</v>
      </c>
      <c r="B16" s="9" t="s">
        <v>607</v>
      </c>
      <c r="C16" s="9" t="s">
        <v>608</v>
      </c>
      <c r="D16" s="9" t="s">
        <v>179</v>
      </c>
      <c r="E16" s="9" t="s">
        <v>583</v>
      </c>
      <c r="F16" s="79">
        <v>172.67</v>
      </c>
      <c r="G16" s="79">
        <v>196.07640970180401</v>
      </c>
      <c r="H16" s="79">
        <v>158.08000000000001</v>
      </c>
      <c r="I16" s="79">
        <v>150.91</v>
      </c>
      <c r="J16" s="79">
        <v>146.47</v>
      </c>
      <c r="K16" s="79">
        <v>141.88999999999999</v>
      </c>
      <c r="L16" s="79">
        <v>135.38</v>
      </c>
      <c r="M16" s="79">
        <v>131.84</v>
      </c>
    </row>
    <row r="17" spans="1:13" x14ac:dyDescent="0.25">
      <c r="A17" s="9" t="s">
        <v>231</v>
      </c>
      <c r="B17" s="9" t="s">
        <v>609</v>
      </c>
      <c r="C17" s="9" t="s">
        <v>610</v>
      </c>
      <c r="D17" s="9" t="s">
        <v>179</v>
      </c>
      <c r="E17" s="9" t="s">
        <v>583</v>
      </c>
      <c r="F17" s="79">
        <v>916.73</v>
      </c>
      <c r="G17" s="79">
        <v>953.12199999999996</v>
      </c>
      <c r="H17" s="79">
        <v>877.25</v>
      </c>
      <c r="I17" s="79">
        <v>863.91</v>
      </c>
      <c r="J17" s="79">
        <v>849.93</v>
      </c>
      <c r="K17" s="79">
        <v>834.99</v>
      </c>
      <c r="L17" s="79">
        <v>817.72</v>
      </c>
      <c r="M17" s="79">
        <v>804.92</v>
      </c>
    </row>
    <row r="18" spans="1:13" x14ac:dyDescent="0.25">
      <c r="A18" s="9" t="s">
        <v>231</v>
      </c>
      <c r="B18" s="9" t="s">
        <v>471</v>
      </c>
      <c r="C18" s="9" t="s">
        <v>472</v>
      </c>
      <c r="D18" s="9" t="s">
        <v>582</v>
      </c>
      <c r="E18" s="9" t="s">
        <v>583</v>
      </c>
      <c r="F18" s="77">
        <v>636.97299999999996</v>
      </c>
      <c r="G18" s="77">
        <v>604.28</v>
      </c>
      <c r="H18" s="77">
        <v>569.57500000000005</v>
      </c>
      <c r="I18" s="77">
        <v>538.596</v>
      </c>
      <c r="J18" s="77">
        <v>496.363</v>
      </c>
      <c r="K18" s="77">
        <v>442.55799999999999</v>
      </c>
      <c r="L18" s="77">
        <v>385.161</v>
      </c>
      <c r="M18" s="77">
        <v>326.53399999999999</v>
      </c>
    </row>
    <row r="19" spans="1:13" x14ac:dyDescent="0.25">
      <c r="A19" s="9" t="s">
        <v>231</v>
      </c>
      <c r="B19" s="9" t="s">
        <v>473</v>
      </c>
      <c r="C19" s="9" t="s">
        <v>474</v>
      </c>
      <c r="D19" s="9" t="s">
        <v>582</v>
      </c>
      <c r="E19" s="9" t="s">
        <v>583</v>
      </c>
      <c r="F19" s="77">
        <v>727.59299999999996</v>
      </c>
      <c r="G19" s="77">
        <v>768.87699999999995</v>
      </c>
      <c r="H19" s="77">
        <v>818.95699999999999</v>
      </c>
      <c r="I19" s="77">
        <v>870.01199999999994</v>
      </c>
      <c r="J19" s="77">
        <v>932.322</v>
      </c>
      <c r="K19" s="77">
        <v>1002.85</v>
      </c>
      <c r="L19" s="77">
        <v>1076.971</v>
      </c>
      <c r="M19" s="77">
        <v>1152.3219999999999</v>
      </c>
    </row>
    <row r="20" spans="1:13" x14ac:dyDescent="0.25">
      <c r="A20" s="9" t="s">
        <v>231</v>
      </c>
      <c r="B20" s="9" t="s">
        <v>475</v>
      </c>
      <c r="C20" s="9" t="s">
        <v>476</v>
      </c>
      <c r="D20" s="9" t="s">
        <v>582</v>
      </c>
      <c r="E20" s="9" t="s">
        <v>583</v>
      </c>
      <c r="F20" s="77"/>
      <c r="G20" s="77"/>
      <c r="H20" s="77"/>
      <c r="I20" s="77"/>
      <c r="J20" s="77"/>
      <c r="K20" s="77"/>
      <c r="L20" s="77"/>
      <c r="M20" s="77"/>
    </row>
    <row r="21" spans="1:13" x14ac:dyDescent="0.25">
      <c r="A21" s="9" t="s">
        <v>231</v>
      </c>
      <c r="B21" s="9" t="s">
        <v>477</v>
      </c>
      <c r="C21" s="9" t="s">
        <v>478</v>
      </c>
      <c r="D21" s="9" t="s">
        <v>582</v>
      </c>
      <c r="E21" s="9" t="s">
        <v>583</v>
      </c>
      <c r="F21" s="77"/>
      <c r="G21" s="77"/>
      <c r="H21" s="77"/>
      <c r="I21" s="77"/>
      <c r="J21" s="77"/>
      <c r="K21" s="77"/>
      <c r="L21" s="77"/>
      <c r="M21" s="77"/>
    </row>
    <row r="22" spans="1:13" x14ac:dyDescent="0.25">
      <c r="A22" s="9" t="s">
        <v>231</v>
      </c>
      <c r="B22" s="9" t="s">
        <v>479</v>
      </c>
      <c r="C22" s="9" t="s">
        <v>480</v>
      </c>
      <c r="D22" s="9" t="s">
        <v>582</v>
      </c>
      <c r="E22" s="9" t="s">
        <v>583</v>
      </c>
      <c r="F22" s="77"/>
      <c r="G22" s="77"/>
      <c r="H22" s="77"/>
      <c r="I22" s="77"/>
      <c r="J22" s="77"/>
      <c r="K22" s="77"/>
      <c r="L22" s="77"/>
      <c r="M22" s="77"/>
    </row>
    <row r="23" spans="1:13" x14ac:dyDescent="0.25">
      <c r="A23" s="9" t="s">
        <v>231</v>
      </c>
      <c r="B23" s="9" t="s">
        <v>481</v>
      </c>
      <c r="C23" s="9" t="s">
        <v>482</v>
      </c>
      <c r="D23" s="9" t="s">
        <v>582</v>
      </c>
      <c r="E23" s="9" t="s">
        <v>583</v>
      </c>
      <c r="F23" s="77"/>
      <c r="G23" s="77"/>
      <c r="H23" s="77"/>
      <c r="I23" s="77"/>
      <c r="J23" s="77"/>
      <c r="K23" s="77"/>
      <c r="L23" s="77"/>
      <c r="M23" s="77"/>
    </row>
    <row r="24" spans="1:13" x14ac:dyDescent="0.25">
      <c r="A24" s="9" t="s">
        <v>231</v>
      </c>
      <c r="B24" s="9" t="s">
        <v>611</v>
      </c>
      <c r="C24" s="9" t="s">
        <v>612</v>
      </c>
      <c r="D24" s="9" t="s">
        <v>613</v>
      </c>
      <c r="E24" s="9" t="s">
        <v>583</v>
      </c>
      <c r="F24" s="9"/>
      <c r="G24" s="9"/>
      <c r="H24" s="9"/>
      <c r="I24" s="9"/>
      <c r="J24" s="9"/>
      <c r="K24" s="9"/>
      <c r="L24" s="9"/>
      <c r="M24" s="9"/>
    </row>
    <row r="25" spans="1:13" x14ac:dyDescent="0.25">
      <c r="A25" s="9" t="s">
        <v>231</v>
      </c>
      <c r="B25" s="9" t="s">
        <v>483</v>
      </c>
      <c r="C25" s="9" t="s">
        <v>484</v>
      </c>
      <c r="D25" s="9" t="s">
        <v>582</v>
      </c>
      <c r="E25" s="9" t="s">
        <v>583</v>
      </c>
      <c r="F25" s="77">
        <v>1500.1959999999999</v>
      </c>
      <c r="G25" s="77">
        <v>1517.019</v>
      </c>
      <c r="H25" s="77">
        <v>1526.126</v>
      </c>
      <c r="I25" s="77">
        <v>1546.7360000000001</v>
      </c>
      <c r="J25" s="77">
        <v>1563.1679999999999</v>
      </c>
      <c r="K25" s="77">
        <v>1579.6089999999999</v>
      </c>
      <c r="L25" s="77">
        <v>1596.059</v>
      </c>
      <c r="M25" s="77">
        <v>1612.5170000000001</v>
      </c>
    </row>
    <row r="26" spans="1:13" x14ac:dyDescent="0.25">
      <c r="A26" s="9" t="s">
        <v>231</v>
      </c>
      <c r="B26" s="9" t="s">
        <v>485</v>
      </c>
      <c r="C26" s="9" t="s">
        <v>486</v>
      </c>
      <c r="D26" s="9" t="s">
        <v>504</v>
      </c>
      <c r="E26" s="9" t="s">
        <v>583</v>
      </c>
      <c r="F26" s="80">
        <v>16683</v>
      </c>
      <c r="G26" s="80">
        <v>16730</v>
      </c>
      <c r="H26" s="80">
        <v>16770</v>
      </c>
      <c r="I26" s="80">
        <v>16819</v>
      </c>
      <c r="J26" s="80">
        <v>16868</v>
      </c>
      <c r="K26" s="80">
        <v>16917</v>
      </c>
      <c r="L26" s="80">
        <v>16979</v>
      </c>
      <c r="M26" s="80">
        <v>17028</v>
      </c>
    </row>
    <row r="27" spans="1:13" x14ac:dyDescent="0.25">
      <c r="A27" s="9" t="s">
        <v>231</v>
      </c>
      <c r="B27" s="9" t="s">
        <v>614</v>
      </c>
      <c r="C27" s="9" t="s">
        <v>615</v>
      </c>
      <c r="D27" s="9" t="s">
        <v>613</v>
      </c>
      <c r="E27" s="9" t="s">
        <v>583</v>
      </c>
      <c r="F27" s="9"/>
      <c r="G27" s="9"/>
      <c r="H27" s="9"/>
      <c r="I27" s="9"/>
      <c r="J27" s="9"/>
      <c r="K27" s="9"/>
      <c r="L27" s="9"/>
      <c r="M27" s="9"/>
    </row>
    <row r="28" spans="1:13" x14ac:dyDescent="0.25">
      <c r="A28" s="9" t="s">
        <v>231</v>
      </c>
      <c r="B28" s="9" t="s">
        <v>487</v>
      </c>
      <c r="C28" s="9" t="s">
        <v>488</v>
      </c>
      <c r="D28" s="9" t="s">
        <v>582</v>
      </c>
      <c r="E28" s="9" t="s">
        <v>583</v>
      </c>
      <c r="F28" s="77"/>
      <c r="G28" s="77"/>
      <c r="H28" s="77"/>
      <c r="I28" s="77"/>
      <c r="J28" s="77"/>
      <c r="K28" s="77"/>
      <c r="L28" s="77"/>
      <c r="M28" s="77"/>
    </row>
    <row r="29" spans="1:13" x14ac:dyDescent="0.25">
      <c r="A29" s="9" t="s">
        <v>231</v>
      </c>
      <c r="B29" s="9" t="s">
        <v>489</v>
      </c>
      <c r="C29" s="9" t="s">
        <v>490</v>
      </c>
      <c r="D29" s="9" t="s">
        <v>504</v>
      </c>
      <c r="E29" s="9" t="s">
        <v>583</v>
      </c>
      <c r="F29" s="80"/>
      <c r="G29" s="80"/>
      <c r="H29" s="80"/>
      <c r="I29" s="80"/>
      <c r="J29" s="80"/>
      <c r="K29" s="80"/>
      <c r="L29" s="80"/>
      <c r="M29" s="80"/>
    </row>
    <row r="30" spans="1:13" x14ac:dyDescent="0.25">
      <c r="A30" s="9" t="s">
        <v>157</v>
      </c>
      <c r="B30" s="9" t="s">
        <v>580</v>
      </c>
      <c r="C30" s="9" t="s">
        <v>581</v>
      </c>
      <c r="D30" s="9" t="s">
        <v>582</v>
      </c>
      <c r="E30" s="9" t="s">
        <v>583</v>
      </c>
      <c r="F30" s="77">
        <v>2072.837</v>
      </c>
      <c r="G30" s="77">
        <v>2089.2809999999999</v>
      </c>
      <c r="H30" s="77">
        <v>2115.8829999999998</v>
      </c>
      <c r="I30" s="77">
        <v>2148.4920000000002</v>
      </c>
      <c r="J30" s="77">
        <v>2184.933</v>
      </c>
      <c r="K30" s="77">
        <v>2223.1149999999998</v>
      </c>
      <c r="L30" s="77">
        <v>2261.13</v>
      </c>
      <c r="M30" s="77">
        <v>2296.1350000000002</v>
      </c>
    </row>
    <row r="31" spans="1:13" x14ac:dyDescent="0.25">
      <c r="A31" s="9" t="s">
        <v>157</v>
      </c>
      <c r="B31" s="9" t="s">
        <v>584</v>
      </c>
      <c r="C31" s="9" t="s">
        <v>585</v>
      </c>
      <c r="D31" s="9" t="s">
        <v>582</v>
      </c>
      <c r="E31" s="9" t="s">
        <v>583</v>
      </c>
      <c r="F31" s="77">
        <v>122.88200000000001</v>
      </c>
      <c r="G31" s="77">
        <v>129.38399999999999</v>
      </c>
      <c r="H31" s="77">
        <v>122.146</v>
      </c>
      <c r="I31" s="77">
        <v>121.779</v>
      </c>
      <c r="J31" s="77">
        <v>121.414</v>
      </c>
      <c r="K31" s="77">
        <v>121.05</v>
      </c>
      <c r="L31" s="77">
        <v>120.687</v>
      </c>
      <c r="M31" s="77">
        <v>120.325</v>
      </c>
    </row>
    <row r="32" spans="1:13" x14ac:dyDescent="0.25">
      <c r="A32" s="9" t="s">
        <v>157</v>
      </c>
      <c r="B32" s="9" t="s">
        <v>586</v>
      </c>
      <c r="C32" s="9" t="s">
        <v>587</v>
      </c>
      <c r="D32" s="9">
        <v>0</v>
      </c>
      <c r="E32" s="9" t="s">
        <v>583</v>
      </c>
      <c r="F32" s="78">
        <v>2195.7190000000001</v>
      </c>
      <c r="G32" s="78">
        <v>2218.665</v>
      </c>
      <c r="H32" s="78">
        <v>2238.029</v>
      </c>
      <c r="I32" s="78">
        <v>2270.2710000000002</v>
      </c>
      <c r="J32" s="78">
        <v>2306.3470000000002</v>
      </c>
      <c r="K32" s="78">
        <v>2344.165</v>
      </c>
      <c r="L32" s="78">
        <v>2381.817</v>
      </c>
      <c r="M32" s="78">
        <v>2416.46</v>
      </c>
    </row>
    <row r="33" spans="1:13" x14ac:dyDescent="0.25">
      <c r="A33" s="9" t="s">
        <v>157</v>
      </c>
      <c r="B33" s="9" t="s">
        <v>588</v>
      </c>
      <c r="C33" s="9" t="s">
        <v>589</v>
      </c>
      <c r="D33" s="9">
        <v>0</v>
      </c>
      <c r="E33" s="9" t="s">
        <v>583</v>
      </c>
      <c r="F33" s="79">
        <v>4615.018</v>
      </c>
      <c r="G33" s="79">
        <v>4724.2169999999996</v>
      </c>
      <c r="H33" s="79">
        <v>4689.7560000000003</v>
      </c>
      <c r="I33" s="79">
        <v>4753.5649999999996</v>
      </c>
      <c r="J33" s="79">
        <v>4826.7790000000005</v>
      </c>
      <c r="K33" s="79">
        <v>4903.4920000000002</v>
      </c>
      <c r="L33" s="79">
        <v>4978.6130000000003</v>
      </c>
      <c r="M33" s="79">
        <v>5047.0069999999996</v>
      </c>
    </row>
    <row r="34" spans="1:13" x14ac:dyDescent="0.25">
      <c r="A34" s="9" t="s">
        <v>157</v>
      </c>
      <c r="B34" s="9" t="s">
        <v>590</v>
      </c>
      <c r="C34" s="9" t="s">
        <v>591</v>
      </c>
      <c r="D34" s="9">
        <v>0</v>
      </c>
      <c r="E34" s="9" t="s">
        <v>583</v>
      </c>
      <c r="F34" s="77">
        <v>2540.181</v>
      </c>
      <c r="G34" s="77">
        <v>2568.6840000000002</v>
      </c>
      <c r="H34" s="77">
        <v>2596.1889999999999</v>
      </c>
      <c r="I34" s="77">
        <v>2634.4470000000001</v>
      </c>
      <c r="J34" s="77">
        <v>2676.627</v>
      </c>
      <c r="K34" s="77">
        <v>2719.9119999999998</v>
      </c>
      <c r="L34" s="77">
        <v>2762.866</v>
      </c>
      <c r="M34" s="77">
        <v>2803.3209999999999</v>
      </c>
    </row>
    <row r="35" spans="1:13" x14ac:dyDescent="0.25">
      <c r="A35" s="9" t="s">
        <v>157</v>
      </c>
      <c r="B35" s="9" t="s">
        <v>592</v>
      </c>
      <c r="C35" s="9" t="s">
        <v>593</v>
      </c>
      <c r="D35" s="9">
        <v>0</v>
      </c>
      <c r="E35" s="9" t="s">
        <v>583</v>
      </c>
      <c r="F35" s="77">
        <v>112.883</v>
      </c>
      <c r="G35" s="77">
        <v>114.178</v>
      </c>
      <c r="H35" s="77">
        <v>111.883331036</v>
      </c>
      <c r="I35" s="77">
        <v>111.40584114326001</v>
      </c>
      <c r="J35" s="77">
        <v>110.941698271767</v>
      </c>
      <c r="K35" s="77">
        <v>110.48986155812599</v>
      </c>
      <c r="L35" s="77">
        <v>110.049377330608</v>
      </c>
      <c r="M35" s="77">
        <v>109.61937178577099</v>
      </c>
    </row>
    <row r="36" spans="1:13" x14ac:dyDescent="0.25">
      <c r="A36" s="9" t="s">
        <v>157</v>
      </c>
      <c r="B36" s="9" t="s">
        <v>594</v>
      </c>
      <c r="C36" s="9" t="s">
        <v>595</v>
      </c>
      <c r="D36" s="9" t="s">
        <v>582</v>
      </c>
      <c r="E36" s="9" t="s">
        <v>583</v>
      </c>
      <c r="F36" s="77">
        <v>2756.2719999999999</v>
      </c>
      <c r="G36" s="77">
        <v>2791.4789999999998</v>
      </c>
      <c r="H36" s="77">
        <v>2804.3455589800001</v>
      </c>
      <c r="I36" s="77">
        <v>2843.4120842330399</v>
      </c>
      <c r="J36" s="77">
        <v>2886.51579017207</v>
      </c>
      <c r="K36" s="77">
        <v>2930.30095329083</v>
      </c>
      <c r="L36" s="77">
        <v>2974.2645269356999</v>
      </c>
      <c r="M36" s="77">
        <v>3015.6289294122898</v>
      </c>
    </row>
    <row r="37" spans="1:13" x14ac:dyDescent="0.25">
      <c r="A37" s="9" t="s">
        <v>157</v>
      </c>
      <c r="B37" s="9" t="s">
        <v>596</v>
      </c>
      <c r="C37" s="9" t="s">
        <v>597</v>
      </c>
      <c r="D37" s="9">
        <v>0</v>
      </c>
      <c r="E37" s="9" t="s">
        <v>583</v>
      </c>
      <c r="F37" s="77">
        <v>6007.84</v>
      </c>
      <c r="G37" s="77">
        <v>6148.2030000000004</v>
      </c>
      <c r="H37" s="77">
        <v>6084.4762625224203</v>
      </c>
      <c r="I37" s="77">
        <v>6162.6143530233803</v>
      </c>
      <c r="J37" s="77">
        <v>6250.94453738426</v>
      </c>
      <c r="K37" s="77">
        <v>6341.7634195078699</v>
      </c>
      <c r="L37" s="77">
        <v>6430.4428547723401</v>
      </c>
      <c r="M37" s="77">
        <v>6513.4581633542302</v>
      </c>
    </row>
    <row r="38" spans="1:13" x14ac:dyDescent="0.25">
      <c r="A38" s="9" t="s">
        <v>157</v>
      </c>
      <c r="B38" s="9" t="s">
        <v>598</v>
      </c>
      <c r="C38" s="9" t="s">
        <v>599</v>
      </c>
      <c r="D38" s="9">
        <v>0</v>
      </c>
      <c r="E38" s="9" t="s">
        <v>583</v>
      </c>
      <c r="F38" s="80">
        <v>265.72899999999998</v>
      </c>
      <c r="G38" s="80">
        <v>267.62700000000001</v>
      </c>
      <c r="H38" s="80">
        <v>265.50437938817601</v>
      </c>
      <c r="I38" s="80">
        <v>268.66936835758497</v>
      </c>
      <c r="J38" s="80">
        <v>272.61653468606801</v>
      </c>
      <c r="K38" s="80">
        <v>272.73722618960102</v>
      </c>
      <c r="L38" s="80">
        <v>275.68163756468903</v>
      </c>
      <c r="M38" s="80">
        <v>278.36854149273597</v>
      </c>
    </row>
    <row r="39" spans="1:13" x14ac:dyDescent="0.25">
      <c r="A39" s="9" t="s">
        <v>157</v>
      </c>
      <c r="B39" s="9" t="s">
        <v>600</v>
      </c>
      <c r="C39" s="9" t="s">
        <v>601</v>
      </c>
      <c r="D39" s="9" t="s">
        <v>602</v>
      </c>
      <c r="E39" s="9" t="s">
        <v>583</v>
      </c>
      <c r="F39" s="80">
        <v>45236.800000000003</v>
      </c>
      <c r="G39" s="80">
        <v>45368.513041845901</v>
      </c>
      <c r="H39" s="80">
        <v>45371</v>
      </c>
      <c r="I39" s="80">
        <v>45447</v>
      </c>
      <c r="J39" s="80">
        <v>45531</v>
      </c>
      <c r="K39" s="80">
        <v>45637</v>
      </c>
      <c r="L39" s="80">
        <v>45758</v>
      </c>
      <c r="M39" s="80">
        <v>45904</v>
      </c>
    </row>
    <row r="40" spans="1:13" x14ac:dyDescent="0.25">
      <c r="A40" s="9" t="s">
        <v>157</v>
      </c>
      <c r="B40" s="9" t="s">
        <v>603</v>
      </c>
      <c r="C40" s="9" t="s">
        <v>604</v>
      </c>
      <c r="D40" s="9" t="s">
        <v>504</v>
      </c>
      <c r="E40" s="9" t="s">
        <v>583</v>
      </c>
      <c r="F40" s="78">
        <v>31200</v>
      </c>
      <c r="G40" s="78">
        <v>31200</v>
      </c>
      <c r="H40" s="78">
        <v>31200</v>
      </c>
      <c r="I40" s="78">
        <v>31200</v>
      </c>
      <c r="J40" s="78">
        <v>31200</v>
      </c>
      <c r="K40" s="78">
        <v>31200</v>
      </c>
      <c r="L40" s="78">
        <v>31200</v>
      </c>
      <c r="M40" s="78">
        <v>31200</v>
      </c>
    </row>
    <row r="41" spans="1:13" x14ac:dyDescent="0.25">
      <c r="A41" s="9" t="s">
        <v>157</v>
      </c>
      <c r="B41" s="9" t="s">
        <v>605</v>
      </c>
      <c r="C41" s="9" t="s">
        <v>606</v>
      </c>
      <c r="D41" s="9" t="s">
        <v>504</v>
      </c>
      <c r="E41" s="9" t="s">
        <v>583</v>
      </c>
      <c r="F41" s="79">
        <v>38420</v>
      </c>
      <c r="G41" s="79">
        <v>38584.370000000003</v>
      </c>
      <c r="H41" s="79">
        <v>38853</v>
      </c>
      <c r="I41" s="79">
        <v>39072</v>
      </c>
      <c r="J41" s="79">
        <v>39272</v>
      </c>
      <c r="K41" s="79">
        <v>39449</v>
      </c>
      <c r="L41" s="79">
        <v>39619</v>
      </c>
      <c r="M41" s="79">
        <v>40161</v>
      </c>
    </row>
    <row r="42" spans="1:13" x14ac:dyDescent="0.25">
      <c r="A42" s="9" t="s">
        <v>157</v>
      </c>
      <c r="B42" s="9" t="s">
        <v>607</v>
      </c>
      <c r="C42" s="9" t="s">
        <v>608</v>
      </c>
      <c r="D42" s="9" t="s">
        <v>179</v>
      </c>
      <c r="E42" s="9" t="s">
        <v>583</v>
      </c>
      <c r="F42" s="79">
        <v>182.66</v>
      </c>
      <c r="G42" s="79">
        <v>191.24007283985699</v>
      </c>
      <c r="H42" s="79">
        <v>172</v>
      </c>
      <c r="I42" s="79">
        <v>170.11</v>
      </c>
      <c r="J42" s="79">
        <v>163.44</v>
      </c>
      <c r="K42" s="79">
        <v>156.29</v>
      </c>
      <c r="L42" s="79">
        <v>149.15</v>
      </c>
      <c r="M42" s="79">
        <v>142.24</v>
      </c>
    </row>
    <row r="43" spans="1:13" x14ac:dyDescent="0.25">
      <c r="A43" s="9" t="s">
        <v>157</v>
      </c>
      <c r="B43" s="9" t="s">
        <v>609</v>
      </c>
      <c r="C43" s="9" t="s">
        <v>610</v>
      </c>
      <c r="D43" s="9" t="s">
        <v>179</v>
      </c>
      <c r="E43" s="9" t="s">
        <v>583</v>
      </c>
      <c r="F43" s="79">
        <v>1112.3399999999999</v>
      </c>
      <c r="G43" s="79">
        <v>1159.1536204333299</v>
      </c>
      <c r="H43" s="79">
        <v>1112.18</v>
      </c>
      <c r="I43" s="79">
        <v>1106.8</v>
      </c>
      <c r="J43" s="79">
        <v>1103.3</v>
      </c>
      <c r="K43" s="79">
        <v>1099.6600000000001</v>
      </c>
      <c r="L43" s="79">
        <v>1095.96</v>
      </c>
      <c r="M43" s="79">
        <v>1092.71</v>
      </c>
    </row>
    <row r="44" spans="1:13" x14ac:dyDescent="0.25">
      <c r="A44" s="9" t="s">
        <v>157</v>
      </c>
      <c r="B44" s="9" t="s">
        <v>471</v>
      </c>
      <c r="C44" s="9" t="s">
        <v>472</v>
      </c>
      <c r="D44" s="9" t="s">
        <v>582</v>
      </c>
      <c r="E44" s="9" t="s">
        <v>583</v>
      </c>
      <c r="F44" s="77">
        <v>97.48</v>
      </c>
      <c r="G44" s="77">
        <v>94.640927000000005</v>
      </c>
      <c r="H44" s="77">
        <v>99.679000000000002</v>
      </c>
      <c r="I44" s="77">
        <v>99.625</v>
      </c>
      <c r="J44" s="77">
        <v>97.894999999999996</v>
      </c>
      <c r="K44" s="77">
        <v>94.686999999999998</v>
      </c>
      <c r="L44" s="77">
        <v>91.2</v>
      </c>
      <c r="M44" s="77">
        <v>88.088999999999999</v>
      </c>
    </row>
    <row r="45" spans="1:13" x14ac:dyDescent="0.25">
      <c r="A45" s="9" t="s">
        <v>157</v>
      </c>
      <c r="B45" s="9" t="s">
        <v>473</v>
      </c>
      <c r="C45" s="9" t="s">
        <v>474</v>
      </c>
      <c r="D45" s="9" t="s">
        <v>582</v>
      </c>
      <c r="E45" s="9" t="s">
        <v>583</v>
      </c>
      <c r="F45" s="77">
        <v>135.66399999999999</v>
      </c>
      <c r="G45" s="77">
        <v>141.35126</v>
      </c>
      <c r="H45" s="77">
        <v>175.32400000000001</v>
      </c>
      <c r="I45" s="77">
        <v>183.20400000000001</v>
      </c>
      <c r="J45" s="77">
        <v>187.42400000000001</v>
      </c>
      <c r="K45" s="77">
        <v>188.06399999999999</v>
      </c>
      <c r="L45" s="77">
        <v>187.41800000000001</v>
      </c>
      <c r="M45" s="77">
        <v>186.89599999999999</v>
      </c>
    </row>
    <row r="46" spans="1:13" x14ac:dyDescent="0.25">
      <c r="A46" s="9" t="s">
        <v>157</v>
      </c>
      <c r="B46" s="9" t="s">
        <v>475</v>
      </c>
      <c r="C46" s="9" t="s">
        <v>476</v>
      </c>
      <c r="D46" s="9" t="s">
        <v>582</v>
      </c>
      <c r="E46" s="9" t="s">
        <v>583</v>
      </c>
      <c r="F46" s="77">
        <v>256.46800000000002</v>
      </c>
      <c r="G46" s="77">
        <v>245.48292699999999</v>
      </c>
      <c r="H46" s="77">
        <v>245.33699999999999</v>
      </c>
      <c r="I46" s="77">
        <v>240.41900000000001</v>
      </c>
      <c r="J46" s="77">
        <v>234.76599999999999</v>
      </c>
      <c r="K46" s="77">
        <v>228.26900000000001</v>
      </c>
      <c r="L46" s="77">
        <v>221.89599999999999</v>
      </c>
      <c r="M46" s="77">
        <v>216.26</v>
      </c>
    </row>
    <row r="47" spans="1:13" x14ac:dyDescent="0.25">
      <c r="A47" s="9" t="s">
        <v>157</v>
      </c>
      <c r="B47" s="9" t="s">
        <v>477</v>
      </c>
      <c r="C47" s="9" t="s">
        <v>478</v>
      </c>
      <c r="D47" s="9" t="s">
        <v>582</v>
      </c>
      <c r="E47" s="9" t="s">
        <v>583</v>
      </c>
      <c r="F47" s="77">
        <v>557.37900000000002</v>
      </c>
      <c r="G47" s="77">
        <v>569.71525999999994</v>
      </c>
      <c r="H47" s="77">
        <v>617.72199999999998</v>
      </c>
      <c r="I47" s="77">
        <v>636.11500000000001</v>
      </c>
      <c r="J47" s="77">
        <v>649.99599999999998</v>
      </c>
      <c r="K47" s="77">
        <v>659.02800000000002</v>
      </c>
      <c r="L47" s="77">
        <v>666.20899999999995</v>
      </c>
      <c r="M47" s="77">
        <v>673.66099999999994</v>
      </c>
    </row>
    <row r="48" spans="1:13" x14ac:dyDescent="0.25">
      <c r="A48" s="9" t="s">
        <v>157</v>
      </c>
      <c r="B48" s="9" t="s">
        <v>479</v>
      </c>
      <c r="C48" s="9" t="s">
        <v>480</v>
      </c>
      <c r="D48" s="9" t="s">
        <v>582</v>
      </c>
      <c r="E48" s="9" t="s">
        <v>583</v>
      </c>
      <c r="F48" s="77">
        <v>271.66899999999998</v>
      </c>
      <c r="G48" s="77">
        <v>254.36207300000001</v>
      </c>
      <c r="H48" s="77">
        <v>238.57</v>
      </c>
      <c r="I48" s="77">
        <v>224.249</v>
      </c>
      <c r="J48" s="77">
        <v>212.447</v>
      </c>
      <c r="K48" s="77">
        <v>202.434</v>
      </c>
      <c r="L48" s="77">
        <v>193.18600000000001</v>
      </c>
      <c r="M48" s="77">
        <v>184.04900000000001</v>
      </c>
    </row>
    <row r="49" spans="1:13" x14ac:dyDescent="0.25">
      <c r="A49" s="9" t="s">
        <v>157</v>
      </c>
      <c r="B49" s="9" t="s">
        <v>481</v>
      </c>
      <c r="C49" s="9" t="s">
        <v>482</v>
      </c>
      <c r="D49" s="9" t="s">
        <v>582</v>
      </c>
      <c r="E49" s="9" t="s">
        <v>583</v>
      </c>
      <c r="F49" s="77">
        <v>1454.665</v>
      </c>
      <c r="G49" s="77">
        <v>1499.12374</v>
      </c>
      <c r="H49" s="77">
        <v>1494.56</v>
      </c>
      <c r="I49" s="77">
        <v>1533.663</v>
      </c>
      <c r="J49" s="77">
        <v>1579.4169999999999</v>
      </c>
      <c r="K49" s="77">
        <v>1630.18</v>
      </c>
      <c r="L49" s="77">
        <v>1681.576</v>
      </c>
      <c r="M49" s="77">
        <v>1729.3510000000001</v>
      </c>
    </row>
    <row r="50" spans="1:13" x14ac:dyDescent="0.25">
      <c r="A50" s="9" t="s">
        <v>157</v>
      </c>
      <c r="B50" s="9" t="s">
        <v>611</v>
      </c>
      <c r="C50" s="9" t="s">
        <v>612</v>
      </c>
      <c r="D50" s="9" t="s">
        <v>613</v>
      </c>
      <c r="E50" s="9" t="s">
        <v>583</v>
      </c>
      <c r="F50" s="9"/>
      <c r="G50" s="9"/>
      <c r="H50" s="9"/>
      <c r="I50" s="9"/>
      <c r="J50" s="9"/>
      <c r="K50" s="9"/>
      <c r="L50" s="9"/>
      <c r="M50" s="9"/>
    </row>
    <row r="51" spans="1:13" x14ac:dyDescent="0.25">
      <c r="A51" s="9" t="s">
        <v>157</v>
      </c>
      <c r="B51" s="9" t="s">
        <v>483</v>
      </c>
      <c r="C51" s="9" t="s">
        <v>484</v>
      </c>
      <c r="D51" s="9" t="s">
        <v>582</v>
      </c>
      <c r="E51" s="9" t="s">
        <v>583</v>
      </c>
      <c r="F51" s="77">
        <v>2195.7190000000001</v>
      </c>
      <c r="G51" s="77">
        <v>2215.0169999999998</v>
      </c>
      <c r="H51" s="77">
        <v>2238.029</v>
      </c>
      <c r="I51" s="77">
        <v>2270.2710000000002</v>
      </c>
      <c r="J51" s="77">
        <v>2306.3470000000002</v>
      </c>
      <c r="K51" s="77">
        <v>2344.165</v>
      </c>
      <c r="L51" s="77">
        <v>2381.817</v>
      </c>
      <c r="M51" s="77">
        <v>2416.46</v>
      </c>
    </row>
    <row r="52" spans="1:13" x14ac:dyDescent="0.25">
      <c r="A52" s="9" t="s">
        <v>157</v>
      </c>
      <c r="B52" s="9" t="s">
        <v>485</v>
      </c>
      <c r="C52" s="9" t="s">
        <v>486</v>
      </c>
      <c r="D52" s="9" t="s">
        <v>504</v>
      </c>
      <c r="E52" s="9" t="s">
        <v>583</v>
      </c>
      <c r="F52" s="80">
        <v>38420</v>
      </c>
      <c r="G52" s="80">
        <v>38631</v>
      </c>
      <c r="H52" s="80">
        <v>38853</v>
      </c>
      <c r="I52" s="80">
        <v>39072</v>
      </c>
      <c r="J52" s="80">
        <v>39272</v>
      </c>
      <c r="K52" s="80">
        <v>39449</v>
      </c>
      <c r="L52" s="80">
        <v>39619</v>
      </c>
      <c r="M52" s="80">
        <v>40161</v>
      </c>
    </row>
    <row r="53" spans="1:13" x14ac:dyDescent="0.25">
      <c r="A53" s="9" t="s">
        <v>157</v>
      </c>
      <c r="B53" s="9" t="s">
        <v>614</v>
      </c>
      <c r="C53" s="9" t="s">
        <v>615</v>
      </c>
      <c r="D53" s="9" t="s">
        <v>613</v>
      </c>
      <c r="E53" s="9" t="s">
        <v>583</v>
      </c>
      <c r="F53" s="9"/>
      <c r="G53" s="9"/>
      <c r="H53" s="9"/>
      <c r="I53" s="9"/>
      <c r="J53" s="9"/>
      <c r="K53" s="9"/>
      <c r="L53" s="9"/>
      <c r="M53" s="9"/>
    </row>
    <row r="54" spans="1:13" x14ac:dyDescent="0.25">
      <c r="A54" s="9" t="s">
        <v>157</v>
      </c>
      <c r="B54" s="9" t="s">
        <v>487</v>
      </c>
      <c r="C54" s="9" t="s">
        <v>488</v>
      </c>
      <c r="D54" s="9" t="s">
        <v>582</v>
      </c>
      <c r="E54" s="9" t="s">
        <v>583</v>
      </c>
      <c r="F54" s="77"/>
      <c r="G54" s="77"/>
      <c r="H54" s="77"/>
      <c r="I54" s="77"/>
      <c r="J54" s="77"/>
      <c r="K54" s="77"/>
      <c r="L54" s="77"/>
      <c r="M54" s="77"/>
    </row>
    <row r="55" spans="1:13" x14ac:dyDescent="0.25">
      <c r="A55" s="9" t="s">
        <v>157</v>
      </c>
      <c r="B55" s="9" t="s">
        <v>489</v>
      </c>
      <c r="C55" s="9" t="s">
        <v>490</v>
      </c>
      <c r="D55" s="9" t="s">
        <v>504</v>
      </c>
      <c r="E55" s="9" t="s">
        <v>583</v>
      </c>
      <c r="F55" s="80"/>
      <c r="G55" s="80"/>
      <c r="H55" s="80"/>
      <c r="I55" s="80"/>
      <c r="J55" s="80"/>
      <c r="K55" s="80"/>
      <c r="L55" s="80"/>
      <c r="M55" s="80"/>
    </row>
    <row r="56" spans="1:13" x14ac:dyDescent="0.25">
      <c r="A56" s="9" t="s">
        <v>235</v>
      </c>
      <c r="B56" s="9" t="s">
        <v>580</v>
      </c>
      <c r="C56" s="9" t="s">
        <v>581</v>
      </c>
      <c r="D56" s="9" t="s">
        <v>582</v>
      </c>
      <c r="E56" s="9" t="s">
        <v>583</v>
      </c>
      <c r="F56" s="77">
        <v>502.63299999999998</v>
      </c>
      <c r="G56" s="77">
        <v>507.50799999999998</v>
      </c>
      <c r="H56" s="77">
        <v>514.07600000000002</v>
      </c>
      <c r="I56" s="77">
        <v>520.46799999999996</v>
      </c>
      <c r="J56" s="77">
        <v>525.971</v>
      </c>
      <c r="K56" s="77">
        <v>531.40599999999995</v>
      </c>
      <c r="L56" s="77">
        <v>536.726</v>
      </c>
      <c r="M56" s="77">
        <v>541.92899999999997</v>
      </c>
    </row>
    <row r="57" spans="1:13" x14ac:dyDescent="0.25">
      <c r="A57" s="9" t="s">
        <v>235</v>
      </c>
      <c r="B57" s="9" t="s">
        <v>584</v>
      </c>
      <c r="C57" s="9" t="s">
        <v>585</v>
      </c>
      <c r="D57" s="9" t="s">
        <v>582</v>
      </c>
      <c r="E57" s="9" t="s">
        <v>583</v>
      </c>
      <c r="F57" s="77">
        <v>33.505000000000003</v>
      </c>
      <c r="G57" s="77">
        <v>33.423000000000002</v>
      </c>
      <c r="H57" s="77">
        <v>34.018999999999998</v>
      </c>
      <c r="I57" s="77">
        <v>34.276000000000003</v>
      </c>
      <c r="J57" s="77">
        <v>34.533000000000001</v>
      </c>
      <c r="K57" s="77">
        <v>34.79</v>
      </c>
      <c r="L57" s="77">
        <v>35.046999999999997</v>
      </c>
      <c r="M57" s="77">
        <v>35.304000000000002</v>
      </c>
    </row>
    <row r="58" spans="1:13" x14ac:dyDescent="0.25">
      <c r="A58" s="9" t="s">
        <v>235</v>
      </c>
      <c r="B58" s="9" t="s">
        <v>586</v>
      </c>
      <c r="C58" s="9" t="s">
        <v>587</v>
      </c>
      <c r="D58" s="9">
        <v>0</v>
      </c>
      <c r="E58" s="9" t="s">
        <v>583</v>
      </c>
      <c r="F58" s="78">
        <v>536.13800000000003</v>
      </c>
      <c r="G58" s="78">
        <v>540.93100000000004</v>
      </c>
      <c r="H58" s="78">
        <v>548.09500000000003</v>
      </c>
      <c r="I58" s="78">
        <v>554.74400000000003</v>
      </c>
      <c r="J58" s="78">
        <v>560.50400000000002</v>
      </c>
      <c r="K58" s="78">
        <v>566.19600000000003</v>
      </c>
      <c r="L58" s="78">
        <v>571.77300000000002</v>
      </c>
      <c r="M58" s="78">
        <v>577.23299999999995</v>
      </c>
    </row>
    <row r="59" spans="1:13" x14ac:dyDescent="0.25">
      <c r="A59" s="9" t="s">
        <v>235</v>
      </c>
      <c r="B59" s="9" t="s">
        <v>588</v>
      </c>
      <c r="C59" s="9" t="s">
        <v>589</v>
      </c>
      <c r="D59" s="9">
        <v>0</v>
      </c>
      <c r="E59" s="9" t="s">
        <v>583</v>
      </c>
      <c r="F59" s="79">
        <v>1207.5830000000001</v>
      </c>
      <c r="G59" s="79">
        <v>1216.3209999999999</v>
      </c>
      <c r="H59" s="79">
        <v>1231.327</v>
      </c>
      <c r="I59" s="79">
        <v>1245.481</v>
      </c>
      <c r="J59" s="79">
        <v>1257.607</v>
      </c>
      <c r="K59" s="79">
        <v>1269.203</v>
      </c>
      <c r="L59" s="79">
        <v>1280.874</v>
      </c>
      <c r="M59" s="79">
        <v>1292.096</v>
      </c>
    </row>
    <row r="60" spans="1:13" x14ac:dyDescent="0.25">
      <c r="A60" s="9" t="s">
        <v>235</v>
      </c>
      <c r="B60" s="9" t="s">
        <v>590</v>
      </c>
      <c r="C60" s="9" t="s">
        <v>591</v>
      </c>
      <c r="D60" s="9">
        <v>0</v>
      </c>
      <c r="E60" s="9" t="s">
        <v>583</v>
      </c>
      <c r="F60" s="77">
        <v>0</v>
      </c>
      <c r="G60" s="77">
        <v>0</v>
      </c>
      <c r="H60" s="77">
        <v>0</v>
      </c>
      <c r="I60" s="77">
        <v>0</v>
      </c>
      <c r="J60" s="77">
        <v>0</v>
      </c>
      <c r="K60" s="77">
        <v>0</v>
      </c>
      <c r="L60" s="77">
        <v>0</v>
      </c>
      <c r="M60" s="77">
        <v>0</v>
      </c>
    </row>
    <row r="61" spans="1:13" x14ac:dyDescent="0.25">
      <c r="A61" s="9" t="s">
        <v>235</v>
      </c>
      <c r="B61" s="9" t="s">
        <v>592</v>
      </c>
      <c r="C61" s="9" t="s">
        <v>593</v>
      </c>
      <c r="D61" s="9">
        <v>0</v>
      </c>
      <c r="E61" s="9" t="s">
        <v>583</v>
      </c>
      <c r="F61" s="77">
        <v>0</v>
      </c>
      <c r="G61" s="77">
        <v>0</v>
      </c>
      <c r="H61" s="77">
        <v>0</v>
      </c>
      <c r="I61" s="77">
        <v>0</v>
      </c>
      <c r="J61" s="77">
        <v>0</v>
      </c>
      <c r="K61" s="77">
        <v>0</v>
      </c>
      <c r="L61" s="77">
        <v>0</v>
      </c>
      <c r="M61" s="77">
        <v>0</v>
      </c>
    </row>
    <row r="62" spans="1:13" x14ac:dyDescent="0.25">
      <c r="A62" s="9" t="s">
        <v>235</v>
      </c>
      <c r="B62" s="9" t="s">
        <v>594</v>
      </c>
      <c r="C62" s="9" t="s">
        <v>595</v>
      </c>
      <c r="D62" s="9" t="s">
        <v>582</v>
      </c>
      <c r="E62" s="9" t="s">
        <v>583</v>
      </c>
      <c r="F62" s="77">
        <v>0</v>
      </c>
      <c r="G62" s="77">
        <v>0</v>
      </c>
      <c r="H62" s="77">
        <v>0</v>
      </c>
      <c r="I62" s="77">
        <v>0</v>
      </c>
      <c r="J62" s="77">
        <v>0</v>
      </c>
      <c r="K62" s="77">
        <v>0</v>
      </c>
      <c r="L62" s="77">
        <v>0</v>
      </c>
      <c r="M62" s="77">
        <v>0</v>
      </c>
    </row>
    <row r="63" spans="1:13" x14ac:dyDescent="0.25">
      <c r="A63" s="9" t="s">
        <v>235</v>
      </c>
      <c r="B63" s="9" t="s">
        <v>596</v>
      </c>
      <c r="C63" s="9" t="s">
        <v>597</v>
      </c>
      <c r="D63" s="9">
        <v>0</v>
      </c>
      <c r="E63" s="9" t="s">
        <v>583</v>
      </c>
      <c r="F63" s="77"/>
      <c r="G63" s="77"/>
      <c r="H63" s="77"/>
      <c r="I63" s="77"/>
      <c r="J63" s="77"/>
      <c r="K63" s="77"/>
      <c r="L63" s="77"/>
      <c r="M63" s="77"/>
    </row>
    <row r="64" spans="1:13" x14ac:dyDescent="0.25">
      <c r="A64" s="9" t="s">
        <v>235</v>
      </c>
      <c r="B64" s="9" t="s">
        <v>598</v>
      </c>
      <c r="C64" s="9" t="s">
        <v>599</v>
      </c>
      <c r="D64" s="9">
        <v>0</v>
      </c>
      <c r="E64" s="9" t="s">
        <v>583</v>
      </c>
      <c r="F64" s="80"/>
      <c r="G64" s="80"/>
      <c r="H64" s="80"/>
      <c r="I64" s="80"/>
      <c r="J64" s="80"/>
      <c r="K64" s="80"/>
      <c r="L64" s="80"/>
      <c r="M64" s="80"/>
    </row>
    <row r="65" spans="1:13" x14ac:dyDescent="0.25">
      <c r="A65" s="9" t="s">
        <v>235</v>
      </c>
      <c r="B65" s="9" t="s">
        <v>600</v>
      </c>
      <c r="C65" s="9" t="s">
        <v>601</v>
      </c>
      <c r="D65" s="9" t="s">
        <v>602</v>
      </c>
      <c r="E65" s="9" t="s">
        <v>583</v>
      </c>
      <c r="F65" s="80">
        <v>0</v>
      </c>
      <c r="G65" s="80">
        <v>0</v>
      </c>
      <c r="H65" s="80">
        <v>0</v>
      </c>
      <c r="I65" s="80">
        <v>0</v>
      </c>
      <c r="J65" s="80">
        <v>0</v>
      </c>
      <c r="K65" s="80">
        <v>0</v>
      </c>
      <c r="L65" s="80">
        <v>0</v>
      </c>
      <c r="M65" s="80">
        <v>0</v>
      </c>
    </row>
    <row r="66" spans="1:13" x14ac:dyDescent="0.25">
      <c r="A66" s="9" t="s">
        <v>235</v>
      </c>
      <c r="B66" s="9" t="s">
        <v>603</v>
      </c>
      <c r="C66" s="9" t="s">
        <v>604</v>
      </c>
      <c r="D66" s="9" t="s">
        <v>504</v>
      </c>
      <c r="E66" s="9" t="s">
        <v>583</v>
      </c>
      <c r="F66" s="78"/>
      <c r="G66" s="78"/>
      <c r="H66" s="78"/>
      <c r="I66" s="78"/>
      <c r="J66" s="78"/>
      <c r="K66" s="78"/>
      <c r="L66" s="78"/>
      <c r="M66" s="78"/>
    </row>
    <row r="67" spans="1:13" x14ac:dyDescent="0.25">
      <c r="A67" s="9" t="s">
        <v>235</v>
      </c>
      <c r="B67" s="9" t="s">
        <v>605</v>
      </c>
      <c r="C67" s="9" t="s">
        <v>606</v>
      </c>
      <c r="D67" s="9" t="s">
        <v>504</v>
      </c>
      <c r="E67" s="9" t="s">
        <v>583</v>
      </c>
      <c r="F67" s="79">
        <v>6828</v>
      </c>
      <c r="G67" s="79">
        <v>6848</v>
      </c>
      <c r="H67" s="79">
        <v>6880</v>
      </c>
      <c r="I67" s="79">
        <v>6906</v>
      </c>
      <c r="J67" s="79">
        <v>6932</v>
      </c>
      <c r="K67" s="79">
        <v>6958</v>
      </c>
      <c r="L67" s="79">
        <v>6984</v>
      </c>
      <c r="M67" s="79">
        <v>7010</v>
      </c>
    </row>
    <row r="68" spans="1:13" x14ac:dyDescent="0.25">
      <c r="A68" s="9" t="s">
        <v>235</v>
      </c>
      <c r="B68" s="9" t="s">
        <v>607</v>
      </c>
      <c r="C68" s="9" t="s">
        <v>608</v>
      </c>
      <c r="D68" s="9" t="s">
        <v>179</v>
      </c>
      <c r="E68" s="9" t="s">
        <v>583</v>
      </c>
      <c r="F68" s="79">
        <v>46.64</v>
      </c>
      <c r="G68" s="79">
        <v>41.71</v>
      </c>
      <c r="H68" s="79">
        <v>43</v>
      </c>
      <c r="I68" s="79">
        <v>42</v>
      </c>
      <c r="J68" s="79">
        <v>41</v>
      </c>
      <c r="K68" s="79">
        <v>39.5</v>
      </c>
      <c r="L68" s="79">
        <v>38</v>
      </c>
      <c r="M68" s="79">
        <v>36.5</v>
      </c>
    </row>
    <row r="69" spans="1:13" x14ac:dyDescent="0.25">
      <c r="A69" s="9" t="s">
        <v>235</v>
      </c>
      <c r="B69" s="9" t="s">
        <v>609</v>
      </c>
      <c r="C69" s="9" t="s">
        <v>610</v>
      </c>
      <c r="D69" s="9" t="s">
        <v>179</v>
      </c>
      <c r="E69" s="9" t="s">
        <v>583</v>
      </c>
      <c r="F69" s="79">
        <v>279.01</v>
      </c>
      <c r="G69" s="79">
        <v>280.60000000000002</v>
      </c>
      <c r="H69" s="79">
        <v>273.60427338503803</v>
      </c>
      <c r="I69" s="79">
        <v>271.213930312743</v>
      </c>
      <c r="J69" s="79">
        <v>270.84692899722501</v>
      </c>
      <c r="K69" s="79">
        <v>270.12449778753</v>
      </c>
      <c r="L69" s="79">
        <v>269.331553562115</v>
      </c>
      <c r="M69" s="79">
        <v>268.54849006164602</v>
      </c>
    </row>
    <row r="70" spans="1:13" x14ac:dyDescent="0.25">
      <c r="A70" s="9" t="s">
        <v>235</v>
      </c>
      <c r="B70" s="9" t="s">
        <v>471</v>
      </c>
      <c r="C70" s="9" t="s">
        <v>472</v>
      </c>
      <c r="D70" s="9" t="s">
        <v>582</v>
      </c>
      <c r="E70" s="9" t="s">
        <v>583</v>
      </c>
      <c r="F70" s="77">
        <v>239.792</v>
      </c>
      <c r="G70" s="77">
        <v>224.43799999999999</v>
      </c>
      <c r="H70" s="77">
        <v>200.977</v>
      </c>
      <c r="I70" s="77">
        <v>169.96899999999999</v>
      </c>
      <c r="J70" s="77">
        <v>162.904</v>
      </c>
      <c r="K70" s="77">
        <v>155.46899999999999</v>
      </c>
      <c r="L70" s="77">
        <v>147.80500000000001</v>
      </c>
      <c r="M70" s="77">
        <v>139.626</v>
      </c>
    </row>
    <row r="71" spans="1:13" x14ac:dyDescent="0.25">
      <c r="A71" s="9" t="s">
        <v>235</v>
      </c>
      <c r="B71" s="9" t="s">
        <v>473</v>
      </c>
      <c r="C71" s="9" t="s">
        <v>474</v>
      </c>
      <c r="D71" s="9" t="s">
        <v>582</v>
      </c>
      <c r="E71" s="9" t="s">
        <v>583</v>
      </c>
      <c r="F71" s="77">
        <v>250.16300000000001</v>
      </c>
      <c r="G71" s="77">
        <v>269.39400000000001</v>
      </c>
      <c r="H71" s="77">
        <v>301</v>
      </c>
      <c r="I71" s="77">
        <v>338.1</v>
      </c>
      <c r="J71" s="77">
        <v>351.11599999999999</v>
      </c>
      <c r="K71" s="77">
        <v>364.017</v>
      </c>
      <c r="L71" s="77">
        <v>377.05500000000001</v>
      </c>
      <c r="M71" s="77">
        <v>390.48399999999998</v>
      </c>
    </row>
    <row r="72" spans="1:13" x14ac:dyDescent="0.25">
      <c r="A72" s="9" t="s">
        <v>235</v>
      </c>
      <c r="B72" s="9" t="s">
        <v>475</v>
      </c>
      <c r="C72" s="9" t="s">
        <v>476</v>
      </c>
      <c r="D72" s="9" t="s">
        <v>582</v>
      </c>
      <c r="E72" s="9" t="s">
        <v>583</v>
      </c>
      <c r="F72" s="77"/>
      <c r="G72" s="77"/>
      <c r="H72" s="77"/>
      <c r="I72" s="77"/>
      <c r="J72" s="77"/>
      <c r="K72" s="77"/>
      <c r="L72" s="77"/>
      <c r="M72" s="77"/>
    </row>
    <row r="73" spans="1:13" x14ac:dyDescent="0.25">
      <c r="A73" s="9" t="s">
        <v>235</v>
      </c>
      <c r="B73" s="9" t="s">
        <v>477</v>
      </c>
      <c r="C73" s="9" t="s">
        <v>478</v>
      </c>
      <c r="D73" s="9" t="s">
        <v>582</v>
      </c>
      <c r="E73" s="9" t="s">
        <v>583</v>
      </c>
      <c r="F73" s="77"/>
      <c r="G73" s="77"/>
      <c r="H73" s="77"/>
      <c r="I73" s="77"/>
      <c r="J73" s="77"/>
      <c r="K73" s="77"/>
      <c r="L73" s="77"/>
      <c r="M73" s="77"/>
    </row>
    <row r="74" spans="1:13" x14ac:dyDescent="0.25">
      <c r="A74" s="9" t="s">
        <v>235</v>
      </c>
      <c r="B74" s="9" t="s">
        <v>479</v>
      </c>
      <c r="C74" s="9" t="s">
        <v>480</v>
      </c>
      <c r="D74" s="9" t="s">
        <v>582</v>
      </c>
      <c r="E74" s="9" t="s">
        <v>583</v>
      </c>
      <c r="F74" s="77"/>
      <c r="G74" s="77"/>
      <c r="H74" s="77"/>
      <c r="I74" s="77"/>
      <c r="J74" s="77"/>
      <c r="K74" s="77"/>
      <c r="L74" s="77"/>
      <c r="M74" s="77"/>
    </row>
    <row r="75" spans="1:13" x14ac:dyDescent="0.25">
      <c r="A75" s="9" t="s">
        <v>235</v>
      </c>
      <c r="B75" s="9" t="s">
        <v>481</v>
      </c>
      <c r="C75" s="9" t="s">
        <v>482</v>
      </c>
      <c r="D75" s="9" t="s">
        <v>582</v>
      </c>
      <c r="E75" s="9" t="s">
        <v>583</v>
      </c>
      <c r="F75" s="77"/>
      <c r="G75" s="77"/>
      <c r="H75" s="77"/>
      <c r="I75" s="77"/>
      <c r="J75" s="77"/>
      <c r="K75" s="77"/>
      <c r="L75" s="77"/>
      <c r="M75" s="77"/>
    </row>
    <row r="76" spans="1:13" x14ac:dyDescent="0.25">
      <c r="A76" s="9" t="s">
        <v>235</v>
      </c>
      <c r="B76" s="9" t="s">
        <v>611</v>
      </c>
      <c r="C76" s="9" t="s">
        <v>612</v>
      </c>
      <c r="D76" s="9" t="s">
        <v>613</v>
      </c>
      <c r="E76" s="9" t="s">
        <v>583</v>
      </c>
      <c r="F76" s="9"/>
      <c r="G76" s="9"/>
      <c r="H76" s="9"/>
      <c r="I76" s="9"/>
      <c r="J76" s="9"/>
      <c r="K76" s="9"/>
      <c r="L76" s="9"/>
      <c r="M76" s="9"/>
    </row>
    <row r="77" spans="1:13" x14ac:dyDescent="0.25">
      <c r="A77" s="9" t="s">
        <v>235</v>
      </c>
      <c r="B77" s="9" t="s">
        <v>483</v>
      </c>
      <c r="C77" s="9" t="s">
        <v>484</v>
      </c>
      <c r="D77" s="9" t="s">
        <v>582</v>
      </c>
      <c r="E77" s="9" t="s">
        <v>583</v>
      </c>
      <c r="F77" s="77">
        <v>536.13800000000003</v>
      </c>
      <c r="G77" s="77">
        <v>542.029</v>
      </c>
      <c r="H77" s="77">
        <v>548.09500000000003</v>
      </c>
      <c r="I77" s="77">
        <v>554.74400000000003</v>
      </c>
      <c r="J77" s="77">
        <v>560.50400000000002</v>
      </c>
      <c r="K77" s="77">
        <v>566.19600000000003</v>
      </c>
      <c r="L77" s="77">
        <v>571.77300000000002</v>
      </c>
      <c r="M77" s="77">
        <v>577.23299999999995</v>
      </c>
    </row>
    <row r="78" spans="1:13" x14ac:dyDescent="0.25">
      <c r="A78" s="9" t="s">
        <v>235</v>
      </c>
      <c r="B78" s="9" t="s">
        <v>485</v>
      </c>
      <c r="C78" s="9" t="s">
        <v>486</v>
      </c>
      <c r="D78" s="9" t="s">
        <v>504</v>
      </c>
      <c r="E78" s="9" t="s">
        <v>583</v>
      </c>
      <c r="F78" s="80">
        <v>6828</v>
      </c>
      <c r="G78" s="80">
        <v>6854</v>
      </c>
      <c r="H78" s="80">
        <v>6880</v>
      </c>
      <c r="I78" s="80">
        <v>6906</v>
      </c>
      <c r="J78" s="80">
        <v>6932</v>
      </c>
      <c r="K78" s="80">
        <v>6958</v>
      </c>
      <c r="L78" s="80">
        <v>6984</v>
      </c>
      <c r="M78" s="80">
        <v>7010</v>
      </c>
    </row>
    <row r="79" spans="1:13" x14ac:dyDescent="0.25">
      <c r="A79" s="9" t="s">
        <v>235</v>
      </c>
      <c r="B79" s="9" t="s">
        <v>614</v>
      </c>
      <c r="C79" s="9" t="s">
        <v>615</v>
      </c>
      <c r="D79" s="9" t="s">
        <v>613</v>
      </c>
      <c r="E79" s="9" t="s">
        <v>583</v>
      </c>
      <c r="F79" s="9"/>
      <c r="G79" s="9"/>
      <c r="H79" s="9"/>
      <c r="I79" s="9"/>
      <c r="J79" s="9"/>
      <c r="K79" s="9"/>
      <c r="L79" s="9"/>
      <c r="M79" s="9"/>
    </row>
    <row r="80" spans="1:13" x14ac:dyDescent="0.25">
      <c r="A80" s="9" t="s">
        <v>235</v>
      </c>
      <c r="B80" s="9" t="s">
        <v>487</v>
      </c>
      <c r="C80" s="9" t="s">
        <v>488</v>
      </c>
      <c r="D80" s="9" t="s">
        <v>582</v>
      </c>
      <c r="E80" s="9" t="s">
        <v>583</v>
      </c>
      <c r="F80" s="77"/>
      <c r="G80" s="77"/>
      <c r="H80" s="77"/>
      <c r="I80" s="77"/>
      <c r="J80" s="77"/>
      <c r="K80" s="77"/>
      <c r="L80" s="77"/>
      <c r="M80" s="77"/>
    </row>
    <row r="81" spans="1:13" x14ac:dyDescent="0.25">
      <c r="A81" s="9" t="s">
        <v>235</v>
      </c>
      <c r="B81" s="9" t="s">
        <v>489</v>
      </c>
      <c r="C81" s="9" t="s">
        <v>490</v>
      </c>
      <c r="D81" s="9" t="s">
        <v>504</v>
      </c>
      <c r="E81" s="9" t="s">
        <v>583</v>
      </c>
      <c r="F81" s="80"/>
      <c r="G81" s="80"/>
      <c r="H81" s="80"/>
      <c r="I81" s="80"/>
      <c r="J81" s="80"/>
      <c r="K81" s="80"/>
      <c r="L81" s="80"/>
      <c r="M81" s="80"/>
    </row>
    <row r="82" spans="1:13" x14ac:dyDescent="0.25">
      <c r="A82" s="9" t="s">
        <v>237</v>
      </c>
      <c r="B82" s="9" t="s">
        <v>580</v>
      </c>
      <c r="C82" s="9" t="s">
        <v>581</v>
      </c>
      <c r="D82" s="9" t="s">
        <v>582</v>
      </c>
      <c r="E82" s="9" t="s">
        <v>583</v>
      </c>
      <c r="F82" s="77">
        <v>96.471000000000004</v>
      </c>
      <c r="G82" s="77">
        <v>96.617999999999995</v>
      </c>
      <c r="H82" s="77">
        <v>97.160648723706302</v>
      </c>
      <c r="I82" s="77">
        <v>97.512500518931901</v>
      </c>
      <c r="J82" s="77">
        <v>97.890352314157496</v>
      </c>
      <c r="K82" s="77">
        <v>98.293204109383097</v>
      </c>
      <c r="L82" s="77">
        <v>98.704083337981103</v>
      </c>
      <c r="M82" s="77">
        <v>99.1219625665791</v>
      </c>
    </row>
    <row r="83" spans="1:13" x14ac:dyDescent="0.25">
      <c r="A83" s="9" t="s">
        <v>237</v>
      </c>
      <c r="B83" s="9" t="s">
        <v>584</v>
      </c>
      <c r="C83" s="9" t="s">
        <v>585</v>
      </c>
      <c r="D83" s="9" t="s">
        <v>582</v>
      </c>
      <c r="E83" s="9" t="s">
        <v>583</v>
      </c>
      <c r="F83" s="77">
        <v>8.3970000000000002</v>
      </c>
      <c r="G83" s="77">
        <v>8.3559999999999999</v>
      </c>
      <c r="H83" s="77">
        <v>8.3953614143414708</v>
      </c>
      <c r="I83" s="77">
        <v>8.3955421215122108</v>
      </c>
      <c r="J83" s="77">
        <v>8.3977228286829408</v>
      </c>
      <c r="K83" s="77">
        <v>8.4019035358536804</v>
      </c>
      <c r="L83" s="77">
        <v>8.4060842430244094</v>
      </c>
      <c r="M83" s="77">
        <v>8.4112649501951502</v>
      </c>
    </row>
    <row r="84" spans="1:13" x14ac:dyDescent="0.25">
      <c r="A84" s="9" t="s">
        <v>237</v>
      </c>
      <c r="B84" s="9" t="s">
        <v>586</v>
      </c>
      <c r="C84" s="9" t="s">
        <v>587</v>
      </c>
      <c r="D84" s="9">
        <v>0</v>
      </c>
      <c r="E84" s="9" t="s">
        <v>583</v>
      </c>
      <c r="F84" s="78">
        <v>104.86799999999999</v>
      </c>
      <c r="G84" s="78">
        <v>104.974</v>
      </c>
      <c r="H84" s="78">
        <v>105.55601013804799</v>
      </c>
      <c r="I84" s="78">
        <v>105.90804264044399</v>
      </c>
      <c r="J84" s="78">
        <v>106.28807514284</v>
      </c>
      <c r="K84" s="78">
        <v>106.695107645237</v>
      </c>
      <c r="L84" s="78">
        <v>107.110167581005</v>
      </c>
      <c r="M84" s="78">
        <v>107.53322751677401</v>
      </c>
    </row>
    <row r="85" spans="1:13" x14ac:dyDescent="0.25">
      <c r="A85" s="9" t="s">
        <v>237</v>
      </c>
      <c r="B85" s="9" t="s">
        <v>588</v>
      </c>
      <c r="C85" s="9" t="s">
        <v>589</v>
      </c>
      <c r="D85" s="9">
        <v>0</v>
      </c>
      <c r="E85" s="9" t="s">
        <v>583</v>
      </c>
      <c r="F85" s="79">
        <v>218.91800000000001</v>
      </c>
      <c r="G85" s="79">
        <v>206.67152903663001</v>
      </c>
      <c r="H85" s="79">
        <v>220.971</v>
      </c>
      <c r="I85" s="79">
        <v>221.999</v>
      </c>
      <c r="J85" s="79">
        <v>223.05099999999999</v>
      </c>
      <c r="K85" s="79">
        <v>224.102</v>
      </c>
      <c r="L85" s="79">
        <v>225.14599999999999</v>
      </c>
      <c r="M85" s="79">
        <v>226.179</v>
      </c>
    </row>
    <row r="86" spans="1:13" x14ac:dyDescent="0.25">
      <c r="A86" s="9" t="s">
        <v>237</v>
      </c>
      <c r="B86" s="9" t="s">
        <v>590</v>
      </c>
      <c r="C86" s="9" t="s">
        <v>591</v>
      </c>
      <c r="D86" s="9">
        <v>0</v>
      </c>
      <c r="E86" s="9" t="s">
        <v>583</v>
      </c>
      <c r="F86" s="77">
        <v>24.19</v>
      </c>
      <c r="G86" s="77">
        <v>17.853999999999999</v>
      </c>
      <c r="H86" s="77">
        <v>24.555648723706302</v>
      </c>
      <c r="I86" s="77">
        <v>24.7481322018402</v>
      </c>
      <c r="J86" s="77">
        <v>24.956615679974099</v>
      </c>
      <c r="K86" s="77">
        <v>25.179099158107999</v>
      </c>
      <c r="L86" s="77">
        <v>25.406610069614398</v>
      </c>
      <c r="M86" s="77">
        <v>25.6381209811207</v>
      </c>
    </row>
    <row r="87" spans="1:13" x14ac:dyDescent="0.25">
      <c r="A87" s="9" t="s">
        <v>237</v>
      </c>
      <c r="B87" s="9" t="s">
        <v>592</v>
      </c>
      <c r="C87" s="9" t="s">
        <v>593</v>
      </c>
      <c r="D87" s="9">
        <v>0</v>
      </c>
      <c r="E87" s="9" t="s">
        <v>583</v>
      </c>
      <c r="F87" s="77">
        <v>1.0960000000000001</v>
      </c>
      <c r="G87" s="77">
        <v>1.282</v>
      </c>
      <c r="H87" s="77">
        <v>1.0583614143414699</v>
      </c>
      <c r="I87" s="77">
        <v>1.0398844386038899</v>
      </c>
      <c r="J87" s="77">
        <v>1.0224074628663</v>
      </c>
      <c r="K87" s="77">
        <v>1.00593048712872</v>
      </c>
      <c r="L87" s="77">
        <v>0.98945351139113502</v>
      </c>
      <c r="M87" s="77">
        <v>0.97397653565355102</v>
      </c>
    </row>
    <row r="88" spans="1:13" x14ac:dyDescent="0.25">
      <c r="A88" s="9" t="s">
        <v>237</v>
      </c>
      <c r="B88" s="9" t="s">
        <v>594</v>
      </c>
      <c r="C88" s="9" t="s">
        <v>595</v>
      </c>
      <c r="D88" s="9" t="s">
        <v>582</v>
      </c>
      <c r="E88" s="9" t="s">
        <v>583</v>
      </c>
      <c r="F88" s="77">
        <v>28.273</v>
      </c>
      <c r="G88" s="77">
        <v>21.071000000000002</v>
      </c>
      <c r="H88" s="77">
        <v>28.601010138047801</v>
      </c>
      <c r="I88" s="77">
        <v>28.769042640444098</v>
      </c>
      <c r="J88" s="77">
        <v>28.954075142840399</v>
      </c>
      <c r="K88" s="77">
        <v>29.154107645236799</v>
      </c>
      <c r="L88" s="77">
        <v>29.359167581005501</v>
      </c>
      <c r="M88" s="77">
        <v>29.569227516774198</v>
      </c>
    </row>
    <row r="89" spans="1:13" x14ac:dyDescent="0.25">
      <c r="A89" s="9" t="s">
        <v>237</v>
      </c>
      <c r="B89" s="9" t="s">
        <v>596</v>
      </c>
      <c r="C89" s="9" t="s">
        <v>597</v>
      </c>
      <c r="D89" s="9">
        <v>0</v>
      </c>
      <c r="E89" s="9" t="s">
        <v>583</v>
      </c>
      <c r="F89" s="77">
        <v>40.667999999999999</v>
      </c>
      <c r="G89" s="77">
        <v>39.447000000000003</v>
      </c>
      <c r="H89" s="77">
        <v>41.368701865120499</v>
      </c>
      <c r="I89" s="77">
        <v>41.7189048631883</v>
      </c>
      <c r="J89" s="77">
        <v>42.069104207057997</v>
      </c>
      <c r="K89" s="77">
        <v>42.419265297347998</v>
      </c>
      <c r="L89" s="77">
        <v>42.769421438384498</v>
      </c>
      <c r="M89" s="77">
        <v>43.119568757199602</v>
      </c>
    </row>
    <row r="90" spans="1:13" x14ac:dyDescent="0.25">
      <c r="A90" s="9" t="s">
        <v>237</v>
      </c>
      <c r="B90" s="9" t="s">
        <v>598</v>
      </c>
      <c r="C90" s="9" t="s">
        <v>599</v>
      </c>
      <c r="D90" s="9">
        <v>0</v>
      </c>
      <c r="E90" s="9" t="s">
        <v>583</v>
      </c>
      <c r="F90" s="80">
        <v>0.23</v>
      </c>
      <c r="G90" s="80">
        <v>0.219</v>
      </c>
      <c r="H90" s="80">
        <v>0.231228610906066</v>
      </c>
      <c r="I90" s="80">
        <v>0.23197767992726701</v>
      </c>
      <c r="J90" s="80">
        <v>0.232723116654972</v>
      </c>
      <c r="K90" s="80">
        <v>0.23343052910944101</v>
      </c>
      <c r="L90" s="80">
        <v>0.23413302197804001</v>
      </c>
      <c r="M90" s="80">
        <v>0.234826745509047</v>
      </c>
    </row>
    <row r="91" spans="1:13" x14ac:dyDescent="0.25">
      <c r="A91" s="9" t="s">
        <v>237</v>
      </c>
      <c r="B91" s="9" t="s">
        <v>600</v>
      </c>
      <c r="C91" s="9" t="s">
        <v>601</v>
      </c>
      <c r="D91" s="9" t="s">
        <v>602</v>
      </c>
      <c r="E91" s="9" t="s">
        <v>583</v>
      </c>
      <c r="F91" s="80">
        <v>305.72046899999998</v>
      </c>
      <c r="G91" s="80">
        <v>305.27579700000001</v>
      </c>
      <c r="H91" s="80">
        <v>309.85301479999998</v>
      </c>
      <c r="I91" s="80">
        <v>311.91928769999998</v>
      </c>
      <c r="J91" s="80">
        <v>313.98556059999999</v>
      </c>
      <c r="K91" s="80">
        <v>316.05183349999999</v>
      </c>
      <c r="L91" s="80">
        <v>318.11810639999999</v>
      </c>
      <c r="M91" s="80">
        <v>320.18437929999999</v>
      </c>
    </row>
    <row r="92" spans="1:13" x14ac:dyDescent="0.25">
      <c r="A92" s="9" t="s">
        <v>237</v>
      </c>
      <c r="B92" s="9" t="s">
        <v>603</v>
      </c>
      <c r="C92" s="9" t="s">
        <v>604</v>
      </c>
      <c r="D92" s="9" t="s">
        <v>504</v>
      </c>
      <c r="E92" s="9" t="s">
        <v>583</v>
      </c>
      <c r="F92" s="78">
        <v>196</v>
      </c>
      <c r="G92" s="78">
        <v>196</v>
      </c>
      <c r="H92" s="78">
        <v>196</v>
      </c>
      <c r="I92" s="78">
        <v>196</v>
      </c>
      <c r="J92" s="78">
        <v>196</v>
      </c>
      <c r="K92" s="78">
        <v>196</v>
      </c>
      <c r="L92" s="78">
        <v>196</v>
      </c>
      <c r="M92" s="78">
        <v>196</v>
      </c>
    </row>
    <row r="93" spans="1:13" x14ac:dyDescent="0.25">
      <c r="A93" s="9" t="s">
        <v>237</v>
      </c>
      <c r="B93" s="9" t="s">
        <v>605</v>
      </c>
      <c r="C93" s="9" t="s">
        <v>606</v>
      </c>
      <c r="D93" s="9" t="s">
        <v>504</v>
      </c>
      <c r="E93" s="9" t="s">
        <v>583</v>
      </c>
      <c r="F93" s="79">
        <v>2626.6137800000001</v>
      </c>
      <c r="G93" s="79">
        <v>2606.0845890000001</v>
      </c>
      <c r="H93" s="79">
        <v>2648.0137800000002</v>
      </c>
      <c r="I93" s="79">
        <v>2658.71378</v>
      </c>
      <c r="J93" s="79">
        <v>2669.4137799999999</v>
      </c>
      <c r="K93" s="79">
        <v>2680.1137800000001</v>
      </c>
      <c r="L93" s="79">
        <v>2690.81378</v>
      </c>
      <c r="M93" s="79">
        <v>2701.5137800000002</v>
      </c>
    </row>
    <row r="94" spans="1:13" x14ac:dyDescent="0.25">
      <c r="A94" s="9" t="s">
        <v>237</v>
      </c>
      <c r="B94" s="9" t="s">
        <v>607</v>
      </c>
      <c r="C94" s="9" t="s">
        <v>608</v>
      </c>
      <c r="D94" s="9" t="s">
        <v>179</v>
      </c>
      <c r="E94" s="9" t="s">
        <v>583</v>
      </c>
      <c r="F94" s="79">
        <v>14.6198616647624</v>
      </c>
      <c r="G94" s="79">
        <v>15.271547781797601</v>
      </c>
      <c r="H94" s="79">
        <v>14.512425451575799</v>
      </c>
      <c r="I94" s="79">
        <v>14.076107528233401</v>
      </c>
      <c r="J94" s="79">
        <v>13.640763996432399</v>
      </c>
      <c r="K94" s="79">
        <v>13.205420464631301</v>
      </c>
      <c r="L94" s="79">
        <v>12.7700769328303</v>
      </c>
      <c r="M94" s="79">
        <v>12.3347334010293</v>
      </c>
    </row>
    <row r="95" spans="1:13" x14ac:dyDescent="0.25">
      <c r="A95" s="9" t="s">
        <v>237</v>
      </c>
      <c r="B95" s="9" t="s">
        <v>609</v>
      </c>
      <c r="C95" s="9" t="s">
        <v>610</v>
      </c>
      <c r="D95" s="9" t="s">
        <v>179</v>
      </c>
      <c r="E95" s="9" t="s">
        <v>583</v>
      </c>
      <c r="F95" s="79">
        <v>62.18</v>
      </c>
      <c r="G95" s="79">
        <v>61.583572388014801</v>
      </c>
      <c r="H95" s="79">
        <v>59.895850173776502</v>
      </c>
      <c r="I95" s="79">
        <v>59.182903806908797</v>
      </c>
      <c r="J95" s="79">
        <v>58.529493874136399</v>
      </c>
      <c r="K95" s="79">
        <v>57.890799456448804</v>
      </c>
      <c r="L95" s="79">
        <v>57.271049971516703</v>
      </c>
      <c r="M95" s="79">
        <v>56.650457042985799</v>
      </c>
    </row>
    <row r="96" spans="1:13" x14ac:dyDescent="0.25">
      <c r="A96" s="9" t="s">
        <v>237</v>
      </c>
      <c r="B96" s="9" t="s">
        <v>471</v>
      </c>
      <c r="C96" s="9" t="s">
        <v>472</v>
      </c>
      <c r="D96" s="9" t="s">
        <v>582</v>
      </c>
      <c r="E96" s="9" t="s">
        <v>583</v>
      </c>
      <c r="F96" s="77">
        <v>27.821362776746401</v>
      </c>
      <c r="G96" s="77">
        <v>31.675000000000001</v>
      </c>
      <c r="H96" s="77">
        <v>30.952999999999999</v>
      </c>
      <c r="I96" s="77">
        <v>30.099</v>
      </c>
      <c r="J96" s="77">
        <v>29.271999999999998</v>
      </c>
      <c r="K96" s="77">
        <v>28.469000000000001</v>
      </c>
      <c r="L96" s="77">
        <v>27.692</v>
      </c>
      <c r="M96" s="77">
        <v>26.939</v>
      </c>
    </row>
    <row r="97" spans="1:13" x14ac:dyDescent="0.25">
      <c r="A97" s="9" t="s">
        <v>237</v>
      </c>
      <c r="B97" s="9" t="s">
        <v>473</v>
      </c>
      <c r="C97" s="9" t="s">
        <v>474</v>
      </c>
      <c r="D97" s="9" t="s">
        <v>582</v>
      </c>
      <c r="E97" s="9" t="s">
        <v>583</v>
      </c>
      <c r="F97" s="77">
        <v>41.587670557314702</v>
      </c>
      <c r="G97" s="77">
        <v>44.423000000000002</v>
      </c>
      <c r="H97" s="77">
        <v>45.374000000000002</v>
      </c>
      <c r="I97" s="77">
        <v>46.561</v>
      </c>
      <c r="J97" s="77">
        <v>47.722999999999999</v>
      </c>
      <c r="K97" s="77">
        <v>48.86</v>
      </c>
      <c r="L97" s="77">
        <v>49.972000000000001</v>
      </c>
      <c r="M97" s="77">
        <v>51.061</v>
      </c>
    </row>
    <row r="98" spans="1:13" x14ac:dyDescent="0.25">
      <c r="A98" s="9" t="s">
        <v>237</v>
      </c>
      <c r="B98" s="9" t="s">
        <v>475</v>
      </c>
      <c r="C98" s="9" t="s">
        <v>476</v>
      </c>
      <c r="D98" s="9" t="s">
        <v>582</v>
      </c>
      <c r="E98" s="9" t="s">
        <v>583</v>
      </c>
      <c r="F98" s="77">
        <v>3.7379056883528001</v>
      </c>
      <c r="G98" s="77">
        <v>1.0609999999999999</v>
      </c>
      <c r="H98" s="77">
        <v>0.89100000000000001</v>
      </c>
      <c r="I98" s="77">
        <v>0.73099999999999998</v>
      </c>
      <c r="J98" s="77">
        <v>0.57199999999999995</v>
      </c>
      <c r="K98" s="77">
        <v>0.41299999999999998</v>
      </c>
      <c r="L98" s="77">
        <v>0.25600000000000001</v>
      </c>
      <c r="M98" s="77">
        <v>9.9000000000000005E-2</v>
      </c>
    </row>
    <row r="99" spans="1:13" x14ac:dyDescent="0.25">
      <c r="A99" s="9" t="s">
        <v>237</v>
      </c>
      <c r="B99" s="9" t="s">
        <v>477</v>
      </c>
      <c r="C99" s="9" t="s">
        <v>478</v>
      </c>
      <c r="D99" s="9" t="s">
        <v>582</v>
      </c>
      <c r="E99" s="9" t="s">
        <v>583</v>
      </c>
      <c r="F99" s="77">
        <v>1.9948162127242299</v>
      </c>
      <c r="G99" s="77">
        <v>1.4079999999999999</v>
      </c>
      <c r="H99" s="77">
        <v>0.71699999999999997</v>
      </c>
      <c r="I99" s="77">
        <v>0.84699999999999998</v>
      </c>
      <c r="J99" s="77">
        <v>0.97599999999999998</v>
      </c>
      <c r="K99" s="77">
        <v>1.107</v>
      </c>
      <c r="L99" s="77">
        <v>1.2370000000000001</v>
      </c>
      <c r="M99" s="77">
        <v>1.367</v>
      </c>
    </row>
    <row r="100" spans="1:13" x14ac:dyDescent="0.25">
      <c r="A100" s="9" t="s">
        <v>237</v>
      </c>
      <c r="B100" s="9" t="s">
        <v>479</v>
      </c>
      <c r="C100" s="9" t="s">
        <v>480</v>
      </c>
      <c r="D100" s="9" t="s">
        <v>582</v>
      </c>
      <c r="E100" s="9" t="s">
        <v>583</v>
      </c>
      <c r="F100" s="77">
        <v>11.578180969364199</v>
      </c>
      <c r="G100" s="77">
        <v>9.0609999999999999</v>
      </c>
      <c r="H100" s="77">
        <v>9.0069999999999997</v>
      </c>
      <c r="I100" s="77">
        <v>8.4990000000000006</v>
      </c>
      <c r="J100" s="77">
        <v>7.9930000000000003</v>
      </c>
      <c r="K100" s="77">
        <v>7.4909999999999997</v>
      </c>
      <c r="L100" s="77">
        <v>6.9909999999999997</v>
      </c>
      <c r="M100" s="77">
        <v>6.4939999999999998</v>
      </c>
    </row>
    <row r="101" spans="1:13" x14ac:dyDescent="0.25">
      <c r="A101" s="9" t="s">
        <v>237</v>
      </c>
      <c r="B101" s="9" t="s">
        <v>481</v>
      </c>
      <c r="C101" s="9" t="s">
        <v>482</v>
      </c>
      <c r="D101" s="9" t="s">
        <v>582</v>
      </c>
      <c r="E101" s="9" t="s">
        <v>583</v>
      </c>
      <c r="F101" s="77">
        <v>9.6212955900113393</v>
      </c>
      <c r="G101" s="77">
        <v>7.3179999999999996</v>
      </c>
      <c r="H101" s="77">
        <v>7.6050000000000004</v>
      </c>
      <c r="I101" s="77">
        <v>8.2870000000000008</v>
      </c>
      <c r="J101" s="77">
        <v>8.968</v>
      </c>
      <c r="K101" s="77">
        <v>9.6539999999999999</v>
      </c>
      <c r="L101" s="77">
        <v>10.339</v>
      </c>
      <c r="M101" s="77">
        <v>11.023999999999999</v>
      </c>
    </row>
    <row r="102" spans="1:13" x14ac:dyDescent="0.25">
      <c r="A102" s="9" t="s">
        <v>237</v>
      </c>
      <c r="B102" s="9" t="s">
        <v>611</v>
      </c>
      <c r="C102" s="9" t="s">
        <v>612</v>
      </c>
      <c r="D102" s="9" t="s">
        <v>613</v>
      </c>
      <c r="E102" s="9" t="s">
        <v>583</v>
      </c>
      <c r="F102" s="9"/>
      <c r="G102" s="9"/>
      <c r="H102" s="9"/>
      <c r="I102" s="9"/>
      <c r="J102" s="9"/>
      <c r="K102" s="9"/>
      <c r="L102" s="9"/>
      <c r="M102" s="9"/>
    </row>
    <row r="103" spans="1:13" x14ac:dyDescent="0.25">
      <c r="A103" s="9" t="s">
        <v>237</v>
      </c>
      <c r="B103" s="9" t="s">
        <v>483</v>
      </c>
      <c r="C103" s="9" t="s">
        <v>484</v>
      </c>
      <c r="D103" s="9" t="s">
        <v>582</v>
      </c>
      <c r="E103" s="9" t="s">
        <v>583</v>
      </c>
      <c r="F103" s="77">
        <v>104.86799999999999</v>
      </c>
      <c r="G103" s="77">
        <v>105.503</v>
      </c>
      <c r="H103" s="77">
        <v>106.2</v>
      </c>
      <c r="I103" s="77">
        <v>106.90900000000001</v>
      </c>
      <c r="J103" s="77">
        <v>107.673</v>
      </c>
      <c r="K103" s="77">
        <v>108.485</v>
      </c>
      <c r="L103" s="77">
        <v>109.31100000000001</v>
      </c>
      <c r="M103" s="77">
        <v>110.15300000000001</v>
      </c>
    </row>
    <row r="104" spans="1:13" x14ac:dyDescent="0.25">
      <c r="A104" s="9" t="s">
        <v>237</v>
      </c>
      <c r="B104" s="9" t="s">
        <v>485</v>
      </c>
      <c r="C104" s="9" t="s">
        <v>486</v>
      </c>
      <c r="D104" s="9" t="s">
        <v>504</v>
      </c>
      <c r="E104" s="9" t="s">
        <v>583</v>
      </c>
      <c r="F104" s="80">
        <v>2626.6137800000001</v>
      </c>
      <c r="G104" s="80">
        <v>2637.31378</v>
      </c>
      <c r="H104" s="80">
        <v>2648.0137800000002</v>
      </c>
      <c r="I104" s="80">
        <v>2658.71378</v>
      </c>
      <c r="J104" s="80">
        <v>2669.4137799999999</v>
      </c>
      <c r="K104" s="80">
        <v>2680.1137800000001</v>
      </c>
      <c r="L104" s="80">
        <v>2690.81378</v>
      </c>
      <c r="M104" s="80">
        <v>2701.5137800000002</v>
      </c>
    </row>
    <row r="105" spans="1:13" x14ac:dyDescent="0.25">
      <c r="A105" s="9" t="s">
        <v>237</v>
      </c>
      <c r="B105" s="9" t="s">
        <v>614</v>
      </c>
      <c r="C105" s="9" t="s">
        <v>615</v>
      </c>
      <c r="D105" s="9" t="s">
        <v>613</v>
      </c>
      <c r="E105" s="9" t="s">
        <v>583</v>
      </c>
      <c r="F105" s="9"/>
      <c r="G105" s="9"/>
      <c r="H105" s="9"/>
      <c r="I105" s="9"/>
      <c r="J105" s="9"/>
      <c r="K105" s="9"/>
      <c r="L105" s="9"/>
      <c r="M105" s="9"/>
    </row>
    <row r="106" spans="1:13" x14ac:dyDescent="0.25">
      <c r="A106" s="9" t="s">
        <v>237</v>
      </c>
      <c r="B106" s="9" t="s">
        <v>487</v>
      </c>
      <c r="C106" s="9" t="s">
        <v>488</v>
      </c>
      <c r="D106" s="9" t="s">
        <v>582</v>
      </c>
      <c r="E106" s="9" t="s">
        <v>583</v>
      </c>
      <c r="F106" s="77"/>
      <c r="G106" s="77"/>
      <c r="H106" s="77"/>
      <c r="I106" s="77"/>
      <c r="J106" s="77"/>
      <c r="K106" s="77"/>
      <c r="L106" s="77"/>
      <c r="M106" s="77"/>
    </row>
    <row r="107" spans="1:13" x14ac:dyDescent="0.25">
      <c r="A107" s="9" t="s">
        <v>237</v>
      </c>
      <c r="B107" s="9" t="s">
        <v>489</v>
      </c>
      <c r="C107" s="9" t="s">
        <v>490</v>
      </c>
      <c r="D107" s="9" t="s">
        <v>504</v>
      </c>
      <c r="E107" s="9" t="s">
        <v>583</v>
      </c>
      <c r="F107" s="80"/>
      <c r="G107" s="80"/>
      <c r="H107" s="80"/>
      <c r="I107" s="80"/>
      <c r="J107" s="80"/>
      <c r="K107" s="80"/>
      <c r="L107" s="80"/>
      <c r="M107" s="80"/>
    </row>
    <row r="108" spans="1:13" x14ac:dyDescent="0.25">
      <c r="A108" s="9" t="s">
        <v>186</v>
      </c>
      <c r="B108" s="9" t="s">
        <v>580</v>
      </c>
      <c r="C108" s="9" t="s">
        <v>581</v>
      </c>
      <c r="D108" s="9" t="s">
        <v>582</v>
      </c>
      <c r="E108" s="9" t="s">
        <v>583</v>
      </c>
      <c r="F108" s="77">
        <v>1909.97</v>
      </c>
      <c r="G108" s="77">
        <v>1920.9079999999999</v>
      </c>
      <c r="H108" s="77">
        <v>1952.33</v>
      </c>
      <c r="I108" s="77">
        <v>1969.874</v>
      </c>
      <c r="J108" s="77">
        <v>1987.2059999999999</v>
      </c>
      <c r="K108" s="77">
        <v>2003.9939999999999</v>
      </c>
      <c r="L108" s="77">
        <v>2020.144</v>
      </c>
      <c r="M108" s="77">
        <v>2036.462</v>
      </c>
    </row>
    <row r="109" spans="1:13" x14ac:dyDescent="0.25">
      <c r="A109" s="9" t="s">
        <v>186</v>
      </c>
      <c r="B109" s="9" t="s">
        <v>584</v>
      </c>
      <c r="C109" s="9" t="s">
        <v>585</v>
      </c>
      <c r="D109" s="9" t="s">
        <v>582</v>
      </c>
      <c r="E109" s="9" t="s">
        <v>583</v>
      </c>
      <c r="F109" s="77">
        <v>108.703</v>
      </c>
      <c r="G109" s="77">
        <v>108.684</v>
      </c>
      <c r="H109" s="77">
        <v>108.73699999999999</v>
      </c>
      <c r="I109" s="77">
        <v>108.773</v>
      </c>
      <c r="J109" s="77">
        <v>108.809</v>
      </c>
      <c r="K109" s="77">
        <v>108.845</v>
      </c>
      <c r="L109" s="77">
        <v>108.881</v>
      </c>
      <c r="M109" s="77">
        <v>108.917</v>
      </c>
    </row>
    <row r="110" spans="1:13" x14ac:dyDescent="0.25">
      <c r="A110" s="9" t="s">
        <v>186</v>
      </c>
      <c r="B110" s="9" t="s">
        <v>586</v>
      </c>
      <c r="C110" s="9" t="s">
        <v>587</v>
      </c>
      <c r="D110" s="9">
        <v>0</v>
      </c>
      <c r="E110" s="9" t="s">
        <v>583</v>
      </c>
      <c r="F110" s="78">
        <v>2018.673</v>
      </c>
      <c r="G110" s="78">
        <v>2029.5920000000001</v>
      </c>
      <c r="H110" s="78">
        <v>2061.067</v>
      </c>
      <c r="I110" s="78">
        <v>2078.6469999999999</v>
      </c>
      <c r="J110" s="78">
        <v>2096.0149999999999</v>
      </c>
      <c r="K110" s="78">
        <v>2112.8389999999999</v>
      </c>
      <c r="L110" s="78">
        <v>2129.0250000000001</v>
      </c>
      <c r="M110" s="78">
        <v>2145.3789999999999</v>
      </c>
    </row>
    <row r="111" spans="1:13" x14ac:dyDescent="0.25">
      <c r="A111" s="9" t="s">
        <v>186</v>
      </c>
      <c r="B111" s="9" t="s">
        <v>588</v>
      </c>
      <c r="C111" s="9" t="s">
        <v>589</v>
      </c>
      <c r="D111" s="9">
        <v>0</v>
      </c>
      <c r="E111" s="9" t="s">
        <v>583</v>
      </c>
      <c r="F111" s="79">
        <v>4502.0079999999998</v>
      </c>
      <c r="G111" s="79">
        <v>4534.7389999999996</v>
      </c>
      <c r="H111" s="79">
        <v>4568.9859999999999</v>
      </c>
      <c r="I111" s="79">
        <v>4604.4589999999998</v>
      </c>
      <c r="J111" s="79">
        <v>4638.973</v>
      </c>
      <c r="K111" s="79">
        <v>4673.3389999999999</v>
      </c>
      <c r="L111" s="79">
        <v>4706.6970000000001</v>
      </c>
      <c r="M111" s="79">
        <v>4739.8069999999998</v>
      </c>
    </row>
    <row r="112" spans="1:13" x14ac:dyDescent="0.25">
      <c r="A112" s="9" t="s">
        <v>186</v>
      </c>
      <c r="B112" s="9" t="s">
        <v>590</v>
      </c>
      <c r="C112" s="9" t="s">
        <v>591</v>
      </c>
      <c r="D112" s="9">
        <v>0</v>
      </c>
      <c r="E112" s="9" t="s">
        <v>583</v>
      </c>
      <c r="F112" s="77">
        <v>1137.192</v>
      </c>
      <c r="G112" s="77">
        <v>1141.684</v>
      </c>
      <c r="H112" s="77">
        <v>1153.326</v>
      </c>
      <c r="I112" s="77">
        <v>1164.9780000000001</v>
      </c>
      <c r="J112" s="77">
        <v>1174.1310000000001</v>
      </c>
      <c r="K112" s="77">
        <v>1182.7080000000001</v>
      </c>
      <c r="L112" s="77">
        <v>1190.99</v>
      </c>
      <c r="M112" s="77">
        <v>1199.146</v>
      </c>
    </row>
    <row r="113" spans="1:13" x14ac:dyDescent="0.25">
      <c r="A113" s="9" t="s">
        <v>186</v>
      </c>
      <c r="B113" s="9" t="s">
        <v>592</v>
      </c>
      <c r="C113" s="9" t="s">
        <v>593</v>
      </c>
      <c r="D113" s="9">
        <v>0</v>
      </c>
      <c r="E113" s="9" t="s">
        <v>583</v>
      </c>
      <c r="F113" s="77">
        <v>54.415999999999997</v>
      </c>
      <c r="G113" s="77">
        <v>52.829000000000001</v>
      </c>
      <c r="H113" s="77">
        <v>54.399000000000001</v>
      </c>
      <c r="I113" s="77">
        <v>54.371000000000002</v>
      </c>
      <c r="J113" s="77">
        <v>54.341999999999999</v>
      </c>
      <c r="K113" s="77">
        <v>54.314</v>
      </c>
      <c r="L113" s="77">
        <v>54.284999999999997</v>
      </c>
      <c r="M113" s="77">
        <v>54.256999999999998</v>
      </c>
    </row>
    <row r="114" spans="1:13" x14ac:dyDescent="0.25">
      <c r="A114" s="9" t="s">
        <v>186</v>
      </c>
      <c r="B114" s="9" t="s">
        <v>594</v>
      </c>
      <c r="C114" s="9" t="s">
        <v>595</v>
      </c>
      <c r="D114" s="9" t="s">
        <v>582</v>
      </c>
      <c r="E114" s="9" t="s">
        <v>583</v>
      </c>
      <c r="F114" s="77">
        <v>1264.011</v>
      </c>
      <c r="G114" s="77">
        <v>1269.944</v>
      </c>
      <c r="H114" s="77">
        <v>1279.92</v>
      </c>
      <c r="I114" s="77">
        <v>1288.8789999999999</v>
      </c>
      <c r="J114" s="77">
        <v>1298.2159999999999</v>
      </c>
      <c r="K114" s="77">
        <v>1307.01</v>
      </c>
      <c r="L114" s="77">
        <v>1315.557</v>
      </c>
      <c r="M114" s="77">
        <v>1323.972</v>
      </c>
    </row>
    <row r="115" spans="1:13" x14ac:dyDescent="0.25">
      <c r="A115" s="9" t="s">
        <v>186</v>
      </c>
      <c r="B115" s="9" t="s">
        <v>596</v>
      </c>
      <c r="C115" s="9" t="s">
        <v>597</v>
      </c>
      <c r="D115" s="9">
        <v>0</v>
      </c>
      <c r="E115" s="9" t="s">
        <v>583</v>
      </c>
      <c r="F115" s="77">
        <v>2616.9490000000001</v>
      </c>
      <c r="G115" s="77">
        <v>2631.7570000000001</v>
      </c>
      <c r="H115" s="77">
        <v>2647.2530000000002</v>
      </c>
      <c r="I115" s="77">
        <v>2664.69</v>
      </c>
      <c r="J115" s="77">
        <v>2682.7460000000001</v>
      </c>
      <c r="K115" s="77">
        <v>2700.4110000000001</v>
      </c>
      <c r="L115" s="77">
        <v>2718.3119999999999</v>
      </c>
      <c r="M115" s="77">
        <v>2735.643</v>
      </c>
    </row>
    <row r="116" spans="1:13" x14ac:dyDescent="0.25">
      <c r="A116" s="9" t="s">
        <v>186</v>
      </c>
      <c r="B116" s="9" t="s">
        <v>598</v>
      </c>
      <c r="C116" s="9" t="s">
        <v>599</v>
      </c>
      <c r="D116" s="9">
        <v>0</v>
      </c>
      <c r="E116" s="9" t="s">
        <v>583</v>
      </c>
      <c r="F116" s="80">
        <v>12.87</v>
      </c>
      <c r="G116" s="80">
        <v>83.77</v>
      </c>
      <c r="H116" s="80">
        <v>12.87</v>
      </c>
      <c r="I116" s="80">
        <v>12.87</v>
      </c>
      <c r="J116" s="80">
        <v>12.87</v>
      </c>
      <c r="K116" s="80">
        <v>12.87</v>
      </c>
      <c r="L116" s="80">
        <v>12.87</v>
      </c>
      <c r="M116" s="80">
        <v>12.87</v>
      </c>
    </row>
    <row r="117" spans="1:13" x14ac:dyDescent="0.25">
      <c r="A117" s="9" t="s">
        <v>186</v>
      </c>
      <c r="B117" s="9" t="s">
        <v>600</v>
      </c>
      <c r="C117" s="9" t="s">
        <v>601</v>
      </c>
      <c r="D117" s="9" t="s">
        <v>602</v>
      </c>
      <c r="E117" s="9" t="s">
        <v>583</v>
      </c>
      <c r="F117" s="80">
        <v>16516</v>
      </c>
      <c r="G117" s="80">
        <v>16560</v>
      </c>
      <c r="H117" s="80">
        <v>16586</v>
      </c>
      <c r="I117" s="80">
        <v>16620</v>
      </c>
      <c r="J117" s="80">
        <v>16655</v>
      </c>
      <c r="K117" s="80">
        <v>16689</v>
      </c>
      <c r="L117" s="80">
        <v>16726</v>
      </c>
      <c r="M117" s="80">
        <v>16761</v>
      </c>
    </row>
    <row r="118" spans="1:13" x14ac:dyDescent="0.25">
      <c r="A118" s="9" t="s">
        <v>186</v>
      </c>
      <c r="B118" s="9" t="s">
        <v>603</v>
      </c>
      <c r="C118" s="9" t="s">
        <v>604</v>
      </c>
      <c r="D118" s="9" t="s">
        <v>504</v>
      </c>
      <c r="E118" s="9" t="s">
        <v>583</v>
      </c>
      <c r="F118" s="78">
        <v>13510</v>
      </c>
      <c r="G118" s="78">
        <v>13510</v>
      </c>
      <c r="H118" s="78">
        <v>13510</v>
      </c>
      <c r="I118" s="78">
        <v>13510</v>
      </c>
      <c r="J118" s="78">
        <v>13510</v>
      </c>
      <c r="K118" s="78">
        <v>13510</v>
      </c>
      <c r="L118" s="78">
        <v>13510</v>
      </c>
      <c r="M118" s="78">
        <v>13510</v>
      </c>
    </row>
    <row r="119" spans="1:13" x14ac:dyDescent="0.25">
      <c r="A119" s="9" t="s">
        <v>186</v>
      </c>
      <c r="B119" s="9" t="s">
        <v>605</v>
      </c>
      <c r="C119" s="9" t="s">
        <v>606</v>
      </c>
      <c r="D119" s="9" t="s">
        <v>504</v>
      </c>
      <c r="E119" s="9" t="s">
        <v>583</v>
      </c>
      <c r="F119" s="79">
        <v>25912</v>
      </c>
      <c r="G119" s="79">
        <v>26032.3</v>
      </c>
      <c r="H119" s="79">
        <v>26132</v>
      </c>
      <c r="I119" s="79">
        <v>26217</v>
      </c>
      <c r="J119" s="79">
        <v>26367</v>
      </c>
      <c r="K119" s="79">
        <v>26509</v>
      </c>
      <c r="L119" s="79">
        <v>26662</v>
      </c>
      <c r="M119" s="79">
        <v>26821</v>
      </c>
    </row>
    <row r="120" spans="1:13" x14ac:dyDescent="0.25">
      <c r="A120" s="9" t="s">
        <v>186</v>
      </c>
      <c r="B120" s="9" t="s">
        <v>607</v>
      </c>
      <c r="C120" s="9" t="s">
        <v>608</v>
      </c>
      <c r="D120" s="9" t="s">
        <v>179</v>
      </c>
      <c r="E120" s="9" t="s">
        <v>583</v>
      </c>
      <c r="F120" s="79">
        <v>203.21</v>
      </c>
      <c r="G120" s="79">
        <v>200.44</v>
      </c>
      <c r="H120" s="79">
        <v>201.11</v>
      </c>
      <c r="I120" s="79">
        <v>194.76</v>
      </c>
      <c r="J120" s="79">
        <v>188.42</v>
      </c>
      <c r="K120" s="79">
        <v>182.07</v>
      </c>
      <c r="L120" s="79">
        <v>175.72</v>
      </c>
      <c r="M120" s="79">
        <v>169.38</v>
      </c>
    </row>
    <row r="121" spans="1:13" x14ac:dyDescent="0.25">
      <c r="A121" s="9" t="s">
        <v>186</v>
      </c>
      <c r="B121" s="9" t="s">
        <v>609</v>
      </c>
      <c r="C121" s="9" t="s">
        <v>610</v>
      </c>
      <c r="D121" s="9" t="s">
        <v>179</v>
      </c>
      <c r="E121" s="9" t="s">
        <v>583</v>
      </c>
      <c r="F121" s="79">
        <v>1118.77</v>
      </c>
      <c r="G121" s="79">
        <v>1138.4469999999999</v>
      </c>
      <c r="H121" s="79">
        <v>1105.54</v>
      </c>
      <c r="I121" s="79">
        <v>1098.44</v>
      </c>
      <c r="J121" s="79">
        <v>1088.5</v>
      </c>
      <c r="K121" s="79">
        <v>1079.1400000000001</v>
      </c>
      <c r="L121" s="79">
        <v>1069.48</v>
      </c>
      <c r="M121" s="79">
        <v>1060.25</v>
      </c>
    </row>
    <row r="122" spans="1:13" x14ac:dyDescent="0.25">
      <c r="A122" s="9" t="s">
        <v>186</v>
      </c>
      <c r="B122" s="9" t="s">
        <v>471</v>
      </c>
      <c r="C122" s="9" t="s">
        <v>472</v>
      </c>
      <c r="D122" s="9" t="s">
        <v>582</v>
      </c>
      <c r="E122" s="9" t="s">
        <v>583</v>
      </c>
      <c r="F122" s="77">
        <v>291.11900000000003</v>
      </c>
      <c r="G122" s="77">
        <v>284.31900000000002</v>
      </c>
      <c r="H122" s="77">
        <v>273.92899999999997</v>
      </c>
      <c r="I122" s="77">
        <v>266.00200000000001</v>
      </c>
      <c r="J122" s="77">
        <v>255.06100000000001</v>
      </c>
      <c r="K122" s="77">
        <v>244.495</v>
      </c>
      <c r="L122" s="77">
        <v>234.238</v>
      </c>
      <c r="M122" s="77">
        <v>224.40799999999999</v>
      </c>
    </row>
    <row r="123" spans="1:13" x14ac:dyDescent="0.25">
      <c r="A123" s="9" t="s">
        <v>186</v>
      </c>
      <c r="B123" s="9" t="s">
        <v>473</v>
      </c>
      <c r="C123" s="9" t="s">
        <v>474</v>
      </c>
      <c r="D123" s="9" t="s">
        <v>582</v>
      </c>
      <c r="E123" s="9" t="s">
        <v>583</v>
      </c>
      <c r="F123" s="77">
        <v>450.18200000000002</v>
      </c>
      <c r="G123" s="77">
        <v>462.32799999999997</v>
      </c>
      <c r="H123" s="77">
        <v>503.43599999999998</v>
      </c>
      <c r="I123" s="77">
        <v>523.16999999999996</v>
      </c>
      <c r="J123" s="77">
        <v>543.84199999999998</v>
      </c>
      <c r="K123" s="77">
        <v>564.15</v>
      </c>
      <c r="L123" s="77">
        <v>583.80399999999997</v>
      </c>
      <c r="M123" s="77">
        <v>603.10299999999995</v>
      </c>
    </row>
    <row r="124" spans="1:13" x14ac:dyDescent="0.25">
      <c r="A124" s="9" t="s">
        <v>186</v>
      </c>
      <c r="B124" s="9" t="s">
        <v>475</v>
      </c>
      <c r="C124" s="9" t="s">
        <v>476</v>
      </c>
      <c r="D124" s="9" t="s">
        <v>582</v>
      </c>
      <c r="E124" s="9" t="s">
        <v>583</v>
      </c>
      <c r="F124" s="77">
        <v>32.777000000000001</v>
      </c>
      <c r="G124" s="77">
        <v>30.821999999999999</v>
      </c>
      <c r="H124" s="77">
        <v>30.806000000000001</v>
      </c>
      <c r="I124" s="77">
        <v>32.176000000000002</v>
      </c>
      <c r="J124" s="77">
        <v>31.353000000000002</v>
      </c>
      <c r="K124" s="77">
        <v>30.527999999999999</v>
      </c>
      <c r="L124" s="77">
        <v>29.701000000000001</v>
      </c>
      <c r="M124" s="77">
        <v>28.875</v>
      </c>
    </row>
    <row r="125" spans="1:13" x14ac:dyDescent="0.25">
      <c r="A125" s="9" t="s">
        <v>186</v>
      </c>
      <c r="B125" s="9" t="s">
        <v>477</v>
      </c>
      <c r="C125" s="9" t="s">
        <v>478</v>
      </c>
      <c r="D125" s="9" t="s">
        <v>582</v>
      </c>
      <c r="E125" s="9" t="s">
        <v>583</v>
      </c>
      <c r="F125" s="77">
        <v>33.037999999999997</v>
      </c>
      <c r="G125" s="77">
        <v>33.811999999999998</v>
      </c>
      <c r="H125" s="77">
        <v>39.317</v>
      </c>
      <c r="I125" s="77">
        <v>38.817999999999998</v>
      </c>
      <c r="J125" s="77">
        <v>40.904000000000003</v>
      </c>
      <c r="K125" s="77">
        <v>42.948</v>
      </c>
      <c r="L125" s="77">
        <v>44.97</v>
      </c>
      <c r="M125" s="77">
        <v>46.982999999999997</v>
      </c>
    </row>
    <row r="126" spans="1:13" x14ac:dyDescent="0.25">
      <c r="A126" s="9" t="s">
        <v>186</v>
      </c>
      <c r="B126" s="9" t="s">
        <v>479</v>
      </c>
      <c r="C126" s="9" t="s">
        <v>480</v>
      </c>
      <c r="D126" s="9" t="s">
        <v>582</v>
      </c>
      <c r="E126" s="9" t="s">
        <v>583</v>
      </c>
      <c r="F126" s="77">
        <v>686.37099999999998</v>
      </c>
      <c r="G126" s="77">
        <v>667.39700000000005</v>
      </c>
      <c r="H126" s="77">
        <v>657.68</v>
      </c>
      <c r="I126" s="77">
        <v>641.61599999999999</v>
      </c>
      <c r="J126" s="77">
        <v>625.19899999999996</v>
      </c>
      <c r="K126" s="77">
        <v>608.74699999999996</v>
      </c>
      <c r="L126" s="77">
        <v>592.26300000000003</v>
      </c>
      <c r="M126" s="77">
        <v>575.77800000000002</v>
      </c>
    </row>
    <row r="127" spans="1:13" x14ac:dyDescent="0.25">
      <c r="A127" s="9" t="s">
        <v>186</v>
      </c>
      <c r="B127" s="9" t="s">
        <v>481</v>
      </c>
      <c r="C127" s="9" t="s">
        <v>482</v>
      </c>
      <c r="D127" s="9" t="s">
        <v>582</v>
      </c>
      <c r="E127" s="9" t="s">
        <v>583</v>
      </c>
      <c r="F127" s="77">
        <v>385.005</v>
      </c>
      <c r="G127" s="77">
        <v>409.654</v>
      </c>
      <c r="H127" s="77">
        <v>425.52300000000002</v>
      </c>
      <c r="I127" s="77">
        <v>452.36700000000002</v>
      </c>
      <c r="J127" s="77">
        <v>476.67500000000001</v>
      </c>
      <c r="K127" s="77">
        <v>500.48500000000001</v>
      </c>
      <c r="L127" s="77">
        <v>524.05499999999995</v>
      </c>
      <c r="M127" s="77">
        <v>547.51</v>
      </c>
    </row>
    <row r="128" spans="1:13" x14ac:dyDescent="0.25">
      <c r="A128" s="9" t="s">
        <v>186</v>
      </c>
      <c r="B128" s="9" t="s">
        <v>611</v>
      </c>
      <c r="C128" s="9" t="s">
        <v>612</v>
      </c>
      <c r="D128" s="9" t="s">
        <v>613</v>
      </c>
      <c r="E128" s="9" t="s">
        <v>583</v>
      </c>
      <c r="F128" s="9"/>
      <c r="G128" s="9"/>
      <c r="H128" s="9"/>
      <c r="I128" s="9"/>
      <c r="J128" s="9"/>
      <c r="K128" s="9"/>
      <c r="L128" s="9"/>
      <c r="M128" s="9"/>
    </row>
    <row r="129" spans="1:13" x14ac:dyDescent="0.25">
      <c r="A129" s="9" t="s">
        <v>186</v>
      </c>
      <c r="B129" s="9" t="s">
        <v>483</v>
      </c>
      <c r="C129" s="9" t="s">
        <v>484</v>
      </c>
      <c r="D129" s="9" t="s">
        <v>582</v>
      </c>
      <c r="E129" s="9" t="s">
        <v>583</v>
      </c>
      <c r="F129" s="77">
        <v>1211.259</v>
      </c>
      <c r="G129" s="77">
        <v>1214.7246882873101</v>
      </c>
      <c r="H129" s="77">
        <v>1222.4918911627999</v>
      </c>
      <c r="I129" s="77">
        <v>1231.0087578186599</v>
      </c>
      <c r="J129" s="77">
        <v>1239.8980796308499</v>
      </c>
      <c r="K129" s="77">
        <v>1248.3221092971201</v>
      </c>
      <c r="L129" s="77">
        <v>1256.5477477721099</v>
      </c>
      <c r="M129" s="77">
        <v>1264.6777233966</v>
      </c>
    </row>
    <row r="130" spans="1:13" x14ac:dyDescent="0.25">
      <c r="A130" s="9" t="s">
        <v>186</v>
      </c>
      <c r="B130" s="9" t="s">
        <v>485</v>
      </c>
      <c r="C130" s="9" t="s">
        <v>486</v>
      </c>
      <c r="D130" s="9" t="s">
        <v>504</v>
      </c>
      <c r="E130" s="9" t="s">
        <v>583</v>
      </c>
      <c r="F130" s="80">
        <v>17184</v>
      </c>
      <c r="G130" s="80">
        <v>17267</v>
      </c>
      <c r="H130" s="80">
        <v>17356</v>
      </c>
      <c r="I130" s="80">
        <v>17414</v>
      </c>
      <c r="J130" s="80">
        <v>17530</v>
      </c>
      <c r="K130" s="80">
        <v>17641</v>
      </c>
      <c r="L130" s="80">
        <v>17762</v>
      </c>
      <c r="M130" s="80">
        <v>17885</v>
      </c>
    </row>
    <row r="131" spans="1:13" x14ac:dyDescent="0.25">
      <c r="A131" s="9" t="s">
        <v>186</v>
      </c>
      <c r="B131" s="9" t="s">
        <v>614</v>
      </c>
      <c r="C131" s="9" t="s">
        <v>615</v>
      </c>
      <c r="D131" s="9" t="s">
        <v>613</v>
      </c>
      <c r="E131" s="9" t="s">
        <v>583</v>
      </c>
      <c r="F131" s="9"/>
      <c r="G131" s="9"/>
      <c r="H131" s="9"/>
      <c r="I131" s="9"/>
      <c r="J131" s="9"/>
      <c r="K131" s="9"/>
      <c r="L131" s="9"/>
      <c r="M131" s="9"/>
    </row>
    <row r="132" spans="1:13" x14ac:dyDescent="0.25">
      <c r="A132" s="9" t="s">
        <v>186</v>
      </c>
      <c r="B132" s="9" t="s">
        <v>487</v>
      </c>
      <c r="C132" s="9" t="s">
        <v>488</v>
      </c>
      <c r="D132" s="9" t="s">
        <v>582</v>
      </c>
      <c r="E132" s="9" t="s">
        <v>583</v>
      </c>
      <c r="F132" s="77">
        <v>807.41399999999999</v>
      </c>
      <c r="G132" s="77">
        <v>829.31131171268999</v>
      </c>
      <c r="H132" s="77">
        <v>838.57510883719704</v>
      </c>
      <c r="I132" s="77">
        <v>847.63824218133595</v>
      </c>
      <c r="J132" s="77">
        <v>856.11692036915099</v>
      </c>
      <c r="K132" s="77">
        <v>864.51689070287705</v>
      </c>
      <c r="L132" s="77">
        <v>872.47725222788904</v>
      </c>
      <c r="M132" s="77">
        <v>880.70127660340404</v>
      </c>
    </row>
    <row r="133" spans="1:13" x14ac:dyDescent="0.25">
      <c r="A133" s="9" t="s">
        <v>186</v>
      </c>
      <c r="B133" s="9" t="s">
        <v>489</v>
      </c>
      <c r="C133" s="9" t="s">
        <v>490</v>
      </c>
      <c r="D133" s="9" t="s">
        <v>504</v>
      </c>
      <c r="E133" s="9" t="s">
        <v>583</v>
      </c>
      <c r="F133" s="80">
        <v>8728</v>
      </c>
      <c r="G133" s="80">
        <v>8751</v>
      </c>
      <c r="H133" s="80">
        <v>8776</v>
      </c>
      <c r="I133" s="80">
        <v>8803</v>
      </c>
      <c r="J133" s="80">
        <v>8836</v>
      </c>
      <c r="K133" s="80">
        <v>8867</v>
      </c>
      <c r="L133" s="80">
        <v>8900</v>
      </c>
      <c r="M133" s="80">
        <v>8935</v>
      </c>
    </row>
    <row r="134" spans="1:13" x14ac:dyDescent="0.25">
      <c r="A134" s="9" t="s">
        <v>239</v>
      </c>
      <c r="B134" s="9" t="s">
        <v>580</v>
      </c>
      <c r="C134" s="9" t="s">
        <v>581</v>
      </c>
      <c r="D134" s="9" t="s">
        <v>582</v>
      </c>
      <c r="E134" s="9" t="s">
        <v>583</v>
      </c>
      <c r="F134" s="77">
        <v>301.48500000000001</v>
      </c>
      <c r="G134" s="77">
        <v>303.20800000000003</v>
      </c>
      <c r="H134" s="77">
        <v>306.48500000000001</v>
      </c>
      <c r="I134" s="77">
        <v>308.37700000000001</v>
      </c>
      <c r="J134" s="77">
        <v>310.23700000000002</v>
      </c>
      <c r="K134" s="77">
        <v>312.11</v>
      </c>
      <c r="L134" s="77">
        <v>314.02</v>
      </c>
      <c r="M134" s="77">
        <v>315.99400000000003</v>
      </c>
    </row>
    <row r="135" spans="1:13" x14ac:dyDescent="0.25">
      <c r="A135" s="9" t="s">
        <v>239</v>
      </c>
      <c r="B135" s="9" t="s">
        <v>584</v>
      </c>
      <c r="C135" s="9" t="s">
        <v>585</v>
      </c>
      <c r="D135" s="9" t="s">
        <v>582</v>
      </c>
      <c r="E135" s="9" t="s">
        <v>583</v>
      </c>
      <c r="F135" s="77">
        <v>18.321000000000002</v>
      </c>
      <c r="G135" s="77">
        <v>18.384</v>
      </c>
      <c r="H135" s="77">
        <v>18.385999999999999</v>
      </c>
      <c r="I135" s="77">
        <v>18.41</v>
      </c>
      <c r="J135" s="77">
        <v>18.434000000000001</v>
      </c>
      <c r="K135" s="77">
        <v>18.457999999999998</v>
      </c>
      <c r="L135" s="77">
        <v>18.481999999999999</v>
      </c>
      <c r="M135" s="77">
        <v>18.506</v>
      </c>
    </row>
    <row r="136" spans="1:13" x14ac:dyDescent="0.25">
      <c r="A136" s="9" t="s">
        <v>239</v>
      </c>
      <c r="B136" s="9" t="s">
        <v>586</v>
      </c>
      <c r="C136" s="9" t="s">
        <v>587</v>
      </c>
      <c r="D136" s="9">
        <v>0</v>
      </c>
      <c r="E136" s="9" t="s">
        <v>583</v>
      </c>
      <c r="F136" s="78">
        <v>319.80599999999998</v>
      </c>
      <c r="G136" s="78">
        <v>321.14800000000002</v>
      </c>
      <c r="H136" s="78">
        <v>324.87099999999998</v>
      </c>
      <c r="I136" s="78">
        <v>326.78699999999998</v>
      </c>
      <c r="J136" s="78">
        <v>328.67099999999999</v>
      </c>
      <c r="K136" s="78">
        <v>330.56799999999998</v>
      </c>
      <c r="L136" s="78">
        <v>332.50200000000001</v>
      </c>
      <c r="M136" s="78">
        <v>334.5</v>
      </c>
    </row>
    <row r="137" spans="1:13" x14ac:dyDescent="0.25">
      <c r="A137" s="9" t="s">
        <v>239</v>
      </c>
      <c r="B137" s="9" t="s">
        <v>588</v>
      </c>
      <c r="C137" s="9" t="s">
        <v>589</v>
      </c>
      <c r="D137" s="9">
        <v>0</v>
      </c>
      <c r="E137" s="9" t="s">
        <v>583</v>
      </c>
      <c r="F137" s="79">
        <v>721.69600000000003</v>
      </c>
      <c r="G137" s="79">
        <v>730.71</v>
      </c>
      <c r="H137" s="79">
        <v>728.42</v>
      </c>
      <c r="I137" s="79">
        <v>731.71</v>
      </c>
      <c r="J137" s="79">
        <v>734.86</v>
      </c>
      <c r="K137" s="79">
        <v>738.31</v>
      </c>
      <c r="L137" s="79">
        <v>741.87</v>
      </c>
      <c r="M137" s="79">
        <v>745.46</v>
      </c>
    </row>
    <row r="138" spans="1:13" x14ac:dyDescent="0.25">
      <c r="A138" s="9" t="s">
        <v>239</v>
      </c>
      <c r="B138" s="9" t="s">
        <v>590</v>
      </c>
      <c r="C138" s="9" t="s">
        <v>591</v>
      </c>
      <c r="D138" s="9">
        <v>0</v>
      </c>
      <c r="E138" s="9" t="s">
        <v>583</v>
      </c>
      <c r="F138" s="77">
        <v>0</v>
      </c>
      <c r="G138" s="77">
        <v>0</v>
      </c>
      <c r="H138" s="77">
        <v>0</v>
      </c>
      <c r="I138" s="77">
        <v>0</v>
      </c>
      <c r="J138" s="77">
        <v>0</v>
      </c>
      <c r="K138" s="77">
        <v>0</v>
      </c>
      <c r="L138" s="77">
        <v>0</v>
      </c>
      <c r="M138" s="77">
        <v>0</v>
      </c>
    </row>
    <row r="139" spans="1:13" x14ac:dyDescent="0.25">
      <c r="A139" s="9" t="s">
        <v>239</v>
      </c>
      <c r="B139" s="9" t="s">
        <v>592</v>
      </c>
      <c r="C139" s="9" t="s">
        <v>593</v>
      </c>
      <c r="D139" s="9">
        <v>0</v>
      </c>
      <c r="E139" s="9" t="s">
        <v>583</v>
      </c>
      <c r="F139" s="77">
        <v>0</v>
      </c>
      <c r="G139" s="77">
        <v>0</v>
      </c>
      <c r="H139" s="77">
        <v>0</v>
      </c>
      <c r="I139" s="77">
        <v>0</v>
      </c>
      <c r="J139" s="77">
        <v>0</v>
      </c>
      <c r="K139" s="77">
        <v>0</v>
      </c>
      <c r="L139" s="77">
        <v>0</v>
      </c>
      <c r="M139" s="77">
        <v>0</v>
      </c>
    </row>
    <row r="140" spans="1:13" x14ac:dyDescent="0.25">
      <c r="A140" s="9" t="s">
        <v>239</v>
      </c>
      <c r="B140" s="9" t="s">
        <v>594</v>
      </c>
      <c r="C140" s="9" t="s">
        <v>595</v>
      </c>
      <c r="D140" s="9" t="s">
        <v>582</v>
      </c>
      <c r="E140" s="9" t="s">
        <v>583</v>
      </c>
      <c r="F140" s="77">
        <v>0</v>
      </c>
      <c r="G140" s="77">
        <v>0</v>
      </c>
      <c r="H140" s="77">
        <v>0</v>
      </c>
      <c r="I140" s="77">
        <v>0</v>
      </c>
      <c r="J140" s="77">
        <v>0</v>
      </c>
      <c r="K140" s="77">
        <v>0</v>
      </c>
      <c r="L140" s="77">
        <v>0</v>
      </c>
      <c r="M140" s="77">
        <v>0</v>
      </c>
    </row>
    <row r="141" spans="1:13" x14ac:dyDescent="0.25">
      <c r="A141" s="9" t="s">
        <v>239</v>
      </c>
      <c r="B141" s="9" t="s">
        <v>596</v>
      </c>
      <c r="C141" s="9" t="s">
        <v>597</v>
      </c>
      <c r="D141" s="9">
        <v>0</v>
      </c>
      <c r="E141" s="9" t="s">
        <v>583</v>
      </c>
      <c r="F141" s="77"/>
      <c r="G141" s="77"/>
      <c r="H141" s="77"/>
      <c r="I141" s="77"/>
      <c r="J141" s="77"/>
      <c r="K141" s="77"/>
      <c r="L141" s="77"/>
      <c r="M141" s="77"/>
    </row>
    <row r="142" spans="1:13" x14ac:dyDescent="0.25">
      <c r="A142" s="9" t="s">
        <v>239</v>
      </c>
      <c r="B142" s="9" t="s">
        <v>598</v>
      </c>
      <c r="C142" s="9" t="s">
        <v>599</v>
      </c>
      <c r="D142" s="9">
        <v>0</v>
      </c>
      <c r="E142" s="9" t="s">
        <v>583</v>
      </c>
      <c r="F142" s="80"/>
      <c r="G142" s="80"/>
      <c r="H142" s="80"/>
      <c r="I142" s="80"/>
      <c r="J142" s="80"/>
      <c r="K142" s="80"/>
      <c r="L142" s="80"/>
      <c r="M142" s="80"/>
    </row>
    <row r="143" spans="1:13" x14ac:dyDescent="0.25">
      <c r="A143" s="9" t="s">
        <v>239</v>
      </c>
      <c r="B143" s="9" t="s">
        <v>600</v>
      </c>
      <c r="C143" s="9" t="s">
        <v>601</v>
      </c>
      <c r="D143" s="9" t="s">
        <v>602</v>
      </c>
      <c r="E143" s="9" t="s">
        <v>583</v>
      </c>
      <c r="F143" s="80">
        <v>0</v>
      </c>
      <c r="G143" s="80">
        <v>0</v>
      </c>
      <c r="H143" s="80">
        <v>0</v>
      </c>
      <c r="I143" s="80">
        <v>0</v>
      </c>
      <c r="J143" s="80">
        <v>0</v>
      </c>
      <c r="K143" s="80">
        <v>0</v>
      </c>
      <c r="L143" s="80">
        <v>0</v>
      </c>
      <c r="M143" s="80">
        <v>0</v>
      </c>
    </row>
    <row r="144" spans="1:13" x14ac:dyDescent="0.25">
      <c r="A144" s="9" t="s">
        <v>239</v>
      </c>
      <c r="B144" s="9" t="s">
        <v>603</v>
      </c>
      <c r="C144" s="9" t="s">
        <v>604</v>
      </c>
      <c r="D144" s="9" t="s">
        <v>504</v>
      </c>
      <c r="E144" s="9" t="s">
        <v>583</v>
      </c>
      <c r="F144" s="78"/>
      <c r="G144" s="78"/>
      <c r="H144" s="78"/>
      <c r="I144" s="78"/>
      <c r="J144" s="78"/>
      <c r="K144" s="78"/>
      <c r="L144" s="78"/>
      <c r="M144" s="78"/>
    </row>
    <row r="145" spans="1:13" x14ac:dyDescent="0.25">
      <c r="A145" s="9" t="s">
        <v>239</v>
      </c>
      <c r="B145" s="9" t="s">
        <v>605</v>
      </c>
      <c r="C145" s="9" t="s">
        <v>606</v>
      </c>
      <c r="D145" s="9" t="s">
        <v>504</v>
      </c>
      <c r="E145" s="9" t="s">
        <v>583</v>
      </c>
      <c r="F145" s="79">
        <v>3337</v>
      </c>
      <c r="G145" s="79">
        <v>3348.6</v>
      </c>
      <c r="H145" s="79">
        <v>3357</v>
      </c>
      <c r="I145" s="79">
        <v>3369</v>
      </c>
      <c r="J145" s="79">
        <v>3380</v>
      </c>
      <c r="K145" s="79">
        <v>3392</v>
      </c>
      <c r="L145" s="79">
        <v>3404</v>
      </c>
      <c r="M145" s="79">
        <v>3416</v>
      </c>
    </row>
    <row r="146" spans="1:13" x14ac:dyDescent="0.25">
      <c r="A146" s="9" t="s">
        <v>239</v>
      </c>
      <c r="B146" s="9" t="s">
        <v>607</v>
      </c>
      <c r="C146" s="9" t="s">
        <v>608</v>
      </c>
      <c r="D146" s="9" t="s">
        <v>179</v>
      </c>
      <c r="E146" s="9" t="s">
        <v>583</v>
      </c>
      <c r="F146" s="79">
        <v>37</v>
      </c>
      <c r="G146" s="79">
        <v>28.12</v>
      </c>
      <c r="H146" s="79">
        <v>34.869999999999997</v>
      </c>
      <c r="I146" s="79">
        <v>33.770000000000003</v>
      </c>
      <c r="J146" s="79">
        <v>32.69</v>
      </c>
      <c r="K146" s="79">
        <v>31.64</v>
      </c>
      <c r="L146" s="79">
        <v>30.6</v>
      </c>
      <c r="M146" s="79">
        <v>29.57</v>
      </c>
    </row>
    <row r="147" spans="1:13" x14ac:dyDescent="0.25">
      <c r="A147" s="9" t="s">
        <v>239</v>
      </c>
      <c r="B147" s="9" t="s">
        <v>609</v>
      </c>
      <c r="C147" s="9" t="s">
        <v>610</v>
      </c>
      <c r="D147" s="9" t="s">
        <v>179</v>
      </c>
      <c r="E147" s="9" t="s">
        <v>583</v>
      </c>
      <c r="F147" s="79">
        <v>171.3</v>
      </c>
      <c r="G147" s="79">
        <v>174.6</v>
      </c>
      <c r="H147" s="79">
        <v>171.81</v>
      </c>
      <c r="I147" s="79">
        <v>170.01</v>
      </c>
      <c r="J147" s="79">
        <v>168.41</v>
      </c>
      <c r="K147" s="79">
        <v>166.77</v>
      </c>
      <c r="L147" s="79">
        <v>165.15</v>
      </c>
      <c r="M147" s="79">
        <v>163.07</v>
      </c>
    </row>
    <row r="148" spans="1:13" x14ac:dyDescent="0.25">
      <c r="A148" s="9" t="s">
        <v>239</v>
      </c>
      <c r="B148" s="9" t="s">
        <v>471</v>
      </c>
      <c r="C148" s="9" t="s">
        <v>472</v>
      </c>
      <c r="D148" s="9" t="s">
        <v>582</v>
      </c>
      <c r="E148" s="9" t="s">
        <v>583</v>
      </c>
      <c r="F148" s="77">
        <v>204.16</v>
      </c>
      <c r="G148" s="77">
        <v>201.66900000000001</v>
      </c>
      <c r="H148" s="77">
        <v>197.60499999999999</v>
      </c>
      <c r="I148" s="77">
        <v>192.60499999999999</v>
      </c>
      <c r="J148" s="77">
        <v>187.60499999999999</v>
      </c>
      <c r="K148" s="77">
        <v>182.60499999999999</v>
      </c>
      <c r="L148" s="77">
        <v>177.60499999999999</v>
      </c>
      <c r="M148" s="77">
        <v>172.60499999999999</v>
      </c>
    </row>
    <row r="149" spans="1:13" x14ac:dyDescent="0.25">
      <c r="A149" s="9" t="s">
        <v>239</v>
      </c>
      <c r="B149" s="9" t="s">
        <v>473</v>
      </c>
      <c r="C149" s="9" t="s">
        <v>474</v>
      </c>
      <c r="D149" s="9" t="s">
        <v>582</v>
      </c>
      <c r="E149" s="9" t="s">
        <v>583</v>
      </c>
      <c r="F149" s="77">
        <v>89.29</v>
      </c>
      <c r="G149" s="77">
        <v>92.944999999999993</v>
      </c>
      <c r="H149" s="77">
        <v>100.72</v>
      </c>
      <c r="I149" s="77">
        <v>107.61199999999999</v>
      </c>
      <c r="J149" s="77">
        <v>114.47199999999999</v>
      </c>
      <c r="K149" s="77">
        <v>121.345</v>
      </c>
      <c r="L149" s="77">
        <v>128.255</v>
      </c>
      <c r="M149" s="77">
        <v>135.22900000000001</v>
      </c>
    </row>
    <row r="150" spans="1:13" x14ac:dyDescent="0.25">
      <c r="A150" s="9" t="s">
        <v>239</v>
      </c>
      <c r="B150" s="9" t="s">
        <v>475</v>
      </c>
      <c r="C150" s="9" t="s">
        <v>476</v>
      </c>
      <c r="D150" s="9" t="s">
        <v>582</v>
      </c>
      <c r="E150" s="9" t="s">
        <v>583</v>
      </c>
      <c r="F150" s="77">
        <v>0</v>
      </c>
      <c r="G150" s="77"/>
      <c r="H150" s="77">
        <v>0</v>
      </c>
      <c r="I150" s="77">
        <v>0</v>
      </c>
      <c r="J150" s="77">
        <v>0</v>
      </c>
      <c r="K150" s="77">
        <v>0</v>
      </c>
      <c r="L150" s="77">
        <v>0</v>
      </c>
      <c r="M150" s="77">
        <v>0</v>
      </c>
    </row>
    <row r="151" spans="1:13" x14ac:dyDescent="0.25">
      <c r="A151" s="9" t="s">
        <v>239</v>
      </c>
      <c r="B151" s="9" t="s">
        <v>477</v>
      </c>
      <c r="C151" s="9" t="s">
        <v>478</v>
      </c>
      <c r="D151" s="9" t="s">
        <v>582</v>
      </c>
      <c r="E151" s="9" t="s">
        <v>583</v>
      </c>
      <c r="F151" s="77">
        <v>0</v>
      </c>
      <c r="G151" s="77"/>
      <c r="H151" s="77">
        <v>0</v>
      </c>
      <c r="I151" s="77">
        <v>0</v>
      </c>
      <c r="J151" s="77">
        <v>0</v>
      </c>
      <c r="K151" s="77">
        <v>0</v>
      </c>
      <c r="L151" s="77">
        <v>0</v>
      </c>
      <c r="M151" s="77">
        <v>0</v>
      </c>
    </row>
    <row r="152" spans="1:13" x14ac:dyDescent="0.25">
      <c r="A152" s="9" t="s">
        <v>239</v>
      </c>
      <c r="B152" s="9" t="s">
        <v>479</v>
      </c>
      <c r="C152" s="9" t="s">
        <v>480</v>
      </c>
      <c r="D152" s="9" t="s">
        <v>582</v>
      </c>
      <c r="E152" s="9" t="s">
        <v>583</v>
      </c>
      <c r="F152" s="77">
        <v>0</v>
      </c>
      <c r="G152" s="77"/>
      <c r="H152" s="77">
        <v>0</v>
      </c>
      <c r="I152" s="77">
        <v>0</v>
      </c>
      <c r="J152" s="77">
        <v>0</v>
      </c>
      <c r="K152" s="77">
        <v>0</v>
      </c>
      <c r="L152" s="77">
        <v>0</v>
      </c>
      <c r="M152" s="77">
        <v>0</v>
      </c>
    </row>
    <row r="153" spans="1:13" x14ac:dyDescent="0.25">
      <c r="A153" s="9" t="s">
        <v>239</v>
      </c>
      <c r="B153" s="9" t="s">
        <v>481</v>
      </c>
      <c r="C153" s="9" t="s">
        <v>482</v>
      </c>
      <c r="D153" s="9" t="s">
        <v>582</v>
      </c>
      <c r="E153" s="9" t="s">
        <v>583</v>
      </c>
      <c r="F153" s="77">
        <v>0</v>
      </c>
      <c r="G153" s="77"/>
      <c r="H153" s="77">
        <v>0</v>
      </c>
      <c r="I153" s="77">
        <v>0</v>
      </c>
      <c r="J153" s="77">
        <v>0</v>
      </c>
      <c r="K153" s="77">
        <v>0</v>
      </c>
      <c r="L153" s="77">
        <v>0</v>
      </c>
      <c r="M153" s="77">
        <v>0</v>
      </c>
    </row>
    <row r="154" spans="1:13" x14ac:dyDescent="0.25">
      <c r="A154" s="9" t="s">
        <v>239</v>
      </c>
      <c r="B154" s="9" t="s">
        <v>611</v>
      </c>
      <c r="C154" s="9" t="s">
        <v>612</v>
      </c>
      <c r="D154" s="9" t="s">
        <v>613</v>
      </c>
      <c r="E154" s="9" t="s">
        <v>583</v>
      </c>
      <c r="F154" s="9"/>
      <c r="G154" s="9"/>
      <c r="H154" s="9"/>
      <c r="I154" s="9"/>
      <c r="J154" s="9"/>
      <c r="K154" s="9"/>
      <c r="L154" s="9"/>
      <c r="M154" s="9"/>
    </row>
    <row r="155" spans="1:13" x14ac:dyDescent="0.25">
      <c r="A155" s="9" t="s">
        <v>239</v>
      </c>
      <c r="B155" s="9" t="s">
        <v>483</v>
      </c>
      <c r="C155" s="9" t="s">
        <v>484</v>
      </c>
      <c r="D155" s="9" t="s">
        <v>582</v>
      </c>
      <c r="E155" s="9" t="s">
        <v>583</v>
      </c>
      <c r="F155" s="77">
        <v>319.80599999999998</v>
      </c>
      <c r="G155" s="77">
        <v>322.37099999999998</v>
      </c>
      <c r="H155" s="77">
        <v>324.87099999999998</v>
      </c>
      <c r="I155" s="77">
        <v>326.78699999999998</v>
      </c>
      <c r="J155" s="77">
        <v>328.67099999999999</v>
      </c>
      <c r="K155" s="77">
        <v>303.56799999999998</v>
      </c>
      <c r="L155" s="77">
        <v>332.50200000000001</v>
      </c>
      <c r="M155" s="77">
        <v>334.5</v>
      </c>
    </row>
    <row r="156" spans="1:13" x14ac:dyDescent="0.25">
      <c r="A156" s="9" t="s">
        <v>239</v>
      </c>
      <c r="B156" s="9" t="s">
        <v>485</v>
      </c>
      <c r="C156" s="9" t="s">
        <v>486</v>
      </c>
      <c r="D156" s="9" t="s">
        <v>504</v>
      </c>
      <c r="E156" s="9" t="s">
        <v>583</v>
      </c>
      <c r="F156" s="80">
        <v>3337</v>
      </c>
      <c r="G156" s="80">
        <v>3347</v>
      </c>
      <c r="H156" s="80">
        <v>3357</v>
      </c>
      <c r="I156" s="80">
        <v>3369</v>
      </c>
      <c r="J156" s="80">
        <v>3380</v>
      </c>
      <c r="K156" s="80">
        <v>3392</v>
      </c>
      <c r="L156" s="80">
        <v>3404</v>
      </c>
      <c r="M156" s="80">
        <v>3416</v>
      </c>
    </row>
    <row r="157" spans="1:13" x14ac:dyDescent="0.25">
      <c r="A157" s="9" t="s">
        <v>239</v>
      </c>
      <c r="B157" s="9" t="s">
        <v>614</v>
      </c>
      <c r="C157" s="9" t="s">
        <v>615</v>
      </c>
      <c r="D157" s="9" t="s">
        <v>613</v>
      </c>
      <c r="E157" s="9" t="s">
        <v>583</v>
      </c>
      <c r="F157" s="9"/>
      <c r="G157" s="9"/>
      <c r="H157" s="9"/>
      <c r="I157" s="9"/>
      <c r="J157" s="9"/>
      <c r="K157" s="9"/>
      <c r="L157" s="9"/>
      <c r="M157" s="9"/>
    </row>
    <row r="158" spans="1:13" x14ac:dyDescent="0.25">
      <c r="A158" s="9" t="s">
        <v>239</v>
      </c>
      <c r="B158" s="9" t="s">
        <v>487</v>
      </c>
      <c r="C158" s="9" t="s">
        <v>488</v>
      </c>
      <c r="D158" s="9" t="s">
        <v>582</v>
      </c>
      <c r="E158" s="9" t="s">
        <v>583</v>
      </c>
      <c r="F158" s="77"/>
      <c r="G158" s="77"/>
      <c r="H158" s="77"/>
      <c r="I158" s="77"/>
      <c r="J158" s="77"/>
      <c r="K158" s="77"/>
      <c r="L158" s="77"/>
      <c r="M158" s="77"/>
    </row>
    <row r="159" spans="1:13" x14ac:dyDescent="0.25">
      <c r="A159" s="9" t="s">
        <v>239</v>
      </c>
      <c r="B159" s="9" t="s">
        <v>489</v>
      </c>
      <c r="C159" s="9" t="s">
        <v>490</v>
      </c>
      <c r="D159" s="9" t="s">
        <v>504</v>
      </c>
      <c r="E159" s="9" t="s">
        <v>583</v>
      </c>
      <c r="F159" s="80"/>
      <c r="G159" s="80"/>
      <c r="H159" s="80"/>
      <c r="I159" s="80"/>
      <c r="J159" s="80"/>
      <c r="K159" s="80"/>
      <c r="L159" s="80"/>
      <c r="M159" s="80"/>
    </row>
    <row r="160" spans="1:13" x14ac:dyDescent="0.25">
      <c r="A160" s="9" t="s">
        <v>165</v>
      </c>
      <c r="B160" s="9" t="s">
        <v>580</v>
      </c>
      <c r="C160" s="9" t="s">
        <v>581</v>
      </c>
      <c r="D160" s="9" t="s">
        <v>582</v>
      </c>
      <c r="E160" s="9" t="s">
        <v>583</v>
      </c>
      <c r="F160" s="77">
        <v>277.08699999999999</v>
      </c>
      <c r="G160" s="77">
        <v>278.14600000000002</v>
      </c>
      <c r="H160" s="77">
        <v>282.85750000000002</v>
      </c>
      <c r="I160" s="77">
        <v>284.83999999999997</v>
      </c>
      <c r="J160" s="77">
        <v>286.91649999999998</v>
      </c>
      <c r="K160" s="77">
        <v>289.1035</v>
      </c>
      <c r="L160" s="77">
        <v>291.34949999999998</v>
      </c>
      <c r="M160" s="77">
        <v>293.81049999999999</v>
      </c>
    </row>
    <row r="161" spans="1:13" x14ac:dyDescent="0.25">
      <c r="A161" s="9" t="s">
        <v>165</v>
      </c>
      <c r="B161" s="9" t="s">
        <v>584</v>
      </c>
      <c r="C161" s="9" t="s">
        <v>585</v>
      </c>
      <c r="D161" s="9" t="s">
        <v>582</v>
      </c>
      <c r="E161" s="9" t="s">
        <v>583</v>
      </c>
      <c r="F161" s="77">
        <v>14.265000000000001</v>
      </c>
      <c r="G161" s="77">
        <v>14.201000000000001</v>
      </c>
      <c r="H161" s="77">
        <v>14.234</v>
      </c>
      <c r="I161" s="77">
        <v>14.234</v>
      </c>
      <c r="J161" s="77">
        <v>14.234</v>
      </c>
      <c r="K161" s="77">
        <v>14.234</v>
      </c>
      <c r="L161" s="77">
        <v>14.234</v>
      </c>
      <c r="M161" s="77">
        <v>14.234</v>
      </c>
    </row>
    <row r="162" spans="1:13" x14ac:dyDescent="0.25">
      <c r="A162" s="9" t="s">
        <v>165</v>
      </c>
      <c r="B162" s="9" t="s">
        <v>586</v>
      </c>
      <c r="C162" s="9" t="s">
        <v>587</v>
      </c>
      <c r="D162" s="9">
        <v>0</v>
      </c>
      <c r="E162" s="9" t="s">
        <v>583</v>
      </c>
      <c r="F162" s="78">
        <v>291.35199999999998</v>
      </c>
      <c r="G162" s="78">
        <v>292.34699999999998</v>
      </c>
      <c r="H162" s="78">
        <v>297.0915</v>
      </c>
      <c r="I162" s="78">
        <v>299.07400000000001</v>
      </c>
      <c r="J162" s="78">
        <v>301.15050000000002</v>
      </c>
      <c r="K162" s="78">
        <v>303.33749999999998</v>
      </c>
      <c r="L162" s="78">
        <v>305.58350000000002</v>
      </c>
      <c r="M162" s="78">
        <v>308.04450000000003</v>
      </c>
    </row>
    <row r="163" spans="1:13" x14ac:dyDescent="0.25">
      <c r="A163" s="9" t="s">
        <v>165</v>
      </c>
      <c r="B163" s="9" t="s">
        <v>588</v>
      </c>
      <c r="C163" s="9" t="s">
        <v>589</v>
      </c>
      <c r="D163" s="9">
        <v>0</v>
      </c>
      <c r="E163" s="9" t="s">
        <v>583</v>
      </c>
      <c r="F163" s="79">
        <v>706.78899999999999</v>
      </c>
      <c r="G163" s="79">
        <v>712.03099999999995</v>
      </c>
      <c r="H163" s="79">
        <v>718.84400000000005</v>
      </c>
      <c r="I163" s="79">
        <v>724.68499999999995</v>
      </c>
      <c r="J163" s="79">
        <v>730.70500000000004</v>
      </c>
      <c r="K163" s="79">
        <v>736.66499999999996</v>
      </c>
      <c r="L163" s="79">
        <v>742.53</v>
      </c>
      <c r="M163" s="79">
        <v>748.29499999999996</v>
      </c>
    </row>
    <row r="164" spans="1:13" x14ac:dyDescent="0.25">
      <c r="A164" s="9" t="s">
        <v>165</v>
      </c>
      <c r="B164" s="9" t="s">
        <v>590</v>
      </c>
      <c r="C164" s="9" t="s">
        <v>591</v>
      </c>
      <c r="D164" s="9">
        <v>0</v>
      </c>
      <c r="E164" s="9" t="s">
        <v>583</v>
      </c>
      <c r="F164" s="77">
        <v>0</v>
      </c>
      <c r="G164" s="77">
        <v>0</v>
      </c>
      <c r="H164" s="77">
        <v>0</v>
      </c>
      <c r="I164" s="77">
        <v>0</v>
      </c>
      <c r="J164" s="77">
        <v>0</v>
      </c>
      <c r="K164" s="77">
        <v>0</v>
      </c>
      <c r="L164" s="77">
        <v>0</v>
      </c>
      <c r="M164" s="77">
        <v>0</v>
      </c>
    </row>
    <row r="165" spans="1:13" x14ac:dyDescent="0.25">
      <c r="A165" s="9" t="s">
        <v>165</v>
      </c>
      <c r="B165" s="9" t="s">
        <v>592</v>
      </c>
      <c r="C165" s="9" t="s">
        <v>593</v>
      </c>
      <c r="D165" s="9">
        <v>0</v>
      </c>
      <c r="E165" s="9" t="s">
        <v>583</v>
      </c>
      <c r="F165" s="77">
        <v>0</v>
      </c>
      <c r="G165" s="77">
        <v>0</v>
      </c>
      <c r="H165" s="77">
        <v>0</v>
      </c>
      <c r="I165" s="77">
        <v>0</v>
      </c>
      <c r="J165" s="77">
        <v>0</v>
      </c>
      <c r="K165" s="77">
        <v>0</v>
      </c>
      <c r="L165" s="77">
        <v>0</v>
      </c>
      <c r="M165" s="77">
        <v>0</v>
      </c>
    </row>
    <row r="166" spans="1:13" x14ac:dyDescent="0.25">
      <c r="A166" s="9" t="s">
        <v>165</v>
      </c>
      <c r="B166" s="9" t="s">
        <v>594</v>
      </c>
      <c r="C166" s="9" t="s">
        <v>595</v>
      </c>
      <c r="D166" s="9" t="s">
        <v>582</v>
      </c>
      <c r="E166" s="9" t="s">
        <v>583</v>
      </c>
      <c r="F166" s="77">
        <v>0</v>
      </c>
      <c r="G166" s="77">
        <v>0</v>
      </c>
      <c r="H166" s="77">
        <v>0</v>
      </c>
      <c r="I166" s="77">
        <v>0</v>
      </c>
      <c r="J166" s="77">
        <v>0</v>
      </c>
      <c r="K166" s="77">
        <v>0</v>
      </c>
      <c r="L166" s="77">
        <v>0</v>
      </c>
      <c r="M166" s="77">
        <v>0</v>
      </c>
    </row>
    <row r="167" spans="1:13" x14ac:dyDescent="0.25">
      <c r="A167" s="9" t="s">
        <v>165</v>
      </c>
      <c r="B167" s="9" t="s">
        <v>596</v>
      </c>
      <c r="C167" s="9" t="s">
        <v>597</v>
      </c>
      <c r="D167" s="9">
        <v>0</v>
      </c>
      <c r="E167" s="9" t="s">
        <v>583</v>
      </c>
      <c r="F167" s="77"/>
      <c r="G167" s="77"/>
      <c r="H167" s="77"/>
      <c r="I167" s="77"/>
      <c r="J167" s="77"/>
      <c r="K167" s="77"/>
      <c r="L167" s="77"/>
      <c r="M167" s="77"/>
    </row>
    <row r="168" spans="1:13" x14ac:dyDescent="0.25">
      <c r="A168" s="9" t="s">
        <v>165</v>
      </c>
      <c r="B168" s="9" t="s">
        <v>598</v>
      </c>
      <c r="C168" s="9" t="s">
        <v>599</v>
      </c>
      <c r="D168" s="9">
        <v>0</v>
      </c>
      <c r="E168" s="9" t="s">
        <v>583</v>
      </c>
      <c r="F168" s="80"/>
      <c r="G168" s="80"/>
      <c r="H168" s="80"/>
      <c r="I168" s="80"/>
      <c r="J168" s="80"/>
      <c r="K168" s="80"/>
      <c r="L168" s="80"/>
      <c r="M168" s="80"/>
    </row>
    <row r="169" spans="1:13" x14ac:dyDescent="0.25">
      <c r="A169" s="9" t="s">
        <v>165</v>
      </c>
      <c r="B169" s="9" t="s">
        <v>600</v>
      </c>
      <c r="C169" s="9" t="s">
        <v>601</v>
      </c>
      <c r="D169" s="9" t="s">
        <v>602</v>
      </c>
      <c r="E169" s="9" t="s">
        <v>583</v>
      </c>
      <c r="F169" s="80">
        <v>0</v>
      </c>
      <c r="G169" s="80">
        <v>0</v>
      </c>
      <c r="H169" s="80">
        <v>0</v>
      </c>
      <c r="I169" s="80">
        <v>0</v>
      </c>
      <c r="J169" s="80">
        <v>0</v>
      </c>
      <c r="K169" s="80">
        <v>0</v>
      </c>
      <c r="L169" s="80">
        <v>0</v>
      </c>
      <c r="M169" s="80">
        <v>0</v>
      </c>
    </row>
    <row r="170" spans="1:13" x14ac:dyDescent="0.25">
      <c r="A170" s="9" t="s">
        <v>165</v>
      </c>
      <c r="B170" s="9" t="s">
        <v>603</v>
      </c>
      <c r="C170" s="9" t="s">
        <v>604</v>
      </c>
      <c r="D170" s="9" t="s">
        <v>504</v>
      </c>
      <c r="E170" s="9" t="s">
        <v>583</v>
      </c>
      <c r="F170" s="78"/>
      <c r="G170" s="78"/>
      <c r="H170" s="78"/>
      <c r="I170" s="78"/>
      <c r="J170" s="78"/>
      <c r="K170" s="78"/>
      <c r="L170" s="78"/>
      <c r="M170" s="78"/>
    </row>
    <row r="171" spans="1:13" x14ac:dyDescent="0.25">
      <c r="A171" s="9" t="s">
        <v>165</v>
      </c>
      <c r="B171" s="9" t="s">
        <v>605</v>
      </c>
      <c r="C171" s="9" t="s">
        <v>606</v>
      </c>
      <c r="D171" s="9" t="s">
        <v>504</v>
      </c>
      <c r="E171" s="9" t="s">
        <v>583</v>
      </c>
      <c r="F171" s="79">
        <v>3481</v>
      </c>
      <c r="G171" s="79">
        <v>3499.72</v>
      </c>
      <c r="H171" s="79">
        <v>3504</v>
      </c>
      <c r="I171" s="79">
        <v>3511</v>
      </c>
      <c r="J171" s="79">
        <v>3518</v>
      </c>
      <c r="K171" s="79">
        <v>3528</v>
      </c>
      <c r="L171" s="79">
        <v>3536</v>
      </c>
      <c r="M171" s="79">
        <v>3544</v>
      </c>
    </row>
    <row r="172" spans="1:13" x14ac:dyDescent="0.25">
      <c r="A172" s="9" t="s">
        <v>165</v>
      </c>
      <c r="B172" s="9" t="s">
        <v>607</v>
      </c>
      <c r="C172" s="9" t="s">
        <v>608</v>
      </c>
      <c r="D172" s="9" t="s">
        <v>179</v>
      </c>
      <c r="E172" s="9" t="s">
        <v>583</v>
      </c>
      <c r="F172" s="79">
        <v>24.16</v>
      </c>
      <c r="G172" s="79">
        <v>24.15</v>
      </c>
      <c r="H172" s="79">
        <v>24</v>
      </c>
      <c r="I172" s="79">
        <v>23.3</v>
      </c>
      <c r="J172" s="79">
        <v>22.6</v>
      </c>
      <c r="K172" s="79">
        <v>21.8</v>
      </c>
      <c r="L172" s="79">
        <v>21.1</v>
      </c>
      <c r="M172" s="79">
        <v>20.399999999999999</v>
      </c>
    </row>
    <row r="173" spans="1:13" x14ac:dyDescent="0.25">
      <c r="A173" s="9" t="s">
        <v>165</v>
      </c>
      <c r="B173" s="9" t="s">
        <v>609</v>
      </c>
      <c r="C173" s="9" t="s">
        <v>610</v>
      </c>
      <c r="D173" s="9" t="s">
        <v>179</v>
      </c>
      <c r="E173" s="9" t="s">
        <v>583</v>
      </c>
      <c r="F173" s="79">
        <v>164.79</v>
      </c>
      <c r="G173" s="79">
        <v>167.99</v>
      </c>
      <c r="H173" s="79">
        <v>164.33</v>
      </c>
      <c r="I173" s="79">
        <v>162.44999999999999</v>
      </c>
      <c r="J173" s="79">
        <v>160.49</v>
      </c>
      <c r="K173" s="79">
        <v>158.54</v>
      </c>
      <c r="L173" s="79">
        <v>156.79</v>
      </c>
      <c r="M173" s="79">
        <v>155.08000000000001</v>
      </c>
    </row>
    <row r="174" spans="1:13" x14ac:dyDescent="0.25">
      <c r="A174" s="9" t="s">
        <v>165</v>
      </c>
      <c r="B174" s="9" t="s">
        <v>471</v>
      </c>
      <c r="C174" s="9" t="s">
        <v>472</v>
      </c>
      <c r="D174" s="9" t="s">
        <v>582</v>
      </c>
      <c r="E174" s="9" t="s">
        <v>583</v>
      </c>
      <c r="F174" s="77">
        <v>122.804</v>
      </c>
      <c r="G174" s="77">
        <v>117.10899999999999</v>
      </c>
      <c r="H174" s="77">
        <v>109.77200000000001</v>
      </c>
      <c r="I174" s="77">
        <v>98.099000000000004</v>
      </c>
      <c r="J174" s="77">
        <v>81.34</v>
      </c>
      <c r="K174" s="77">
        <v>64.942999999999998</v>
      </c>
      <c r="L174" s="77">
        <v>48.887999999999998</v>
      </c>
      <c r="M174" s="77">
        <v>33.154000000000003</v>
      </c>
    </row>
    <row r="175" spans="1:13" x14ac:dyDescent="0.25">
      <c r="A175" s="9" t="s">
        <v>165</v>
      </c>
      <c r="B175" s="9" t="s">
        <v>473</v>
      </c>
      <c r="C175" s="9" t="s">
        <v>474</v>
      </c>
      <c r="D175" s="9" t="s">
        <v>582</v>
      </c>
      <c r="E175" s="9" t="s">
        <v>583</v>
      </c>
      <c r="F175" s="77">
        <v>143.048</v>
      </c>
      <c r="G175" s="77">
        <v>151.34100000000001</v>
      </c>
      <c r="H175" s="77">
        <v>164.464</v>
      </c>
      <c r="I175" s="77">
        <v>178.54300000000001</v>
      </c>
      <c r="J175" s="77">
        <v>197.751</v>
      </c>
      <c r="K175" s="77">
        <v>216.68799999999999</v>
      </c>
      <c r="L175" s="77">
        <v>235.363</v>
      </c>
      <c r="M175" s="77">
        <v>253.708</v>
      </c>
    </row>
    <row r="176" spans="1:13" x14ac:dyDescent="0.25">
      <c r="A176" s="9" t="s">
        <v>165</v>
      </c>
      <c r="B176" s="9" t="s">
        <v>475</v>
      </c>
      <c r="C176" s="9" t="s">
        <v>476</v>
      </c>
      <c r="D176" s="9" t="s">
        <v>582</v>
      </c>
      <c r="E176" s="9" t="s">
        <v>583</v>
      </c>
      <c r="F176" s="77">
        <v>0</v>
      </c>
      <c r="G176" s="77"/>
      <c r="H176" s="77">
        <v>0</v>
      </c>
      <c r="I176" s="77">
        <v>0</v>
      </c>
      <c r="J176" s="77">
        <v>0</v>
      </c>
      <c r="K176" s="77">
        <v>0</v>
      </c>
      <c r="L176" s="77">
        <v>0</v>
      </c>
      <c r="M176" s="77">
        <v>0</v>
      </c>
    </row>
    <row r="177" spans="1:13" x14ac:dyDescent="0.25">
      <c r="A177" s="9" t="s">
        <v>165</v>
      </c>
      <c r="B177" s="9" t="s">
        <v>477</v>
      </c>
      <c r="C177" s="9" t="s">
        <v>478</v>
      </c>
      <c r="D177" s="9" t="s">
        <v>582</v>
      </c>
      <c r="E177" s="9" t="s">
        <v>583</v>
      </c>
      <c r="F177" s="77">
        <v>0</v>
      </c>
      <c r="G177" s="77"/>
      <c r="H177" s="77">
        <v>0</v>
      </c>
      <c r="I177" s="77">
        <v>0</v>
      </c>
      <c r="J177" s="77">
        <v>0</v>
      </c>
      <c r="K177" s="77">
        <v>0</v>
      </c>
      <c r="L177" s="77">
        <v>0</v>
      </c>
      <c r="M177" s="77">
        <v>0</v>
      </c>
    </row>
    <row r="178" spans="1:13" x14ac:dyDescent="0.25">
      <c r="A178" s="9" t="s">
        <v>165</v>
      </c>
      <c r="B178" s="9" t="s">
        <v>479</v>
      </c>
      <c r="C178" s="9" t="s">
        <v>480</v>
      </c>
      <c r="D178" s="9" t="s">
        <v>582</v>
      </c>
      <c r="E178" s="9" t="s">
        <v>583</v>
      </c>
      <c r="F178" s="77">
        <v>0</v>
      </c>
      <c r="G178" s="77"/>
      <c r="H178" s="77">
        <v>0</v>
      </c>
      <c r="I178" s="77">
        <v>0</v>
      </c>
      <c r="J178" s="77">
        <v>0</v>
      </c>
      <c r="K178" s="77">
        <v>0</v>
      </c>
      <c r="L178" s="77">
        <v>0</v>
      </c>
      <c r="M178" s="77">
        <v>0</v>
      </c>
    </row>
    <row r="179" spans="1:13" x14ac:dyDescent="0.25">
      <c r="A179" s="9" t="s">
        <v>165</v>
      </c>
      <c r="B179" s="9" t="s">
        <v>481</v>
      </c>
      <c r="C179" s="9" t="s">
        <v>482</v>
      </c>
      <c r="D179" s="9" t="s">
        <v>582</v>
      </c>
      <c r="E179" s="9" t="s">
        <v>583</v>
      </c>
      <c r="F179" s="77">
        <v>0</v>
      </c>
      <c r="G179" s="77"/>
      <c r="H179" s="77">
        <v>0</v>
      </c>
      <c r="I179" s="77">
        <v>0</v>
      </c>
      <c r="J179" s="77">
        <v>0</v>
      </c>
      <c r="K179" s="77">
        <v>0</v>
      </c>
      <c r="L179" s="77">
        <v>0</v>
      </c>
      <c r="M179" s="77">
        <v>0</v>
      </c>
    </row>
    <row r="180" spans="1:13" x14ac:dyDescent="0.25">
      <c r="A180" s="9" t="s">
        <v>165</v>
      </c>
      <c r="B180" s="9" t="s">
        <v>611</v>
      </c>
      <c r="C180" s="9" t="s">
        <v>612</v>
      </c>
      <c r="D180" s="9" t="s">
        <v>613</v>
      </c>
      <c r="E180" s="9" t="s">
        <v>583</v>
      </c>
      <c r="F180" s="9"/>
      <c r="G180" s="9"/>
      <c r="H180" s="9"/>
      <c r="I180" s="9"/>
      <c r="J180" s="9"/>
      <c r="K180" s="9"/>
      <c r="L180" s="9"/>
      <c r="M180" s="9"/>
    </row>
    <row r="181" spans="1:13" x14ac:dyDescent="0.25">
      <c r="A181" s="9" t="s">
        <v>165</v>
      </c>
      <c r="B181" s="9" t="s">
        <v>483</v>
      </c>
      <c r="C181" s="9" t="s">
        <v>484</v>
      </c>
      <c r="D181" s="9" t="s">
        <v>582</v>
      </c>
      <c r="E181" s="9" t="s">
        <v>583</v>
      </c>
      <c r="F181" s="77">
        <v>291.35199999999998</v>
      </c>
      <c r="G181" s="77">
        <v>295.036</v>
      </c>
      <c r="H181" s="77">
        <v>297.0915</v>
      </c>
      <c r="I181" s="77">
        <v>299.07400000000001</v>
      </c>
      <c r="J181" s="77">
        <v>301.15050000000002</v>
      </c>
      <c r="K181" s="77">
        <v>303.33749999999998</v>
      </c>
      <c r="L181" s="77">
        <v>305.58350000000002</v>
      </c>
      <c r="M181" s="77">
        <v>308.04450000000003</v>
      </c>
    </row>
    <row r="182" spans="1:13" x14ac:dyDescent="0.25">
      <c r="A182" s="9" t="s">
        <v>165</v>
      </c>
      <c r="B182" s="9" t="s">
        <v>485</v>
      </c>
      <c r="C182" s="9" t="s">
        <v>486</v>
      </c>
      <c r="D182" s="9" t="s">
        <v>504</v>
      </c>
      <c r="E182" s="9" t="s">
        <v>583</v>
      </c>
      <c r="F182" s="80">
        <v>3481</v>
      </c>
      <c r="G182" s="80">
        <v>3497</v>
      </c>
      <c r="H182" s="80">
        <v>3504</v>
      </c>
      <c r="I182" s="80">
        <v>3511</v>
      </c>
      <c r="J182" s="80">
        <v>3518</v>
      </c>
      <c r="K182" s="80">
        <v>3528</v>
      </c>
      <c r="L182" s="80">
        <v>3536</v>
      </c>
      <c r="M182" s="80">
        <v>3544</v>
      </c>
    </row>
    <row r="183" spans="1:13" x14ac:dyDescent="0.25">
      <c r="A183" s="9" t="s">
        <v>165</v>
      </c>
      <c r="B183" s="9" t="s">
        <v>614</v>
      </c>
      <c r="C183" s="9" t="s">
        <v>615</v>
      </c>
      <c r="D183" s="9" t="s">
        <v>613</v>
      </c>
      <c r="E183" s="9" t="s">
        <v>583</v>
      </c>
      <c r="F183" s="9"/>
      <c r="G183" s="9"/>
      <c r="H183" s="9"/>
      <c r="I183" s="9"/>
      <c r="J183" s="9"/>
      <c r="K183" s="9"/>
      <c r="L183" s="9"/>
      <c r="M183" s="9"/>
    </row>
    <row r="184" spans="1:13" x14ac:dyDescent="0.25">
      <c r="A184" s="9" t="s">
        <v>165</v>
      </c>
      <c r="B184" s="9" t="s">
        <v>487</v>
      </c>
      <c r="C184" s="9" t="s">
        <v>488</v>
      </c>
      <c r="D184" s="9" t="s">
        <v>582</v>
      </c>
      <c r="E184" s="9" t="s">
        <v>583</v>
      </c>
      <c r="F184" s="77"/>
      <c r="G184" s="77"/>
      <c r="H184" s="77"/>
      <c r="I184" s="77"/>
      <c r="J184" s="77"/>
      <c r="K184" s="77"/>
      <c r="L184" s="77"/>
      <c r="M184" s="77"/>
    </row>
    <row r="185" spans="1:13" x14ac:dyDescent="0.25">
      <c r="A185" s="9" t="s">
        <v>165</v>
      </c>
      <c r="B185" s="9" t="s">
        <v>489</v>
      </c>
      <c r="C185" s="9" t="s">
        <v>490</v>
      </c>
      <c r="D185" s="9" t="s">
        <v>504</v>
      </c>
      <c r="E185" s="9" t="s">
        <v>583</v>
      </c>
      <c r="F185" s="80"/>
      <c r="G185" s="80"/>
      <c r="H185" s="80"/>
      <c r="I185" s="80"/>
      <c r="J185" s="80"/>
      <c r="K185" s="80"/>
      <c r="L185" s="80"/>
      <c r="M185" s="80"/>
    </row>
    <row r="186" spans="1:13" x14ac:dyDescent="0.25">
      <c r="A186" s="9" t="s">
        <v>241</v>
      </c>
      <c r="B186" s="9" t="s">
        <v>580</v>
      </c>
      <c r="C186" s="9" t="s">
        <v>581</v>
      </c>
      <c r="D186" s="9" t="s">
        <v>582</v>
      </c>
      <c r="E186" s="9" t="s">
        <v>583</v>
      </c>
      <c r="F186" s="77">
        <v>953.46067176499105</v>
      </c>
      <c r="G186" s="77">
        <v>964.35500000000002</v>
      </c>
      <c r="H186" s="77">
        <v>967.326111111111</v>
      </c>
      <c r="I186" s="77">
        <v>976.72611111111098</v>
      </c>
      <c r="J186" s="77">
        <v>986.26722222222202</v>
      </c>
      <c r="K186" s="77">
        <v>995.95166666666705</v>
      </c>
      <c r="L186" s="77">
        <v>1005.78055555556</v>
      </c>
      <c r="M186" s="77">
        <v>1015.75722222222</v>
      </c>
    </row>
    <row r="187" spans="1:13" x14ac:dyDescent="0.25">
      <c r="A187" s="9" t="s">
        <v>241</v>
      </c>
      <c r="B187" s="9" t="s">
        <v>584</v>
      </c>
      <c r="C187" s="9" t="s">
        <v>585</v>
      </c>
      <c r="D187" s="9" t="s">
        <v>582</v>
      </c>
      <c r="E187" s="9" t="s">
        <v>583</v>
      </c>
      <c r="F187" s="77">
        <v>59.7173282350089</v>
      </c>
      <c r="G187" s="77">
        <v>56.63</v>
      </c>
      <c r="H187" s="77">
        <v>59.896385542168701</v>
      </c>
      <c r="I187" s="77">
        <v>60.546987951807203</v>
      </c>
      <c r="J187" s="77">
        <v>61.207228915662697</v>
      </c>
      <c r="K187" s="77">
        <v>61.877108433734897</v>
      </c>
      <c r="L187" s="77">
        <v>62.557831325301201</v>
      </c>
      <c r="M187" s="77">
        <v>63.248192771084298</v>
      </c>
    </row>
    <row r="188" spans="1:13" x14ac:dyDescent="0.25">
      <c r="A188" s="9" t="s">
        <v>241</v>
      </c>
      <c r="B188" s="9" t="s">
        <v>586</v>
      </c>
      <c r="C188" s="9" t="s">
        <v>587</v>
      </c>
      <c r="D188" s="9">
        <v>0</v>
      </c>
      <c r="E188" s="9" t="s">
        <v>583</v>
      </c>
      <c r="F188" s="78">
        <v>1013.178</v>
      </c>
      <c r="G188" s="78">
        <v>1020.985</v>
      </c>
      <c r="H188" s="78">
        <v>1027.2224966532799</v>
      </c>
      <c r="I188" s="78">
        <v>1037.27309906292</v>
      </c>
      <c r="J188" s="78">
        <v>1047.4744511378799</v>
      </c>
      <c r="K188" s="78">
        <v>1057.8287751004</v>
      </c>
      <c r="L188" s="78">
        <v>1068.3383868808601</v>
      </c>
      <c r="M188" s="78">
        <v>1079.0054149933101</v>
      </c>
    </row>
    <row r="189" spans="1:13" x14ac:dyDescent="0.25">
      <c r="A189" s="9" t="s">
        <v>241</v>
      </c>
      <c r="B189" s="9" t="s">
        <v>588</v>
      </c>
      <c r="C189" s="9" t="s">
        <v>589</v>
      </c>
      <c r="D189" s="9">
        <v>0</v>
      </c>
      <c r="E189" s="9" t="s">
        <v>583</v>
      </c>
      <c r="F189" s="79">
        <v>2211.40451340867</v>
      </c>
      <c r="G189" s="79">
        <v>2235.721</v>
      </c>
      <c r="H189" s="79">
        <v>2259.1948194184502</v>
      </c>
      <c r="I189" s="79">
        <v>2281.90850345531</v>
      </c>
      <c r="J189" s="79">
        <v>2304.2764210913301</v>
      </c>
      <c r="K189" s="79">
        <v>2326.2283410391101</v>
      </c>
      <c r="L189" s="79">
        <v>2347.30099859231</v>
      </c>
      <c r="M189" s="79">
        <v>2367.4427437252202</v>
      </c>
    </row>
    <row r="190" spans="1:13" x14ac:dyDescent="0.25">
      <c r="A190" s="9" t="s">
        <v>241</v>
      </c>
      <c r="B190" s="9" t="s">
        <v>590</v>
      </c>
      <c r="C190" s="9" t="s">
        <v>591</v>
      </c>
      <c r="D190" s="9">
        <v>0</v>
      </c>
      <c r="E190" s="9" t="s">
        <v>583</v>
      </c>
      <c r="F190" s="77">
        <v>0</v>
      </c>
      <c r="G190" s="77">
        <v>0</v>
      </c>
      <c r="H190" s="77">
        <v>0</v>
      </c>
      <c r="I190" s="77">
        <v>0</v>
      </c>
      <c r="J190" s="77">
        <v>0</v>
      </c>
      <c r="K190" s="77">
        <v>0</v>
      </c>
      <c r="L190" s="77">
        <v>0</v>
      </c>
      <c r="M190" s="77">
        <v>0</v>
      </c>
    </row>
    <row r="191" spans="1:13" x14ac:dyDescent="0.25">
      <c r="A191" s="9" t="s">
        <v>241</v>
      </c>
      <c r="B191" s="9" t="s">
        <v>592</v>
      </c>
      <c r="C191" s="9" t="s">
        <v>593</v>
      </c>
      <c r="D191" s="9">
        <v>0</v>
      </c>
      <c r="E191" s="9" t="s">
        <v>583</v>
      </c>
      <c r="F191" s="77">
        <v>0</v>
      </c>
      <c r="G191" s="77">
        <v>0</v>
      </c>
      <c r="H191" s="77">
        <v>0</v>
      </c>
      <c r="I191" s="77">
        <v>0</v>
      </c>
      <c r="J191" s="77">
        <v>0</v>
      </c>
      <c r="K191" s="77">
        <v>0</v>
      </c>
      <c r="L191" s="77">
        <v>0</v>
      </c>
      <c r="M191" s="77">
        <v>0</v>
      </c>
    </row>
    <row r="192" spans="1:13" x14ac:dyDescent="0.25">
      <c r="A192" s="9" t="s">
        <v>241</v>
      </c>
      <c r="B192" s="9" t="s">
        <v>594</v>
      </c>
      <c r="C192" s="9" t="s">
        <v>595</v>
      </c>
      <c r="D192" s="9" t="s">
        <v>582</v>
      </c>
      <c r="E192" s="9" t="s">
        <v>583</v>
      </c>
      <c r="F192" s="77">
        <v>0</v>
      </c>
      <c r="G192" s="77">
        <v>0</v>
      </c>
      <c r="H192" s="77">
        <v>0</v>
      </c>
      <c r="I192" s="77">
        <v>0</v>
      </c>
      <c r="J192" s="77">
        <v>0</v>
      </c>
      <c r="K192" s="77">
        <v>0</v>
      </c>
      <c r="L192" s="77">
        <v>0</v>
      </c>
      <c r="M192" s="77">
        <v>0</v>
      </c>
    </row>
    <row r="193" spans="1:13" x14ac:dyDescent="0.25">
      <c r="A193" s="9" t="s">
        <v>241</v>
      </c>
      <c r="B193" s="9" t="s">
        <v>596</v>
      </c>
      <c r="C193" s="9" t="s">
        <v>597</v>
      </c>
      <c r="D193" s="9">
        <v>0</v>
      </c>
      <c r="E193" s="9" t="s">
        <v>583</v>
      </c>
      <c r="F193" s="77"/>
      <c r="G193" s="77"/>
      <c r="H193" s="77"/>
      <c r="I193" s="77"/>
      <c r="J193" s="77"/>
      <c r="K193" s="77"/>
      <c r="L193" s="77"/>
      <c r="M193" s="77"/>
    </row>
    <row r="194" spans="1:13" x14ac:dyDescent="0.25">
      <c r="A194" s="9" t="s">
        <v>241</v>
      </c>
      <c r="B194" s="9" t="s">
        <v>598</v>
      </c>
      <c r="C194" s="9" t="s">
        <v>599</v>
      </c>
      <c r="D194" s="9">
        <v>0</v>
      </c>
      <c r="E194" s="9" t="s">
        <v>583</v>
      </c>
      <c r="F194" s="80"/>
      <c r="G194" s="80"/>
      <c r="H194" s="80"/>
      <c r="I194" s="80"/>
      <c r="J194" s="80"/>
      <c r="K194" s="80"/>
      <c r="L194" s="80"/>
      <c r="M194" s="80"/>
    </row>
    <row r="195" spans="1:13" x14ac:dyDescent="0.25">
      <c r="A195" s="9" t="s">
        <v>241</v>
      </c>
      <c r="B195" s="9" t="s">
        <v>600</v>
      </c>
      <c r="C195" s="9" t="s">
        <v>601</v>
      </c>
      <c r="D195" s="9" t="s">
        <v>602</v>
      </c>
      <c r="E195" s="9" t="s">
        <v>583</v>
      </c>
      <c r="F195" s="80">
        <v>0</v>
      </c>
      <c r="G195" s="80">
        <v>0</v>
      </c>
      <c r="H195" s="80">
        <v>0</v>
      </c>
      <c r="I195" s="80">
        <v>0</v>
      </c>
      <c r="J195" s="80">
        <v>0</v>
      </c>
      <c r="K195" s="80">
        <v>0</v>
      </c>
      <c r="L195" s="80">
        <v>0</v>
      </c>
      <c r="M195" s="80">
        <v>0</v>
      </c>
    </row>
    <row r="196" spans="1:13" x14ac:dyDescent="0.25">
      <c r="A196" s="9" t="s">
        <v>241</v>
      </c>
      <c r="B196" s="9" t="s">
        <v>603</v>
      </c>
      <c r="C196" s="9" t="s">
        <v>604</v>
      </c>
      <c r="D196" s="9" t="s">
        <v>504</v>
      </c>
      <c r="E196" s="9" t="s">
        <v>583</v>
      </c>
      <c r="F196" s="78"/>
      <c r="G196" s="78"/>
      <c r="H196" s="78"/>
      <c r="I196" s="78"/>
      <c r="J196" s="78"/>
      <c r="K196" s="78"/>
      <c r="L196" s="78"/>
      <c r="M196" s="78"/>
    </row>
    <row r="197" spans="1:13" x14ac:dyDescent="0.25">
      <c r="A197" s="9" t="s">
        <v>241</v>
      </c>
      <c r="B197" s="9" t="s">
        <v>605</v>
      </c>
      <c r="C197" s="9" t="s">
        <v>606</v>
      </c>
      <c r="D197" s="9" t="s">
        <v>504</v>
      </c>
      <c r="E197" s="9" t="s">
        <v>583</v>
      </c>
      <c r="F197" s="79">
        <v>14620.74</v>
      </c>
      <c r="G197" s="79">
        <v>14652.4</v>
      </c>
      <c r="H197" s="79">
        <v>14841.3904574847</v>
      </c>
      <c r="I197" s="79">
        <v>14941.896551138299</v>
      </c>
      <c r="J197" s="79">
        <v>15032.1834129903</v>
      </c>
      <c r="K197" s="79">
        <v>15128.099786786201</v>
      </c>
      <c r="L197" s="79">
        <v>15216.215672525899</v>
      </c>
      <c r="M197" s="79">
        <v>15382.7868570254</v>
      </c>
    </row>
    <row r="198" spans="1:13" x14ac:dyDescent="0.25">
      <c r="A198" s="9" t="s">
        <v>241</v>
      </c>
      <c r="B198" s="9" t="s">
        <v>607</v>
      </c>
      <c r="C198" s="9" t="s">
        <v>608</v>
      </c>
      <c r="D198" s="9" t="s">
        <v>179</v>
      </c>
      <c r="E198" s="9" t="s">
        <v>583</v>
      </c>
      <c r="F198" s="79">
        <v>87.692192146928704</v>
      </c>
      <c r="G198" s="79">
        <v>86.88</v>
      </c>
      <c r="H198" s="79">
        <v>87.692192146928704</v>
      </c>
      <c r="I198" s="79">
        <v>87.692192146928704</v>
      </c>
      <c r="J198" s="79">
        <v>86.951733804650203</v>
      </c>
      <c r="K198" s="79">
        <v>83.201204771109005</v>
      </c>
      <c r="L198" s="79">
        <v>79.082168159882599</v>
      </c>
      <c r="M198" s="79">
        <v>75.075874259341404</v>
      </c>
    </row>
    <row r="199" spans="1:13" x14ac:dyDescent="0.25">
      <c r="A199" s="9" t="s">
        <v>241</v>
      </c>
      <c r="B199" s="9" t="s">
        <v>609</v>
      </c>
      <c r="C199" s="9" t="s">
        <v>610</v>
      </c>
      <c r="D199" s="9" t="s">
        <v>179</v>
      </c>
      <c r="E199" s="9" t="s">
        <v>583</v>
      </c>
      <c r="F199" s="79">
        <v>527.25102641836804</v>
      </c>
      <c r="G199" s="79">
        <v>526.65200000000004</v>
      </c>
      <c r="H199" s="79">
        <v>521.99662890821196</v>
      </c>
      <c r="I199" s="79">
        <v>518.41686834033703</v>
      </c>
      <c r="J199" s="79">
        <v>516.89058260190995</v>
      </c>
      <c r="K199" s="79">
        <v>512.25036209872405</v>
      </c>
      <c r="L199" s="79">
        <v>507.08560701004001</v>
      </c>
      <c r="M199" s="79">
        <v>501.90553689758798</v>
      </c>
    </row>
    <row r="200" spans="1:13" x14ac:dyDescent="0.25">
      <c r="A200" s="9" t="s">
        <v>241</v>
      </c>
      <c r="B200" s="9" t="s">
        <v>471</v>
      </c>
      <c r="C200" s="9" t="s">
        <v>472</v>
      </c>
      <c r="D200" s="9" t="s">
        <v>582</v>
      </c>
      <c r="E200" s="9" t="s">
        <v>583</v>
      </c>
      <c r="F200" s="77">
        <v>142.376</v>
      </c>
      <c r="G200" s="77">
        <v>106.678</v>
      </c>
      <c r="H200" s="77">
        <v>113.035</v>
      </c>
      <c r="I200" s="77">
        <v>112.547</v>
      </c>
      <c r="J200" s="77">
        <v>112.15600000000001</v>
      </c>
      <c r="K200" s="77">
        <v>111.863</v>
      </c>
      <c r="L200" s="77">
        <v>111.667</v>
      </c>
      <c r="M200" s="77">
        <v>111.57</v>
      </c>
    </row>
    <row r="201" spans="1:13" x14ac:dyDescent="0.25">
      <c r="A201" s="9" t="s">
        <v>241</v>
      </c>
      <c r="B201" s="9" t="s">
        <v>473</v>
      </c>
      <c r="C201" s="9" t="s">
        <v>474</v>
      </c>
      <c r="D201" s="9" t="s">
        <v>582</v>
      </c>
      <c r="E201" s="9" t="s">
        <v>583</v>
      </c>
      <c r="F201" s="77">
        <v>711.99300000000005</v>
      </c>
      <c r="G201" s="77">
        <v>754.84400000000005</v>
      </c>
      <c r="H201" s="77">
        <v>757.55799999999999</v>
      </c>
      <c r="I201" s="77">
        <v>766.50699999999995</v>
      </c>
      <c r="J201" s="77">
        <v>775.48500000000001</v>
      </c>
      <c r="K201" s="77">
        <v>784.49400000000003</v>
      </c>
      <c r="L201" s="77">
        <v>793.53499999999997</v>
      </c>
      <c r="M201" s="77">
        <v>802.61199999999997</v>
      </c>
    </row>
    <row r="202" spans="1:13" x14ac:dyDescent="0.25">
      <c r="A202" s="9" t="s">
        <v>241</v>
      </c>
      <c r="B202" s="9" t="s">
        <v>475</v>
      </c>
      <c r="C202" s="9" t="s">
        <v>476</v>
      </c>
      <c r="D202" s="9" t="s">
        <v>582</v>
      </c>
      <c r="E202" s="9" t="s">
        <v>583</v>
      </c>
      <c r="F202" s="77">
        <v>0</v>
      </c>
      <c r="G202" s="77"/>
      <c r="H202" s="77">
        <v>0</v>
      </c>
      <c r="I202" s="77">
        <v>0</v>
      </c>
      <c r="J202" s="77">
        <v>0</v>
      </c>
      <c r="K202" s="77">
        <v>0</v>
      </c>
      <c r="L202" s="77">
        <v>0</v>
      </c>
      <c r="M202" s="77">
        <v>0</v>
      </c>
    </row>
    <row r="203" spans="1:13" x14ac:dyDescent="0.25">
      <c r="A203" s="9" t="s">
        <v>241</v>
      </c>
      <c r="B203" s="9" t="s">
        <v>477</v>
      </c>
      <c r="C203" s="9" t="s">
        <v>478</v>
      </c>
      <c r="D203" s="9" t="s">
        <v>582</v>
      </c>
      <c r="E203" s="9" t="s">
        <v>583</v>
      </c>
      <c r="F203" s="77">
        <v>0</v>
      </c>
      <c r="G203" s="77"/>
      <c r="H203" s="77">
        <v>0</v>
      </c>
      <c r="I203" s="77">
        <v>0</v>
      </c>
      <c r="J203" s="77">
        <v>0</v>
      </c>
      <c r="K203" s="77">
        <v>0</v>
      </c>
      <c r="L203" s="77">
        <v>0</v>
      </c>
      <c r="M203" s="77">
        <v>0</v>
      </c>
    </row>
    <row r="204" spans="1:13" x14ac:dyDescent="0.25">
      <c r="A204" s="9" t="s">
        <v>241</v>
      </c>
      <c r="B204" s="9" t="s">
        <v>479</v>
      </c>
      <c r="C204" s="9" t="s">
        <v>480</v>
      </c>
      <c r="D204" s="9" t="s">
        <v>582</v>
      </c>
      <c r="E204" s="9" t="s">
        <v>583</v>
      </c>
      <c r="F204" s="77">
        <v>0</v>
      </c>
      <c r="G204" s="77"/>
      <c r="H204" s="77">
        <v>0</v>
      </c>
      <c r="I204" s="77">
        <v>0</v>
      </c>
      <c r="J204" s="77">
        <v>0</v>
      </c>
      <c r="K204" s="77">
        <v>0</v>
      </c>
      <c r="L204" s="77">
        <v>0</v>
      </c>
      <c r="M204" s="77">
        <v>0</v>
      </c>
    </row>
    <row r="205" spans="1:13" x14ac:dyDescent="0.25">
      <c r="A205" s="9" t="s">
        <v>241</v>
      </c>
      <c r="B205" s="9" t="s">
        <v>481</v>
      </c>
      <c r="C205" s="9" t="s">
        <v>482</v>
      </c>
      <c r="D205" s="9" t="s">
        <v>582</v>
      </c>
      <c r="E205" s="9" t="s">
        <v>583</v>
      </c>
      <c r="F205" s="77">
        <v>0</v>
      </c>
      <c r="G205" s="77"/>
      <c r="H205" s="77">
        <v>0</v>
      </c>
      <c r="I205" s="77">
        <v>0</v>
      </c>
      <c r="J205" s="77">
        <v>0</v>
      </c>
      <c r="K205" s="77">
        <v>0</v>
      </c>
      <c r="L205" s="77">
        <v>0</v>
      </c>
      <c r="M205" s="77">
        <v>0</v>
      </c>
    </row>
    <row r="206" spans="1:13" x14ac:dyDescent="0.25">
      <c r="A206" s="9" t="s">
        <v>241</v>
      </c>
      <c r="B206" s="9" t="s">
        <v>611</v>
      </c>
      <c r="C206" s="9" t="s">
        <v>612</v>
      </c>
      <c r="D206" s="9" t="s">
        <v>613</v>
      </c>
      <c r="E206" s="9" t="s">
        <v>583</v>
      </c>
      <c r="F206" s="9"/>
      <c r="G206" s="9"/>
      <c r="H206" s="9"/>
      <c r="I206" s="9"/>
      <c r="J206" s="9"/>
      <c r="K206" s="9"/>
      <c r="L206" s="9"/>
      <c r="M206" s="9"/>
    </row>
    <row r="207" spans="1:13" x14ac:dyDescent="0.25">
      <c r="A207" s="9" t="s">
        <v>241</v>
      </c>
      <c r="B207" s="9" t="s">
        <v>483</v>
      </c>
      <c r="C207" s="9" t="s">
        <v>484</v>
      </c>
      <c r="D207" s="9" t="s">
        <v>582</v>
      </c>
      <c r="E207" s="9" t="s">
        <v>583</v>
      </c>
      <c r="F207" s="77">
        <v>1013.178</v>
      </c>
      <c r="G207" s="77">
        <v>1017.45107764391</v>
      </c>
      <c r="H207" s="77">
        <v>1027.2224966532799</v>
      </c>
      <c r="I207" s="77">
        <v>1037.27309906292</v>
      </c>
      <c r="J207" s="77">
        <v>1047.4744511378799</v>
      </c>
      <c r="K207" s="77">
        <v>1057.8287751004</v>
      </c>
      <c r="L207" s="77">
        <v>1068.3383868808601</v>
      </c>
      <c r="M207" s="77">
        <v>1079.0054149933101</v>
      </c>
    </row>
    <row r="208" spans="1:13" x14ac:dyDescent="0.25">
      <c r="A208" s="9" t="s">
        <v>241</v>
      </c>
      <c r="B208" s="9" t="s">
        <v>485</v>
      </c>
      <c r="C208" s="9" t="s">
        <v>486</v>
      </c>
      <c r="D208" s="9" t="s">
        <v>504</v>
      </c>
      <c r="E208" s="9" t="s">
        <v>583</v>
      </c>
      <c r="F208" s="80">
        <v>14620.74</v>
      </c>
      <c r="G208" s="80">
        <v>14732.050631341201</v>
      </c>
      <c r="H208" s="80">
        <v>14841.3904574847</v>
      </c>
      <c r="I208" s="80">
        <v>14941.896551138299</v>
      </c>
      <c r="J208" s="80">
        <v>15032.1834129903</v>
      </c>
      <c r="K208" s="80">
        <v>15128.099786786201</v>
      </c>
      <c r="L208" s="80">
        <v>15216.215672525899</v>
      </c>
      <c r="M208" s="80">
        <v>15382.7868570254</v>
      </c>
    </row>
    <row r="209" spans="1:13" x14ac:dyDescent="0.25">
      <c r="A209" s="9" t="s">
        <v>241</v>
      </c>
      <c r="B209" s="9" t="s">
        <v>614</v>
      </c>
      <c r="C209" s="9" t="s">
        <v>615</v>
      </c>
      <c r="D209" s="9" t="s">
        <v>613</v>
      </c>
      <c r="E209" s="9" t="s">
        <v>583</v>
      </c>
      <c r="F209" s="9"/>
      <c r="G209" s="9"/>
      <c r="H209" s="9"/>
      <c r="I209" s="9"/>
      <c r="J209" s="9"/>
      <c r="K209" s="9"/>
      <c r="L209" s="9"/>
      <c r="M209" s="9"/>
    </row>
    <row r="210" spans="1:13" x14ac:dyDescent="0.25">
      <c r="A210" s="9" t="s">
        <v>241</v>
      </c>
      <c r="B210" s="9" t="s">
        <v>487</v>
      </c>
      <c r="C210" s="9" t="s">
        <v>488</v>
      </c>
      <c r="D210" s="9" t="s">
        <v>582</v>
      </c>
      <c r="E210" s="9" t="s">
        <v>583</v>
      </c>
      <c r="F210" s="77">
        <v>0</v>
      </c>
      <c r="G210" s="77">
        <v>0</v>
      </c>
      <c r="H210" s="77">
        <v>0</v>
      </c>
      <c r="I210" s="77">
        <v>0</v>
      </c>
      <c r="J210" s="77">
        <v>0</v>
      </c>
      <c r="K210" s="77">
        <v>0</v>
      </c>
      <c r="L210" s="77">
        <v>0</v>
      </c>
      <c r="M210" s="77">
        <v>0</v>
      </c>
    </row>
    <row r="211" spans="1:13" x14ac:dyDescent="0.25">
      <c r="A211" s="9" t="s">
        <v>241</v>
      </c>
      <c r="B211" s="9" t="s">
        <v>489</v>
      </c>
      <c r="C211" s="9" t="s">
        <v>490</v>
      </c>
      <c r="D211" s="9" t="s">
        <v>504</v>
      </c>
      <c r="E211" s="9" t="s">
        <v>583</v>
      </c>
      <c r="F211" s="80">
        <v>0</v>
      </c>
      <c r="G211" s="80">
        <v>0</v>
      </c>
      <c r="H211" s="80">
        <v>0</v>
      </c>
      <c r="I211" s="80">
        <v>0</v>
      </c>
      <c r="J211" s="80">
        <v>0</v>
      </c>
      <c r="K211" s="80">
        <v>0</v>
      </c>
      <c r="L211" s="80">
        <v>0</v>
      </c>
      <c r="M211" s="80">
        <v>0</v>
      </c>
    </row>
    <row r="212" spans="1:13" x14ac:dyDescent="0.25">
      <c r="A212" s="9" t="s">
        <v>205</v>
      </c>
      <c r="B212" s="9" t="s">
        <v>580</v>
      </c>
      <c r="C212" s="9" t="s">
        <v>581</v>
      </c>
      <c r="D212" s="9" t="s">
        <v>582</v>
      </c>
      <c r="E212" s="9" t="s">
        <v>583</v>
      </c>
      <c r="F212" s="77">
        <v>1056.326</v>
      </c>
      <c r="G212" s="77">
        <v>1062.924</v>
      </c>
      <c r="H212" s="77">
        <v>1070.6980000000001</v>
      </c>
      <c r="I212" s="77">
        <v>1083.873</v>
      </c>
      <c r="J212" s="77">
        <v>1096.443</v>
      </c>
      <c r="K212" s="77">
        <v>1108.6690000000001</v>
      </c>
      <c r="L212" s="77">
        <v>1120.788</v>
      </c>
      <c r="M212" s="77">
        <v>1132.29</v>
      </c>
    </row>
    <row r="213" spans="1:13" x14ac:dyDescent="0.25">
      <c r="A213" s="9" t="s">
        <v>205</v>
      </c>
      <c r="B213" s="9" t="s">
        <v>584</v>
      </c>
      <c r="C213" s="9" t="s">
        <v>585</v>
      </c>
      <c r="D213" s="9" t="s">
        <v>582</v>
      </c>
      <c r="E213" s="9" t="s">
        <v>583</v>
      </c>
      <c r="F213" s="77">
        <v>57.834000000000003</v>
      </c>
      <c r="G213" s="77">
        <v>60.493000000000002</v>
      </c>
      <c r="H213" s="77">
        <v>58.621000000000002</v>
      </c>
      <c r="I213" s="77">
        <v>59.341999999999999</v>
      </c>
      <c r="J213" s="77">
        <v>60.03</v>
      </c>
      <c r="K213" s="77">
        <v>60.7</v>
      </c>
      <c r="L213" s="77">
        <v>61.363</v>
      </c>
      <c r="M213" s="77">
        <v>61.993000000000002</v>
      </c>
    </row>
    <row r="214" spans="1:13" x14ac:dyDescent="0.25">
      <c r="A214" s="9" t="s">
        <v>205</v>
      </c>
      <c r="B214" s="9" t="s">
        <v>586</v>
      </c>
      <c r="C214" s="9" t="s">
        <v>587</v>
      </c>
      <c r="D214" s="9">
        <v>0</v>
      </c>
      <c r="E214" s="9" t="s">
        <v>583</v>
      </c>
      <c r="F214" s="78">
        <v>1114.1600000000001</v>
      </c>
      <c r="G214" s="78">
        <v>1123.4169999999999</v>
      </c>
      <c r="H214" s="78">
        <v>1129.319</v>
      </c>
      <c r="I214" s="78">
        <v>1143.2149999999999</v>
      </c>
      <c r="J214" s="78">
        <v>1156.473</v>
      </c>
      <c r="K214" s="78">
        <v>1169.3689999999999</v>
      </c>
      <c r="L214" s="78">
        <v>1182.1510000000001</v>
      </c>
      <c r="M214" s="78">
        <v>1194.2829999999999</v>
      </c>
    </row>
    <row r="215" spans="1:13" x14ac:dyDescent="0.25">
      <c r="A215" s="9" t="s">
        <v>205</v>
      </c>
      <c r="B215" s="9" t="s">
        <v>588</v>
      </c>
      <c r="C215" s="9" t="s">
        <v>589</v>
      </c>
      <c r="D215" s="9">
        <v>0</v>
      </c>
      <c r="E215" s="9" t="s">
        <v>583</v>
      </c>
      <c r="F215" s="79">
        <v>2526.7559999999999</v>
      </c>
      <c r="G215" s="79">
        <v>2548.7939999999999</v>
      </c>
      <c r="H215" s="79">
        <v>2571.5720000000001</v>
      </c>
      <c r="I215" s="79">
        <v>2597.3809999999999</v>
      </c>
      <c r="J215" s="79">
        <v>2621.7530000000002</v>
      </c>
      <c r="K215" s="79">
        <v>2646.17</v>
      </c>
      <c r="L215" s="79">
        <v>2670.4879999999998</v>
      </c>
      <c r="M215" s="79">
        <v>2693.451</v>
      </c>
    </row>
    <row r="216" spans="1:13" x14ac:dyDescent="0.25">
      <c r="A216" s="9" t="s">
        <v>205</v>
      </c>
      <c r="B216" s="9" t="s">
        <v>590</v>
      </c>
      <c r="C216" s="9" t="s">
        <v>591</v>
      </c>
      <c r="D216" s="9">
        <v>0</v>
      </c>
      <c r="E216" s="9" t="s">
        <v>583</v>
      </c>
      <c r="F216" s="77">
        <v>1823.21</v>
      </c>
      <c r="G216" s="77">
        <v>1834.481</v>
      </c>
      <c r="H216" s="77">
        <v>1860.2550000000001</v>
      </c>
      <c r="I216" s="77">
        <v>1887.615</v>
      </c>
      <c r="J216" s="77">
        <v>1912.5129999999999</v>
      </c>
      <c r="K216" s="77">
        <v>1935.6130000000001</v>
      </c>
      <c r="L216" s="77">
        <v>1957.9079999999999</v>
      </c>
      <c r="M216" s="77">
        <v>1978.9449999999999</v>
      </c>
    </row>
    <row r="217" spans="1:13" x14ac:dyDescent="0.25">
      <c r="A217" s="9" t="s">
        <v>205</v>
      </c>
      <c r="B217" s="9" t="s">
        <v>592</v>
      </c>
      <c r="C217" s="9" t="s">
        <v>593</v>
      </c>
      <c r="D217" s="9">
        <v>0</v>
      </c>
      <c r="E217" s="9" t="s">
        <v>583</v>
      </c>
      <c r="F217" s="77">
        <v>83.516000000000005</v>
      </c>
      <c r="G217" s="77">
        <v>79.882999999999996</v>
      </c>
      <c r="H217" s="77">
        <v>84.257000000000005</v>
      </c>
      <c r="I217" s="77">
        <v>85.376999999999995</v>
      </c>
      <c r="J217" s="77">
        <v>86.364000000000004</v>
      </c>
      <c r="K217" s="77">
        <v>87.334000000000003</v>
      </c>
      <c r="L217" s="77">
        <v>88.287000000000006</v>
      </c>
      <c r="M217" s="77">
        <v>89.204999999999998</v>
      </c>
    </row>
    <row r="218" spans="1:13" x14ac:dyDescent="0.25">
      <c r="A218" s="9" t="s">
        <v>205</v>
      </c>
      <c r="B218" s="9" t="s">
        <v>594</v>
      </c>
      <c r="C218" s="9" t="s">
        <v>595</v>
      </c>
      <c r="D218" s="9" t="s">
        <v>582</v>
      </c>
      <c r="E218" s="9" t="s">
        <v>583</v>
      </c>
      <c r="F218" s="77">
        <v>1973.7270000000001</v>
      </c>
      <c r="G218" s="77">
        <v>1986.644</v>
      </c>
      <c r="H218" s="77">
        <v>2003.587</v>
      </c>
      <c r="I218" s="77">
        <v>2027.614</v>
      </c>
      <c r="J218" s="77">
        <v>2050.66</v>
      </c>
      <c r="K218" s="77">
        <v>2073.2759999999998</v>
      </c>
      <c r="L218" s="77">
        <v>2095.4520000000002</v>
      </c>
      <c r="M218" s="77">
        <v>2116.7240000000002</v>
      </c>
    </row>
    <row r="219" spans="1:13" x14ac:dyDescent="0.25">
      <c r="A219" s="9" t="s">
        <v>205</v>
      </c>
      <c r="B219" s="9" t="s">
        <v>596</v>
      </c>
      <c r="C219" s="9" t="s">
        <v>597</v>
      </c>
      <c r="D219" s="9">
        <v>0</v>
      </c>
      <c r="E219" s="9" t="s">
        <v>583</v>
      </c>
      <c r="F219" s="77">
        <v>4567.1509999999998</v>
      </c>
      <c r="G219" s="77">
        <v>4608.2960000000003</v>
      </c>
      <c r="H219" s="77">
        <v>4664.9480000000003</v>
      </c>
      <c r="I219" s="77">
        <v>4709.4359999999997</v>
      </c>
      <c r="J219" s="77">
        <v>4751.9660000000003</v>
      </c>
      <c r="K219" s="77">
        <v>4794.759</v>
      </c>
      <c r="L219" s="77">
        <v>4837.1090000000004</v>
      </c>
      <c r="M219" s="77">
        <v>4877.4539999999997</v>
      </c>
    </row>
    <row r="220" spans="1:13" x14ac:dyDescent="0.25">
      <c r="A220" s="9" t="s">
        <v>205</v>
      </c>
      <c r="B220" s="9" t="s">
        <v>598</v>
      </c>
      <c r="C220" s="9" t="s">
        <v>599</v>
      </c>
      <c r="D220" s="9">
        <v>0</v>
      </c>
      <c r="E220" s="9" t="s">
        <v>583</v>
      </c>
      <c r="F220" s="80">
        <v>66.53</v>
      </c>
      <c r="G220" s="80">
        <v>62.155999999999999</v>
      </c>
      <c r="H220" s="80">
        <v>66.53</v>
      </c>
      <c r="I220" s="80">
        <v>66.53</v>
      </c>
      <c r="J220" s="80">
        <v>66.53</v>
      </c>
      <c r="K220" s="80">
        <v>66.53</v>
      </c>
      <c r="L220" s="80">
        <v>66.53</v>
      </c>
      <c r="M220" s="80">
        <v>66.53</v>
      </c>
    </row>
    <row r="221" spans="1:13" x14ac:dyDescent="0.25">
      <c r="A221" s="9" t="s">
        <v>205</v>
      </c>
      <c r="B221" s="9" t="s">
        <v>600</v>
      </c>
      <c r="C221" s="9" t="s">
        <v>601</v>
      </c>
      <c r="D221" s="9" t="s">
        <v>602</v>
      </c>
      <c r="E221" s="9" t="s">
        <v>583</v>
      </c>
      <c r="F221" s="80">
        <v>22077</v>
      </c>
      <c r="G221" s="80">
        <v>22157</v>
      </c>
      <c r="H221" s="80">
        <v>22303</v>
      </c>
      <c r="I221" s="80">
        <v>22422</v>
      </c>
      <c r="J221" s="80">
        <v>22572</v>
      </c>
      <c r="K221" s="80">
        <v>22702</v>
      </c>
      <c r="L221" s="80">
        <v>22844</v>
      </c>
      <c r="M221" s="80">
        <v>22984</v>
      </c>
    </row>
    <row r="222" spans="1:13" x14ac:dyDescent="0.25">
      <c r="A222" s="9" t="s">
        <v>205</v>
      </c>
      <c r="B222" s="9" t="s">
        <v>603</v>
      </c>
      <c r="C222" s="9" t="s">
        <v>604</v>
      </c>
      <c r="D222" s="9" t="s">
        <v>504</v>
      </c>
      <c r="E222" s="9" t="s">
        <v>583</v>
      </c>
      <c r="F222" s="78">
        <v>17464</v>
      </c>
      <c r="G222" s="78">
        <v>17464</v>
      </c>
      <c r="H222" s="78">
        <v>17464</v>
      </c>
      <c r="I222" s="78">
        <v>17464</v>
      </c>
      <c r="J222" s="78">
        <v>17464</v>
      </c>
      <c r="K222" s="78">
        <v>17464</v>
      </c>
      <c r="L222" s="78">
        <v>17464</v>
      </c>
      <c r="M222" s="78">
        <v>17464</v>
      </c>
    </row>
    <row r="223" spans="1:13" x14ac:dyDescent="0.25">
      <c r="A223" s="9" t="s">
        <v>205</v>
      </c>
      <c r="B223" s="9" t="s">
        <v>605</v>
      </c>
      <c r="C223" s="9" t="s">
        <v>606</v>
      </c>
      <c r="D223" s="9" t="s">
        <v>504</v>
      </c>
      <c r="E223" s="9" t="s">
        <v>583</v>
      </c>
      <c r="F223" s="79">
        <v>13905</v>
      </c>
      <c r="G223" s="79">
        <v>13929.4851</v>
      </c>
      <c r="H223" s="79">
        <v>13975</v>
      </c>
      <c r="I223" s="79">
        <v>14017</v>
      </c>
      <c r="J223" s="79">
        <v>14059</v>
      </c>
      <c r="K223" s="79">
        <v>14101</v>
      </c>
      <c r="L223" s="79">
        <v>14143</v>
      </c>
      <c r="M223" s="79">
        <v>14185</v>
      </c>
    </row>
    <row r="224" spans="1:13" x14ac:dyDescent="0.25">
      <c r="A224" s="9" t="s">
        <v>205</v>
      </c>
      <c r="B224" s="9" t="s">
        <v>607</v>
      </c>
      <c r="C224" s="9" t="s">
        <v>608</v>
      </c>
      <c r="D224" s="9" t="s">
        <v>179</v>
      </c>
      <c r="E224" s="9" t="s">
        <v>583</v>
      </c>
      <c r="F224" s="79">
        <v>102.64</v>
      </c>
      <c r="G224" s="79">
        <v>101.83</v>
      </c>
      <c r="H224" s="79">
        <v>105.4</v>
      </c>
      <c r="I224" s="79">
        <v>102.3</v>
      </c>
      <c r="J224" s="79">
        <v>99.1</v>
      </c>
      <c r="K224" s="79">
        <v>95.9</v>
      </c>
      <c r="L224" s="79">
        <v>92.7</v>
      </c>
      <c r="M224" s="79">
        <v>89.6</v>
      </c>
    </row>
    <row r="225" spans="1:13" x14ac:dyDescent="0.25">
      <c r="A225" s="9" t="s">
        <v>205</v>
      </c>
      <c r="B225" s="9" t="s">
        <v>609</v>
      </c>
      <c r="C225" s="9" t="s">
        <v>610</v>
      </c>
      <c r="D225" s="9" t="s">
        <v>179</v>
      </c>
      <c r="E225" s="9" t="s">
        <v>583</v>
      </c>
      <c r="F225" s="79">
        <v>541</v>
      </c>
      <c r="G225" s="79">
        <v>558.75099999999998</v>
      </c>
      <c r="H225" s="79">
        <v>534.75</v>
      </c>
      <c r="I225" s="79">
        <v>524.96</v>
      </c>
      <c r="J225" s="79">
        <v>519.66</v>
      </c>
      <c r="K225" s="79">
        <v>515.84</v>
      </c>
      <c r="L225" s="79">
        <v>510.25</v>
      </c>
      <c r="M225" s="79">
        <v>505.83</v>
      </c>
    </row>
    <row r="226" spans="1:13" x14ac:dyDescent="0.25">
      <c r="A226" s="9" t="s">
        <v>205</v>
      </c>
      <c r="B226" s="9" t="s">
        <v>471</v>
      </c>
      <c r="C226" s="9" t="s">
        <v>472</v>
      </c>
      <c r="D226" s="9" t="s">
        <v>582</v>
      </c>
      <c r="E226" s="9" t="s">
        <v>583</v>
      </c>
      <c r="F226" s="77">
        <v>15.736000000000001</v>
      </c>
      <c r="G226" s="77">
        <v>15.693</v>
      </c>
      <c r="H226" s="77">
        <v>15.943</v>
      </c>
      <c r="I226" s="77">
        <v>15.193</v>
      </c>
      <c r="J226" s="77">
        <v>14.419</v>
      </c>
      <c r="K226" s="77">
        <v>13.603</v>
      </c>
      <c r="L226" s="77">
        <v>12.791</v>
      </c>
      <c r="M226" s="77">
        <v>11.974</v>
      </c>
    </row>
    <row r="227" spans="1:13" x14ac:dyDescent="0.25">
      <c r="A227" s="9" t="s">
        <v>205</v>
      </c>
      <c r="B227" s="9" t="s">
        <v>473</v>
      </c>
      <c r="C227" s="9" t="s">
        <v>474</v>
      </c>
      <c r="D227" s="9" t="s">
        <v>582</v>
      </c>
      <c r="E227" s="9" t="s">
        <v>583</v>
      </c>
      <c r="F227" s="77">
        <v>65.986000000000004</v>
      </c>
      <c r="G227" s="77">
        <v>69.468999999999994</v>
      </c>
      <c r="H227" s="77">
        <v>67.426000000000002</v>
      </c>
      <c r="I227" s="77">
        <v>69.168999999999997</v>
      </c>
      <c r="J227" s="77">
        <v>70.760000000000005</v>
      </c>
      <c r="K227" s="77">
        <v>72.231999999999999</v>
      </c>
      <c r="L227" s="77">
        <v>73.697999999999993</v>
      </c>
      <c r="M227" s="77">
        <v>75.122</v>
      </c>
    </row>
    <row r="228" spans="1:13" x14ac:dyDescent="0.25">
      <c r="A228" s="9" t="s">
        <v>205</v>
      </c>
      <c r="B228" s="9" t="s">
        <v>475</v>
      </c>
      <c r="C228" s="9" t="s">
        <v>476</v>
      </c>
      <c r="D228" s="9" t="s">
        <v>582</v>
      </c>
      <c r="E228" s="9" t="s">
        <v>583</v>
      </c>
      <c r="F228" s="77">
        <v>301.81099999999998</v>
      </c>
      <c r="G228" s="77">
        <v>277.303</v>
      </c>
      <c r="H228" s="77">
        <v>289.24200000000002</v>
      </c>
      <c r="I228" s="77">
        <v>281.471</v>
      </c>
      <c r="J228" s="77">
        <v>273.70299999999997</v>
      </c>
      <c r="K228" s="77">
        <v>265.97899999999998</v>
      </c>
      <c r="L228" s="77">
        <v>258.04399999999998</v>
      </c>
      <c r="M228" s="77">
        <v>249.85300000000001</v>
      </c>
    </row>
    <row r="229" spans="1:13" x14ac:dyDescent="0.25">
      <c r="A229" s="9" t="s">
        <v>205</v>
      </c>
      <c r="B229" s="9" t="s">
        <v>477</v>
      </c>
      <c r="C229" s="9" t="s">
        <v>478</v>
      </c>
      <c r="D229" s="9" t="s">
        <v>582</v>
      </c>
      <c r="E229" s="9" t="s">
        <v>583</v>
      </c>
      <c r="F229" s="77">
        <v>591.10900000000004</v>
      </c>
      <c r="G229" s="77">
        <v>620.24300000000005</v>
      </c>
      <c r="H229" s="77">
        <v>621.399</v>
      </c>
      <c r="I229" s="77">
        <v>640.33399999999995</v>
      </c>
      <c r="J229" s="77">
        <v>658.86699999999996</v>
      </c>
      <c r="K229" s="77">
        <v>677.31399999999996</v>
      </c>
      <c r="L229" s="77">
        <v>695.23299999999995</v>
      </c>
      <c r="M229" s="77">
        <v>712.69299999999998</v>
      </c>
    </row>
    <row r="230" spans="1:13" x14ac:dyDescent="0.25">
      <c r="A230" s="9" t="s">
        <v>205</v>
      </c>
      <c r="B230" s="9" t="s">
        <v>479</v>
      </c>
      <c r="C230" s="9" t="s">
        <v>480</v>
      </c>
      <c r="D230" s="9" t="s">
        <v>582</v>
      </c>
      <c r="E230" s="9" t="s">
        <v>583</v>
      </c>
      <c r="F230" s="77">
        <v>113.083</v>
      </c>
      <c r="G230" s="77">
        <v>112.30500000000001</v>
      </c>
      <c r="H230" s="77">
        <v>114.57</v>
      </c>
      <c r="I230" s="77">
        <v>109.182</v>
      </c>
      <c r="J230" s="77">
        <v>103.616</v>
      </c>
      <c r="K230" s="77">
        <v>97.757000000000005</v>
      </c>
      <c r="L230" s="77">
        <v>91.915999999999997</v>
      </c>
      <c r="M230" s="77">
        <v>86.045000000000002</v>
      </c>
    </row>
    <row r="231" spans="1:13" x14ac:dyDescent="0.25">
      <c r="A231" s="9" t="s">
        <v>205</v>
      </c>
      <c r="B231" s="9" t="s">
        <v>481</v>
      </c>
      <c r="C231" s="9" t="s">
        <v>482</v>
      </c>
      <c r="D231" s="9" t="s">
        <v>582</v>
      </c>
      <c r="E231" s="9" t="s">
        <v>583</v>
      </c>
      <c r="F231" s="77">
        <v>817.20699999999999</v>
      </c>
      <c r="G231" s="77">
        <v>824.63099999999997</v>
      </c>
      <c r="H231" s="77">
        <v>835.04399999999998</v>
      </c>
      <c r="I231" s="77">
        <v>856.62800000000004</v>
      </c>
      <c r="J231" s="77">
        <v>876.327</v>
      </c>
      <c r="K231" s="77">
        <v>894.56399999999996</v>
      </c>
      <c r="L231" s="77">
        <v>912.71500000000003</v>
      </c>
      <c r="M231" s="77">
        <v>930.35400000000004</v>
      </c>
    </row>
    <row r="232" spans="1:13" x14ac:dyDescent="0.25">
      <c r="A232" s="9" t="s">
        <v>205</v>
      </c>
      <c r="B232" s="9" t="s">
        <v>611</v>
      </c>
      <c r="C232" s="9" t="s">
        <v>612</v>
      </c>
      <c r="D232" s="9" t="s">
        <v>613</v>
      </c>
      <c r="E232" s="9" t="s">
        <v>583</v>
      </c>
      <c r="F232" s="9"/>
      <c r="G232" s="9"/>
      <c r="H232" s="9"/>
      <c r="I232" s="9"/>
      <c r="J232" s="9"/>
      <c r="K232" s="9"/>
      <c r="L232" s="9"/>
      <c r="M232" s="9"/>
    </row>
    <row r="233" spans="1:13" x14ac:dyDescent="0.25">
      <c r="A233" s="9" t="s">
        <v>205</v>
      </c>
      <c r="B233" s="9" t="s">
        <v>483</v>
      </c>
      <c r="C233" s="9" t="s">
        <v>484</v>
      </c>
      <c r="D233" s="9" t="s">
        <v>582</v>
      </c>
      <c r="E233" s="9" t="s">
        <v>583</v>
      </c>
      <c r="F233" s="77">
        <v>1114.1600000000001</v>
      </c>
      <c r="G233" s="77">
        <v>1121.8889999999999</v>
      </c>
      <c r="H233" s="77">
        <v>1129.319</v>
      </c>
      <c r="I233" s="77">
        <v>1143.2149999999999</v>
      </c>
      <c r="J233" s="77">
        <v>1156.473</v>
      </c>
      <c r="K233" s="77">
        <v>1169.3689999999999</v>
      </c>
      <c r="L233" s="77">
        <v>1182.1510000000001</v>
      </c>
      <c r="M233" s="77">
        <v>1194.2829999999999</v>
      </c>
    </row>
    <row r="234" spans="1:13" x14ac:dyDescent="0.25">
      <c r="A234" s="9" t="s">
        <v>205</v>
      </c>
      <c r="B234" s="9" t="s">
        <v>485</v>
      </c>
      <c r="C234" s="9" t="s">
        <v>486</v>
      </c>
      <c r="D234" s="9" t="s">
        <v>504</v>
      </c>
      <c r="E234" s="9" t="s">
        <v>583</v>
      </c>
      <c r="F234" s="80">
        <v>13905</v>
      </c>
      <c r="G234" s="80">
        <v>13940</v>
      </c>
      <c r="H234" s="80">
        <v>13975</v>
      </c>
      <c r="I234" s="80">
        <v>14017</v>
      </c>
      <c r="J234" s="80">
        <v>14059</v>
      </c>
      <c r="K234" s="80">
        <v>14101</v>
      </c>
      <c r="L234" s="80">
        <v>14143</v>
      </c>
      <c r="M234" s="80">
        <v>14185</v>
      </c>
    </row>
    <row r="235" spans="1:13" x14ac:dyDescent="0.25">
      <c r="A235" s="9" t="s">
        <v>205</v>
      </c>
      <c r="B235" s="9" t="s">
        <v>614</v>
      </c>
      <c r="C235" s="9" t="s">
        <v>615</v>
      </c>
      <c r="D235" s="9" t="s">
        <v>613</v>
      </c>
      <c r="E235" s="9" t="s">
        <v>583</v>
      </c>
      <c r="F235" s="9"/>
      <c r="G235" s="9"/>
      <c r="H235" s="9"/>
      <c r="I235" s="9"/>
      <c r="J235" s="9"/>
      <c r="K235" s="9"/>
      <c r="L235" s="9"/>
      <c r="M235" s="9"/>
    </row>
    <row r="236" spans="1:13" x14ac:dyDescent="0.25">
      <c r="A236" s="9" t="s">
        <v>205</v>
      </c>
      <c r="B236" s="9" t="s">
        <v>487</v>
      </c>
      <c r="C236" s="9" t="s">
        <v>488</v>
      </c>
      <c r="D236" s="9" t="s">
        <v>582</v>
      </c>
      <c r="E236" s="9" t="s">
        <v>583</v>
      </c>
      <c r="F236" s="77"/>
      <c r="G236" s="77"/>
      <c r="H236" s="77"/>
      <c r="I236" s="77"/>
      <c r="J236" s="77"/>
      <c r="K236" s="77"/>
      <c r="L236" s="77"/>
      <c r="M236" s="77"/>
    </row>
    <row r="237" spans="1:13" x14ac:dyDescent="0.25">
      <c r="A237" s="9" t="s">
        <v>205</v>
      </c>
      <c r="B237" s="9" t="s">
        <v>489</v>
      </c>
      <c r="C237" s="9" t="s">
        <v>490</v>
      </c>
      <c r="D237" s="9" t="s">
        <v>504</v>
      </c>
      <c r="E237" s="9" t="s">
        <v>583</v>
      </c>
      <c r="F237" s="80"/>
      <c r="G237" s="80"/>
      <c r="H237" s="80"/>
      <c r="I237" s="80"/>
      <c r="J237" s="80"/>
      <c r="K237" s="80"/>
      <c r="L237" s="80"/>
      <c r="M237" s="80"/>
    </row>
    <row r="238" spans="1:13" x14ac:dyDescent="0.25">
      <c r="A238" s="9" t="s">
        <v>297</v>
      </c>
      <c r="B238" s="9" t="s">
        <v>580</v>
      </c>
      <c r="C238" s="9" t="s">
        <v>581</v>
      </c>
      <c r="D238" s="9" t="s">
        <v>582</v>
      </c>
      <c r="E238" s="9" t="s">
        <v>583</v>
      </c>
      <c r="F238" s="77">
        <v>693.23099999999999</v>
      </c>
      <c r="G238" s="77">
        <v>691.81899999999996</v>
      </c>
      <c r="H238" s="77">
        <v>710.42873877555598</v>
      </c>
      <c r="I238" s="77">
        <v>718.89244325805498</v>
      </c>
      <c r="J238" s="77">
        <v>726.88481151084397</v>
      </c>
      <c r="K238" s="77">
        <v>734.49249705092404</v>
      </c>
      <c r="L238" s="77">
        <v>741.86704495020297</v>
      </c>
      <c r="M238" s="77">
        <v>749.04267150953399</v>
      </c>
    </row>
    <row r="239" spans="1:13" x14ac:dyDescent="0.25">
      <c r="A239" s="9" t="s">
        <v>297</v>
      </c>
      <c r="B239" s="9" t="s">
        <v>584</v>
      </c>
      <c r="C239" s="9" t="s">
        <v>585</v>
      </c>
      <c r="D239" s="9" t="s">
        <v>582</v>
      </c>
      <c r="E239" s="9" t="s">
        <v>583</v>
      </c>
      <c r="F239" s="77">
        <v>42.627000000000002</v>
      </c>
      <c r="G239" s="77">
        <v>45.295000000000002</v>
      </c>
      <c r="H239" s="77">
        <v>43.519010922226997</v>
      </c>
      <c r="I239" s="77">
        <v>43.965021844453901</v>
      </c>
      <c r="J239" s="77">
        <v>44.411032766680897</v>
      </c>
      <c r="K239" s="77">
        <v>44.857043688907801</v>
      </c>
      <c r="L239" s="77">
        <v>45.303054611134698</v>
      </c>
      <c r="M239" s="77">
        <v>45.749065533361701</v>
      </c>
    </row>
    <row r="240" spans="1:13" x14ac:dyDescent="0.25">
      <c r="A240" s="9" t="s">
        <v>297</v>
      </c>
      <c r="B240" s="9" t="s">
        <v>586</v>
      </c>
      <c r="C240" s="9" t="s">
        <v>587</v>
      </c>
      <c r="D240" s="9">
        <v>0</v>
      </c>
      <c r="E240" s="9" t="s">
        <v>583</v>
      </c>
      <c r="F240" s="78">
        <v>735.85799999999995</v>
      </c>
      <c r="G240" s="78">
        <v>737.11400000000003</v>
      </c>
      <c r="H240" s="78">
        <v>753.94774969778302</v>
      </c>
      <c r="I240" s="78">
        <v>762.85746510250794</v>
      </c>
      <c r="J240" s="78">
        <v>771.29584427752502</v>
      </c>
      <c r="K240" s="78">
        <v>779.34954073983101</v>
      </c>
      <c r="L240" s="78">
        <v>787.170099561337</v>
      </c>
      <c r="M240" s="78">
        <v>794.79173704289599</v>
      </c>
    </row>
    <row r="241" spans="1:13" x14ac:dyDescent="0.25">
      <c r="A241" s="9" t="s">
        <v>297</v>
      </c>
      <c r="B241" s="9" t="s">
        <v>588</v>
      </c>
      <c r="C241" s="9" t="s">
        <v>589</v>
      </c>
      <c r="D241" s="9">
        <v>0</v>
      </c>
      <c r="E241" s="9" t="s">
        <v>583</v>
      </c>
      <c r="F241" s="79">
        <v>1669.329</v>
      </c>
      <c r="G241" s="79">
        <v>1712.8119999999999</v>
      </c>
      <c r="H241" s="79">
        <v>1734.6484880482001</v>
      </c>
      <c r="I241" s="79">
        <v>1754.1491616215501</v>
      </c>
      <c r="J241" s="79">
        <v>1772.45142524772</v>
      </c>
      <c r="K241" s="79">
        <v>1789.6255324272299</v>
      </c>
      <c r="L241" s="79">
        <v>1808.06890839946</v>
      </c>
      <c r="M241" s="79">
        <v>1826.03506330441</v>
      </c>
    </row>
    <row r="242" spans="1:13" x14ac:dyDescent="0.25">
      <c r="A242" s="9" t="s">
        <v>297</v>
      </c>
      <c r="B242" s="9" t="s">
        <v>590</v>
      </c>
      <c r="C242" s="9" t="s">
        <v>591</v>
      </c>
      <c r="D242" s="9">
        <v>0</v>
      </c>
      <c r="E242" s="9" t="s">
        <v>583</v>
      </c>
      <c r="F242" s="77">
        <v>0</v>
      </c>
      <c r="G242" s="77">
        <v>0</v>
      </c>
      <c r="H242" s="77">
        <v>0</v>
      </c>
      <c r="I242" s="77">
        <v>0</v>
      </c>
      <c r="J242" s="77">
        <v>0</v>
      </c>
      <c r="K242" s="77">
        <v>0</v>
      </c>
      <c r="L242" s="77">
        <v>0</v>
      </c>
      <c r="M242" s="77">
        <v>0</v>
      </c>
    </row>
    <row r="243" spans="1:13" x14ac:dyDescent="0.25">
      <c r="A243" s="9" t="s">
        <v>297</v>
      </c>
      <c r="B243" s="9" t="s">
        <v>592</v>
      </c>
      <c r="C243" s="9" t="s">
        <v>593</v>
      </c>
      <c r="D243" s="9">
        <v>0</v>
      </c>
      <c r="E243" s="9" t="s">
        <v>583</v>
      </c>
      <c r="F243" s="77">
        <v>0</v>
      </c>
      <c r="G243" s="77">
        <v>0</v>
      </c>
      <c r="H243" s="77">
        <v>0</v>
      </c>
      <c r="I243" s="77">
        <v>0</v>
      </c>
      <c r="J243" s="77">
        <v>0</v>
      </c>
      <c r="K243" s="77">
        <v>0</v>
      </c>
      <c r="L243" s="77">
        <v>0</v>
      </c>
      <c r="M243" s="77">
        <v>0</v>
      </c>
    </row>
    <row r="244" spans="1:13" x14ac:dyDescent="0.25">
      <c r="A244" s="9" t="s">
        <v>297</v>
      </c>
      <c r="B244" s="9" t="s">
        <v>594</v>
      </c>
      <c r="C244" s="9" t="s">
        <v>595</v>
      </c>
      <c r="D244" s="9" t="s">
        <v>582</v>
      </c>
      <c r="E244" s="9" t="s">
        <v>583</v>
      </c>
      <c r="F244" s="77">
        <v>0</v>
      </c>
      <c r="G244" s="77">
        <v>0</v>
      </c>
      <c r="H244" s="77">
        <v>0</v>
      </c>
      <c r="I244" s="77">
        <v>0</v>
      </c>
      <c r="J244" s="77">
        <v>0</v>
      </c>
      <c r="K244" s="77">
        <v>0</v>
      </c>
      <c r="L244" s="77">
        <v>0</v>
      </c>
      <c r="M244" s="77">
        <v>0</v>
      </c>
    </row>
    <row r="245" spans="1:13" x14ac:dyDescent="0.25">
      <c r="A245" s="9" t="s">
        <v>297</v>
      </c>
      <c r="B245" s="9" t="s">
        <v>596</v>
      </c>
      <c r="C245" s="9" t="s">
        <v>597</v>
      </c>
      <c r="D245" s="9">
        <v>0</v>
      </c>
      <c r="E245" s="9" t="s">
        <v>583</v>
      </c>
      <c r="F245" s="77"/>
      <c r="G245" s="77"/>
      <c r="H245" s="77"/>
      <c r="I245" s="77"/>
      <c r="J245" s="77"/>
      <c r="K245" s="77"/>
      <c r="L245" s="77"/>
      <c r="M245" s="77"/>
    </row>
    <row r="246" spans="1:13" x14ac:dyDescent="0.25">
      <c r="A246" s="9" t="s">
        <v>297</v>
      </c>
      <c r="B246" s="9" t="s">
        <v>598</v>
      </c>
      <c r="C246" s="9" t="s">
        <v>599</v>
      </c>
      <c r="D246" s="9">
        <v>0</v>
      </c>
      <c r="E246" s="9" t="s">
        <v>583</v>
      </c>
      <c r="F246" s="80"/>
      <c r="G246" s="80"/>
      <c r="H246" s="80"/>
      <c r="I246" s="80"/>
      <c r="J246" s="80"/>
      <c r="K246" s="80"/>
      <c r="L246" s="80"/>
      <c r="M246" s="80"/>
    </row>
    <row r="247" spans="1:13" x14ac:dyDescent="0.25">
      <c r="A247" s="9" t="s">
        <v>297</v>
      </c>
      <c r="B247" s="9" t="s">
        <v>600</v>
      </c>
      <c r="C247" s="9" t="s">
        <v>601</v>
      </c>
      <c r="D247" s="9" t="s">
        <v>602</v>
      </c>
      <c r="E247" s="9" t="s">
        <v>583</v>
      </c>
      <c r="F247" s="80">
        <v>0</v>
      </c>
      <c r="G247" s="80">
        <v>0</v>
      </c>
      <c r="H247" s="80">
        <v>0</v>
      </c>
      <c r="I247" s="80">
        <v>0</v>
      </c>
      <c r="J247" s="80">
        <v>0</v>
      </c>
      <c r="K247" s="80">
        <v>0</v>
      </c>
      <c r="L247" s="80">
        <v>0</v>
      </c>
      <c r="M247" s="80">
        <v>0</v>
      </c>
    </row>
    <row r="248" spans="1:13" x14ac:dyDescent="0.25">
      <c r="A248" s="9" t="s">
        <v>297</v>
      </c>
      <c r="B248" s="9" t="s">
        <v>603</v>
      </c>
      <c r="C248" s="9" t="s">
        <v>604</v>
      </c>
      <c r="D248" s="9" t="s">
        <v>504</v>
      </c>
      <c r="E248" s="9" t="s">
        <v>583</v>
      </c>
      <c r="F248" s="78"/>
      <c r="G248" s="78"/>
      <c r="H248" s="78"/>
      <c r="I248" s="78"/>
      <c r="J248" s="78"/>
      <c r="K248" s="78"/>
      <c r="L248" s="78"/>
      <c r="M248" s="78"/>
    </row>
    <row r="249" spans="1:13" x14ac:dyDescent="0.25">
      <c r="A249" s="9" t="s">
        <v>297</v>
      </c>
      <c r="B249" s="9" t="s">
        <v>605</v>
      </c>
      <c r="C249" s="9" t="s">
        <v>606</v>
      </c>
      <c r="D249" s="9" t="s">
        <v>504</v>
      </c>
      <c r="E249" s="9" t="s">
        <v>583</v>
      </c>
      <c r="F249" s="79">
        <v>8490.91</v>
      </c>
      <c r="G249" s="79">
        <v>8529.8700000000008</v>
      </c>
      <c r="H249" s="79">
        <v>8651.91</v>
      </c>
      <c r="I249" s="79">
        <v>8731.07</v>
      </c>
      <c r="J249" s="79">
        <v>8805.8799999999992</v>
      </c>
      <c r="K249" s="79">
        <v>8878.17</v>
      </c>
      <c r="L249" s="79">
        <v>8948.23</v>
      </c>
      <c r="M249" s="79">
        <v>9016.2000000000007</v>
      </c>
    </row>
    <row r="250" spans="1:13" x14ac:dyDescent="0.25">
      <c r="A250" s="9" t="s">
        <v>297</v>
      </c>
      <c r="B250" s="9" t="s">
        <v>607</v>
      </c>
      <c r="C250" s="9" t="s">
        <v>608</v>
      </c>
      <c r="D250" s="9" t="s">
        <v>179</v>
      </c>
      <c r="E250" s="9" t="s">
        <v>583</v>
      </c>
      <c r="F250" s="79">
        <v>86.8</v>
      </c>
      <c r="G250" s="79">
        <v>83.74</v>
      </c>
      <c r="H250" s="79">
        <v>84</v>
      </c>
      <c r="I250" s="79">
        <v>80.099999999999994</v>
      </c>
      <c r="J250" s="79">
        <v>76.2</v>
      </c>
      <c r="K250" s="79">
        <v>72.3</v>
      </c>
      <c r="L250" s="79">
        <v>68.400000000000006</v>
      </c>
      <c r="M250" s="79">
        <v>64.400000000000006</v>
      </c>
    </row>
    <row r="251" spans="1:13" x14ac:dyDescent="0.25">
      <c r="A251" s="9" t="s">
        <v>297</v>
      </c>
      <c r="B251" s="9" t="s">
        <v>609</v>
      </c>
      <c r="C251" s="9" t="s">
        <v>610</v>
      </c>
      <c r="D251" s="9" t="s">
        <v>179</v>
      </c>
      <c r="E251" s="9" t="s">
        <v>583</v>
      </c>
      <c r="F251" s="79">
        <v>385.05</v>
      </c>
      <c r="G251" s="79">
        <v>396.64</v>
      </c>
      <c r="H251" s="79">
        <v>381.28189907972597</v>
      </c>
      <c r="I251" s="79">
        <v>378.53337993097398</v>
      </c>
      <c r="J251" s="79">
        <v>375.797378134729</v>
      </c>
      <c r="K251" s="79">
        <v>373.12901306261699</v>
      </c>
      <c r="L251" s="79">
        <v>370.70639098066403</v>
      </c>
      <c r="M251" s="79">
        <v>368.27342444676799</v>
      </c>
    </row>
    <row r="252" spans="1:13" x14ac:dyDescent="0.25">
      <c r="A252" s="9" t="s">
        <v>297</v>
      </c>
      <c r="B252" s="9" t="s">
        <v>471</v>
      </c>
      <c r="C252" s="9" t="s">
        <v>472</v>
      </c>
      <c r="D252" s="9" t="s">
        <v>582</v>
      </c>
      <c r="E252" s="9" t="s">
        <v>583</v>
      </c>
      <c r="F252" s="77">
        <v>380.90506575328402</v>
      </c>
      <c r="G252" s="77">
        <v>374.11700000000002</v>
      </c>
      <c r="H252" s="77">
        <v>359.61311282850301</v>
      </c>
      <c r="I252" s="77">
        <v>358.61332107844697</v>
      </c>
      <c r="J252" s="77">
        <v>349.21207428916802</v>
      </c>
      <c r="K252" s="77">
        <v>339.86063805653203</v>
      </c>
      <c r="L252" s="77">
        <v>330.55776584035698</v>
      </c>
      <c r="M252" s="77">
        <v>321.302305269116</v>
      </c>
    </row>
    <row r="253" spans="1:13" x14ac:dyDescent="0.25">
      <c r="A253" s="9" t="s">
        <v>297</v>
      </c>
      <c r="B253" s="9" t="s">
        <v>473</v>
      </c>
      <c r="C253" s="9" t="s">
        <v>474</v>
      </c>
      <c r="D253" s="9" t="s">
        <v>582</v>
      </c>
      <c r="E253" s="9" t="s">
        <v>583</v>
      </c>
      <c r="F253" s="77">
        <v>289.75564931489703</v>
      </c>
      <c r="G253" s="77">
        <v>304.464</v>
      </c>
      <c r="H253" s="77">
        <v>326.607562916593</v>
      </c>
      <c r="I253" s="77">
        <v>339.15061875839802</v>
      </c>
      <c r="J253" s="77">
        <v>357.23951469727302</v>
      </c>
      <c r="K253" s="77">
        <v>374.91255720787399</v>
      </c>
      <c r="L253" s="77">
        <v>393.04332026274898</v>
      </c>
      <c r="M253" s="77">
        <v>410.94896195685999</v>
      </c>
    </row>
    <row r="254" spans="1:13" x14ac:dyDescent="0.25">
      <c r="A254" s="9" t="s">
        <v>297</v>
      </c>
      <c r="B254" s="9" t="s">
        <v>475</v>
      </c>
      <c r="C254" s="9" t="s">
        <v>476</v>
      </c>
      <c r="D254" s="9" t="s">
        <v>582</v>
      </c>
      <c r="E254" s="9" t="s">
        <v>583</v>
      </c>
      <c r="F254" s="77"/>
      <c r="G254" s="77">
        <v>0</v>
      </c>
      <c r="H254" s="77"/>
      <c r="I254" s="77"/>
      <c r="J254" s="77"/>
      <c r="K254" s="77"/>
      <c r="L254" s="77"/>
      <c r="M254" s="77"/>
    </row>
    <row r="255" spans="1:13" x14ac:dyDescent="0.25">
      <c r="A255" s="9" t="s">
        <v>297</v>
      </c>
      <c r="B255" s="9" t="s">
        <v>477</v>
      </c>
      <c r="C255" s="9" t="s">
        <v>478</v>
      </c>
      <c r="D255" s="9" t="s">
        <v>582</v>
      </c>
      <c r="E255" s="9" t="s">
        <v>583</v>
      </c>
      <c r="F255" s="77"/>
      <c r="G255" s="77">
        <v>0</v>
      </c>
      <c r="H255" s="77"/>
      <c r="I255" s="77"/>
      <c r="J255" s="77"/>
      <c r="K255" s="77"/>
      <c r="L255" s="77"/>
      <c r="M255" s="77"/>
    </row>
    <row r="256" spans="1:13" x14ac:dyDescent="0.25">
      <c r="A256" s="9" t="s">
        <v>297</v>
      </c>
      <c r="B256" s="9" t="s">
        <v>479</v>
      </c>
      <c r="C256" s="9" t="s">
        <v>480</v>
      </c>
      <c r="D256" s="9" t="s">
        <v>582</v>
      </c>
      <c r="E256" s="9" t="s">
        <v>583</v>
      </c>
      <c r="F256" s="77"/>
      <c r="G256" s="77">
        <v>0</v>
      </c>
      <c r="H256" s="77"/>
      <c r="I256" s="77"/>
      <c r="J256" s="77"/>
      <c r="K256" s="77"/>
      <c r="L256" s="77"/>
      <c r="M256" s="77"/>
    </row>
    <row r="257" spans="1:13" x14ac:dyDescent="0.25">
      <c r="A257" s="9" t="s">
        <v>297</v>
      </c>
      <c r="B257" s="9" t="s">
        <v>481</v>
      </c>
      <c r="C257" s="9" t="s">
        <v>482</v>
      </c>
      <c r="D257" s="9" t="s">
        <v>582</v>
      </c>
      <c r="E257" s="9" t="s">
        <v>583</v>
      </c>
      <c r="F257" s="77"/>
      <c r="G257" s="77">
        <v>0</v>
      </c>
      <c r="H257" s="77"/>
      <c r="I257" s="77"/>
      <c r="J257" s="77"/>
      <c r="K257" s="77"/>
      <c r="L257" s="77"/>
      <c r="M257" s="77"/>
    </row>
    <row r="258" spans="1:13" x14ac:dyDescent="0.25">
      <c r="A258" s="9" t="s">
        <v>297</v>
      </c>
      <c r="B258" s="9" t="s">
        <v>611</v>
      </c>
      <c r="C258" s="9" t="s">
        <v>612</v>
      </c>
      <c r="D258" s="9" t="s">
        <v>613</v>
      </c>
      <c r="E258" s="9" t="s">
        <v>583</v>
      </c>
      <c r="F258" s="9"/>
      <c r="G258" s="9"/>
      <c r="H258" s="9"/>
      <c r="I258" s="9"/>
      <c r="J258" s="9"/>
      <c r="K258" s="9"/>
      <c r="L258" s="9"/>
      <c r="M258" s="9"/>
    </row>
    <row r="259" spans="1:13" x14ac:dyDescent="0.25">
      <c r="A259" s="9" t="s">
        <v>297</v>
      </c>
      <c r="B259" s="9" t="s">
        <v>483</v>
      </c>
      <c r="C259" s="9" t="s">
        <v>484</v>
      </c>
      <c r="D259" s="9" t="s">
        <v>582</v>
      </c>
      <c r="E259" s="9" t="s">
        <v>583</v>
      </c>
      <c r="F259" s="77">
        <v>591.23500000000001</v>
      </c>
      <c r="G259" s="77">
        <v>597.54</v>
      </c>
      <c r="H259" s="77">
        <v>603.97299999999996</v>
      </c>
      <c r="I259" s="77">
        <v>610.21</v>
      </c>
      <c r="J259" s="77">
        <v>616.09799999999996</v>
      </c>
      <c r="K259" s="77">
        <v>621.98299999999995</v>
      </c>
      <c r="L259" s="77">
        <v>627.64400000000001</v>
      </c>
      <c r="M259" s="77">
        <v>633.09699999999998</v>
      </c>
    </row>
    <row r="260" spans="1:13" x14ac:dyDescent="0.25">
      <c r="A260" s="9" t="s">
        <v>297</v>
      </c>
      <c r="B260" s="9" t="s">
        <v>485</v>
      </c>
      <c r="C260" s="9" t="s">
        <v>486</v>
      </c>
      <c r="D260" s="9" t="s">
        <v>504</v>
      </c>
      <c r="E260" s="9" t="s">
        <v>583</v>
      </c>
      <c r="F260" s="80">
        <v>6078.4</v>
      </c>
      <c r="G260" s="80">
        <v>6141.79</v>
      </c>
      <c r="H260" s="80">
        <v>6206.38</v>
      </c>
      <c r="I260" s="80">
        <v>6269.03</v>
      </c>
      <c r="J260" s="80">
        <v>6328.16</v>
      </c>
      <c r="K260" s="80">
        <v>6387.25</v>
      </c>
      <c r="L260" s="80">
        <v>6444.11</v>
      </c>
      <c r="M260" s="80">
        <v>6498.88</v>
      </c>
    </row>
    <row r="261" spans="1:13" x14ac:dyDescent="0.25">
      <c r="A261" s="9" t="s">
        <v>297</v>
      </c>
      <c r="B261" s="9" t="s">
        <v>614</v>
      </c>
      <c r="C261" s="9" t="s">
        <v>615</v>
      </c>
      <c r="D261" s="9" t="s">
        <v>613</v>
      </c>
      <c r="E261" s="9" t="s">
        <v>583</v>
      </c>
      <c r="F261" s="9"/>
      <c r="G261" s="9"/>
      <c r="H261" s="9"/>
      <c r="I261" s="9"/>
      <c r="J261" s="9"/>
      <c r="K261" s="9"/>
      <c r="L261" s="9"/>
      <c r="M261" s="9"/>
    </row>
    <row r="262" spans="1:13" x14ac:dyDescent="0.25">
      <c r="A262" s="9" t="s">
        <v>297</v>
      </c>
      <c r="B262" s="9" t="s">
        <v>487</v>
      </c>
      <c r="C262" s="9" t="s">
        <v>488</v>
      </c>
      <c r="D262" s="9" t="s">
        <v>582</v>
      </c>
      <c r="E262" s="9" t="s">
        <v>583</v>
      </c>
      <c r="F262" s="77">
        <v>144.62299999999999</v>
      </c>
      <c r="G262" s="77">
        <v>147.304</v>
      </c>
      <c r="H262" s="77">
        <v>149.97499999999999</v>
      </c>
      <c r="I262" s="77">
        <v>152.64699999999999</v>
      </c>
      <c r="J262" s="77">
        <v>155.19800000000001</v>
      </c>
      <c r="K262" s="77">
        <v>157.36699999999999</v>
      </c>
      <c r="L262" s="77">
        <v>159.52600000000001</v>
      </c>
      <c r="M262" s="77">
        <v>161.69499999999999</v>
      </c>
    </row>
    <row r="263" spans="1:13" x14ac:dyDescent="0.25">
      <c r="A263" s="9" t="s">
        <v>297</v>
      </c>
      <c r="B263" s="9" t="s">
        <v>489</v>
      </c>
      <c r="C263" s="9" t="s">
        <v>490</v>
      </c>
      <c r="D263" s="9" t="s">
        <v>504</v>
      </c>
      <c r="E263" s="9" t="s">
        <v>583</v>
      </c>
      <c r="F263" s="80">
        <v>2412.5</v>
      </c>
      <c r="G263" s="80">
        <v>2429.0100000000002</v>
      </c>
      <c r="H263" s="80">
        <v>2445.52</v>
      </c>
      <c r="I263" s="80">
        <v>2462.0300000000002</v>
      </c>
      <c r="J263" s="80">
        <v>2477.71</v>
      </c>
      <c r="K263" s="80">
        <v>2490.91</v>
      </c>
      <c r="L263" s="80">
        <v>2504.11</v>
      </c>
      <c r="M263" s="80">
        <v>2517.31</v>
      </c>
    </row>
    <row r="264" spans="1:13" x14ac:dyDescent="0.25">
      <c r="A264" s="9" t="s">
        <v>198</v>
      </c>
      <c r="B264" s="9" t="s">
        <v>580</v>
      </c>
      <c r="C264" s="9" t="s">
        <v>581</v>
      </c>
      <c r="D264" s="9" t="s">
        <v>582</v>
      </c>
      <c r="E264" s="9" t="s">
        <v>583</v>
      </c>
      <c r="F264" s="77">
        <v>3420.78</v>
      </c>
      <c r="G264" s="77">
        <v>3443.1370000000002</v>
      </c>
      <c r="H264" s="77">
        <v>3464.89426231381</v>
      </c>
      <c r="I264" s="77">
        <v>3484.8606796581898</v>
      </c>
      <c r="J264" s="77">
        <v>3506.2669859657299</v>
      </c>
      <c r="K264" s="77">
        <v>3529.02452207855</v>
      </c>
      <c r="L264" s="77">
        <v>3552.1789324843899</v>
      </c>
      <c r="M264" s="77">
        <v>3575.72828833225</v>
      </c>
    </row>
    <row r="265" spans="1:13" x14ac:dyDescent="0.25">
      <c r="A265" s="9" t="s">
        <v>198</v>
      </c>
      <c r="B265" s="9" t="s">
        <v>584</v>
      </c>
      <c r="C265" s="9" t="s">
        <v>585</v>
      </c>
      <c r="D265" s="9" t="s">
        <v>582</v>
      </c>
      <c r="E265" s="9" t="s">
        <v>583</v>
      </c>
      <c r="F265" s="77">
        <v>191.41300000000001</v>
      </c>
      <c r="G265" s="77">
        <v>193.82300000000001</v>
      </c>
      <c r="H265" s="77">
        <v>190.673255402199</v>
      </c>
      <c r="I265" s="77">
        <v>190.94709160858699</v>
      </c>
      <c r="J265" s="77">
        <v>191.28959828620799</v>
      </c>
      <c r="K265" s="77">
        <v>191.69654714641899</v>
      </c>
      <c r="L265" s="77">
        <v>192.122377155669</v>
      </c>
      <c r="M265" s="77">
        <v>192.56704270731899</v>
      </c>
    </row>
    <row r="266" spans="1:13" x14ac:dyDescent="0.25">
      <c r="A266" s="9" t="s">
        <v>198</v>
      </c>
      <c r="B266" s="9" t="s">
        <v>586</v>
      </c>
      <c r="C266" s="9" t="s">
        <v>587</v>
      </c>
      <c r="D266" s="9">
        <v>0</v>
      </c>
      <c r="E266" s="9" t="s">
        <v>583</v>
      </c>
      <c r="F266" s="78">
        <v>3612.1930000000002</v>
      </c>
      <c r="G266" s="78">
        <v>3636.96</v>
      </c>
      <c r="H266" s="78">
        <v>3655.5675177160101</v>
      </c>
      <c r="I266" s="78">
        <v>3675.80777126678</v>
      </c>
      <c r="J266" s="78">
        <v>3697.55658425194</v>
      </c>
      <c r="K266" s="78">
        <v>3720.7210692249701</v>
      </c>
      <c r="L266" s="78">
        <v>3744.30130964006</v>
      </c>
      <c r="M266" s="78">
        <v>3768.2953310395701</v>
      </c>
    </row>
    <row r="267" spans="1:13" x14ac:dyDescent="0.25">
      <c r="A267" s="9" t="s">
        <v>198</v>
      </c>
      <c r="B267" s="9" t="s">
        <v>588</v>
      </c>
      <c r="C267" s="9" t="s">
        <v>589</v>
      </c>
      <c r="D267" s="9">
        <v>0</v>
      </c>
      <c r="E267" s="9" t="s">
        <v>583</v>
      </c>
      <c r="F267" s="79">
        <v>8015.4880000000003</v>
      </c>
      <c r="G267" s="79">
        <v>8545.1278860400507</v>
      </c>
      <c r="H267" s="79">
        <v>8076.2690000000002</v>
      </c>
      <c r="I267" s="79">
        <v>8120.9960000000001</v>
      </c>
      <c r="J267" s="79">
        <v>8166.732</v>
      </c>
      <c r="K267" s="79">
        <v>8212.7829999999994</v>
      </c>
      <c r="L267" s="79">
        <v>8258.7000000000007</v>
      </c>
      <c r="M267" s="79">
        <v>8304.6620000000003</v>
      </c>
    </row>
    <row r="268" spans="1:13" x14ac:dyDescent="0.25">
      <c r="A268" s="9" t="s">
        <v>198</v>
      </c>
      <c r="B268" s="9" t="s">
        <v>590</v>
      </c>
      <c r="C268" s="9" t="s">
        <v>591</v>
      </c>
      <c r="D268" s="9">
        <v>0</v>
      </c>
      <c r="E268" s="9" t="s">
        <v>583</v>
      </c>
      <c r="F268" s="77">
        <v>3673.473</v>
      </c>
      <c r="G268" s="77">
        <v>3695.7489999999998</v>
      </c>
      <c r="H268" s="77">
        <v>3708.9334760443398</v>
      </c>
      <c r="I268" s="77">
        <v>3738.5854051012402</v>
      </c>
      <c r="J268" s="77">
        <v>3772.54811147699</v>
      </c>
      <c r="K268" s="77">
        <v>3807.95303120483</v>
      </c>
      <c r="L268" s="77">
        <v>3843.90584480281</v>
      </c>
      <c r="M268" s="77">
        <v>3880.40900850669</v>
      </c>
    </row>
    <row r="269" spans="1:13" x14ac:dyDescent="0.25">
      <c r="A269" s="9" t="s">
        <v>198</v>
      </c>
      <c r="B269" s="9" t="s">
        <v>592</v>
      </c>
      <c r="C269" s="9" t="s">
        <v>593</v>
      </c>
      <c r="D269" s="9">
        <v>0</v>
      </c>
      <c r="E269" s="9" t="s">
        <v>583</v>
      </c>
      <c r="F269" s="77">
        <v>173.53800000000001</v>
      </c>
      <c r="G269" s="77">
        <v>170.48699999999999</v>
      </c>
      <c r="H269" s="77">
        <v>175.47240672886301</v>
      </c>
      <c r="I269" s="77">
        <v>176.55250816724899</v>
      </c>
      <c r="J269" s="77">
        <v>177.70128007686901</v>
      </c>
      <c r="K269" s="77">
        <v>178.91449416907801</v>
      </c>
      <c r="L269" s="77">
        <v>180.14658941032599</v>
      </c>
      <c r="M269" s="77">
        <v>181.397520193974</v>
      </c>
    </row>
    <row r="270" spans="1:13" x14ac:dyDescent="0.25">
      <c r="A270" s="9" t="s">
        <v>198</v>
      </c>
      <c r="B270" s="9" t="s">
        <v>594</v>
      </c>
      <c r="C270" s="9" t="s">
        <v>595</v>
      </c>
      <c r="D270" s="9" t="s">
        <v>582</v>
      </c>
      <c r="E270" s="9" t="s">
        <v>583</v>
      </c>
      <c r="F270" s="77">
        <v>4103.402</v>
      </c>
      <c r="G270" s="77">
        <v>4149.9849999999997</v>
      </c>
      <c r="H270" s="77">
        <v>4143.10251771601</v>
      </c>
      <c r="I270" s="77">
        <v>4163.3427712667799</v>
      </c>
      <c r="J270" s="77">
        <v>4185.0915842519398</v>
      </c>
      <c r="K270" s="77">
        <v>4208.2560692249699</v>
      </c>
      <c r="L270" s="77">
        <v>4231.8363096400599</v>
      </c>
      <c r="M270" s="77">
        <v>4255.8303310395704</v>
      </c>
    </row>
    <row r="271" spans="1:13" x14ac:dyDescent="0.25">
      <c r="A271" s="9" t="s">
        <v>198</v>
      </c>
      <c r="B271" s="9" t="s">
        <v>596</v>
      </c>
      <c r="C271" s="9" t="s">
        <v>597</v>
      </c>
      <c r="D271" s="9">
        <v>0</v>
      </c>
      <c r="E271" s="9" t="s">
        <v>583</v>
      </c>
      <c r="F271" s="77">
        <v>8913.1280000000006</v>
      </c>
      <c r="G271" s="77">
        <v>9113.0720000000001</v>
      </c>
      <c r="H271" s="77">
        <v>9007.0940179160807</v>
      </c>
      <c r="I271" s="77">
        <v>9053.8774172577996</v>
      </c>
      <c r="J271" s="77">
        <v>9100.4993048032302</v>
      </c>
      <c r="K271" s="77">
        <v>9148.3098559686605</v>
      </c>
      <c r="L271" s="77">
        <v>9196.0224430881499</v>
      </c>
      <c r="M271" s="77">
        <v>9243.7923830166492</v>
      </c>
    </row>
    <row r="272" spans="1:13" x14ac:dyDescent="0.25">
      <c r="A272" s="9" t="s">
        <v>198</v>
      </c>
      <c r="B272" s="9" t="s">
        <v>598</v>
      </c>
      <c r="C272" s="9" t="s">
        <v>599</v>
      </c>
      <c r="D272" s="9">
        <v>0</v>
      </c>
      <c r="E272" s="9" t="s">
        <v>583</v>
      </c>
      <c r="F272" s="80">
        <v>50.345999999999997</v>
      </c>
      <c r="G272" s="80">
        <v>50.545999999999999</v>
      </c>
      <c r="H272" s="80">
        <v>50.344771389093999</v>
      </c>
      <c r="I272" s="80">
        <v>50.344022320072597</v>
      </c>
      <c r="J272" s="80">
        <v>50.343276883344998</v>
      </c>
      <c r="K272" s="80">
        <v>50.342569470890503</v>
      </c>
      <c r="L272" s="80">
        <v>50.341866978021997</v>
      </c>
      <c r="M272" s="80">
        <v>50.341173254490997</v>
      </c>
    </row>
    <row r="273" spans="1:13" x14ac:dyDescent="0.25">
      <c r="A273" s="9" t="s">
        <v>198</v>
      </c>
      <c r="B273" s="9" t="s">
        <v>600</v>
      </c>
      <c r="C273" s="9" t="s">
        <v>601</v>
      </c>
      <c r="D273" s="9" t="s">
        <v>602</v>
      </c>
      <c r="E273" s="9" t="s">
        <v>583</v>
      </c>
      <c r="F273" s="80">
        <v>56721.234567999003</v>
      </c>
      <c r="G273" s="80">
        <v>55419.191559999002</v>
      </c>
      <c r="H273" s="80">
        <v>57311.379779332303</v>
      </c>
      <c r="I273" s="80">
        <v>57606.452384999</v>
      </c>
      <c r="J273" s="80">
        <v>57901.524990665697</v>
      </c>
      <c r="K273" s="80">
        <v>58196.597596332402</v>
      </c>
      <c r="L273" s="80">
        <v>58491.670201998997</v>
      </c>
      <c r="M273" s="80">
        <v>58786.742807665702</v>
      </c>
    </row>
    <row r="274" spans="1:13" x14ac:dyDescent="0.25">
      <c r="A274" s="9" t="s">
        <v>198</v>
      </c>
      <c r="B274" s="9" t="s">
        <v>603</v>
      </c>
      <c r="C274" s="9" t="s">
        <v>604</v>
      </c>
      <c r="D274" s="9" t="s">
        <v>504</v>
      </c>
      <c r="E274" s="9" t="s">
        <v>583</v>
      </c>
      <c r="F274" s="78">
        <v>36803.9</v>
      </c>
      <c r="G274" s="78">
        <v>36803.9</v>
      </c>
      <c r="H274" s="78">
        <v>36804</v>
      </c>
      <c r="I274" s="78">
        <v>36804</v>
      </c>
      <c r="J274" s="78">
        <v>36804</v>
      </c>
      <c r="K274" s="78">
        <v>36804</v>
      </c>
      <c r="L274" s="78">
        <v>36804</v>
      </c>
      <c r="M274" s="78">
        <v>36804</v>
      </c>
    </row>
    <row r="275" spans="1:13" x14ac:dyDescent="0.25">
      <c r="A275" s="9" t="s">
        <v>198</v>
      </c>
      <c r="B275" s="9" t="s">
        <v>605</v>
      </c>
      <c r="C275" s="9" t="s">
        <v>606</v>
      </c>
      <c r="D275" s="9" t="s">
        <v>504</v>
      </c>
      <c r="E275" s="9" t="s">
        <v>583</v>
      </c>
      <c r="F275" s="79">
        <v>46539.848021003003</v>
      </c>
      <c r="G275" s="79">
        <v>46814.915666002998</v>
      </c>
      <c r="H275" s="79">
        <v>46778.008021002999</v>
      </c>
      <c r="I275" s="79">
        <v>46897.088021003001</v>
      </c>
      <c r="J275" s="79">
        <v>47016.168021003003</v>
      </c>
      <c r="K275" s="79">
        <v>47135.248021002997</v>
      </c>
      <c r="L275" s="79">
        <v>47254.328021002999</v>
      </c>
      <c r="M275" s="79">
        <v>47373.408021003001</v>
      </c>
    </row>
    <row r="276" spans="1:13" x14ac:dyDescent="0.25">
      <c r="A276" s="9" t="s">
        <v>198</v>
      </c>
      <c r="B276" s="9" t="s">
        <v>607</v>
      </c>
      <c r="C276" s="9" t="s">
        <v>608</v>
      </c>
      <c r="D276" s="9" t="s">
        <v>179</v>
      </c>
      <c r="E276" s="9" t="s">
        <v>583</v>
      </c>
      <c r="F276" s="79">
        <v>439.22</v>
      </c>
      <c r="G276" s="79">
        <v>424.36652485424298</v>
      </c>
      <c r="H276" s="79">
        <v>421.58735630655002</v>
      </c>
      <c r="I276" s="79">
        <v>421.58735630655002</v>
      </c>
      <c r="J276" s="79">
        <v>406.56735630654998</v>
      </c>
      <c r="K276" s="79">
        <v>384.84692310322498</v>
      </c>
      <c r="L276" s="79">
        <v>359.9764898999</v>
      </c>
      <c r="M276" s="79">
        <v>357.25605458355801</v>
      </c>
    </row>
    <row r="277" spans="1:13" x14ac:dyDescent="0.25">
      <c r="A277" s="9" t="s">
        <v>198</v>
      </c>
      <c r="B277" s="9" t="s">
        <v>609</v>
      </c>
      <c r="C277" s="9" t="s">
        <v>610</v>
      </c>
      <c r="D277" s="9" t="s">
        <v>179</v>
      </c>
      <c r="E277" s="9" t="s">
        <v>583</v>
      </c>
      <c r="F277" s="79">
        <v>1880.95</v>
      </c>
      <c r="G277" s="79">
        <v>1966.42380540456</v>
      </c>
      <c r="H277" s="79">
        <v>1803.1878553635399</v>
      </c>
      <c r="I277" s="79">
        <v>1802.2239767445001</v>
      </c>
      <c r="J277" s="79">
        <v>1789.22832737369</v>
      </c>
      <c r="K277" s="79">
        <v>1768.8288307570299</v>
      </c>
      <c r="L277" s="79">
        <v>1744.8664541687799</v>
      </c>
      <c r="M277" s="79">
        <v>1741.1030343237401</v>
      </c>
    </row>
    <row r="278" spans="1:13" x14ac:dyDescent="0.25">
      <c r="A278" s="9" t="s">
        <v>198</v>
      </c>
      <c r="B278" s="9" t="s">
        <v>471</v>
      </c>
      <c r="C278" s="9" t="s">
        <v>472</v>
      </c>
      <c r="D278" s="9" t="s">
        <v>582</v>
      </c>
      <c r="E278" s="9" t="s">
        <v>583</v>
      </c>
      <c r="F278" s="77">
        <v>141.670637223254</v>
      </c>
      <c r="G278" s="77">
        <v>147.54599999999999</v>
      </c>
      <c r="H278" s="77">
        <v>137.249168388084</v>
      </c>
      <c r="I278" s="77">
        <v>131.08777164515001</v>
      </c>
      <c r="J278" s="77">
        <v>124.974341317964</v>
      </c>
      <c r="K278" s="77">
        <v>118.90833508751</v>
      </c>
      <c r="L278" s="77">
        <v>112.889311049638</v>
      </c>
      <c r="M278" s="77">
        <v>106.915572238568</v>
      </c>
    </row>
    <row r="279" spans="1:13" x14ac:dyDescent="0.25">
      <c r="A279" s="9" t="s">
        <v>198</v>
      </c>
      <c r="B279" s="9" t="s">
        <v>473</v>
      </c>
      <c r="C279" s="9" t="s">
        <v>474</v>
      </c>
      <c r="D279" s="9" t="s">
        <v>582</v>
      </c>
      <c r="E279" s="9" t="s">
        <v>583</v>
      </c>
      <c r="F279" s="77">
        <v>155.452329442685</v>
      </c>
      <c r="G279" s="77">
        <v>155.821</v>
      </c>
      <c r="H279" s="77">
        <v>165.16410790958099</v>
      </c>
      <c r="I279" s="77">
        <v>175.187683400412</v>
      </c>
      <c r="J279" s="77">
        <v>185.18432209656001</v>
      </c>
      <c r="K279" s="77">
        <v>195.229372067062</v>
      </c>
      <c r="L279" s="77">
        <v>205.24925130069599</v>
      </c>
      <c r="M279" s="77">
        <v>215.245338371592</v>
      </c>
    </row>
    <row r="280" spans="1:13" x14ac:dyDescent="0.25">
      <c r="A280" s="9" t="s">
        <v>198</v>
      </c>
      <c r="B280" s="9" t="s">
        <v>475</v>
      </c>
      <c r="C280" s="9" t="s">
        <v>476</v>
      </c>
      <c r="D280" s="9" t="s">
        <v>582</v>
      </c>
      <c r="E280" s="9" t="s">
        <v>583</v>
      </c>
      <c r="F280" s="77">
        <v>522.88209431164705</v>
      </c>
      <c r="G280" s="77">
        <v>439.51600000000002</v>
      </c>
      <c r="H280" s="77">
        <v>508.89183571477798</v>
      </c>
      <c r="I280" s="77">
        <v>485.157395325491</v>
      </c>
      <c r="J280" s="77">
        <v>461.55380499654399</v>
      </c>
      <c r="K280" s="77">
        <v>438.07877313318602</v>
      </c>
      <c r="L280" s="77">
        <v>414.72977898118899</v>
      </c>
      <c r="M280" s="77">
        <v>391.50453094580098</v>
      </c>
    </row>
    <row r="281" spans="1:13" x14ac:dyDescent="0.25">
      <c r="A281" s="9" t="s">
        <v>198</v>
      </c>
      <c r="B281" s="9" t="s">
        <v>477</v>
      </c>
      <c r="C281" s="9" t="s">
        <v>478</v>
      </c>
      <c r="D281" s="9" t="s">
        <v>582</v>
      </c>
      <c r="E281" s="9" t="s">
        <v>583</v>
      </c>
      <c r="F281" s="77">
        <v>274.86518378727601</v>
      </c>
      <c r="G281" s="77">
        <v>292.42500000000001</v>
      </c>
      <c r="H281" s="77">
        <v>292.44831652599498</v>
      </c>
      <c r="I281" s="77">
        <v>312.50758276863297</v>
      </c>
      <c r="J281" s="77">
        <v>332.54483910388802</v>
      </c>
      <c r="K281" s="77">
        <v>352.72698080069301</v>
      </c>
      <c r="L281" s="77">
        <v>372.89043782792101</v>
      </c>
      <c r="M281" s="77">
        <v>393.03663528748899</v>
      </c>
    </row>
    <row r="282" spans="1:13" x14ac:dyDescent="0.25">
      <c r="A282" s="9" t="s">
        <v>198</v>
      </c>
      <c r="B282" s="9" t="s">
        <v>479</v>
      </c>
      <c r="C282" s="9" t="s">
        <v>480</v>
      </c>
      <c r="D282" s="9" t="s">
        <v>582</v>
      </c>
      <c r="E282" s="9" t="s">
        <v>583</v>
      </c>
      <c r="F282" s="77">
        <v>1619.62981903064</v>
      </c>
      <c r="G282" s="77">
        <v>1608.87</v>
      </c>
      <c r="H282" s="77">
        <v>1576.10425586727</v>
      </c>
      <c r="I282" s="77">
        <v>1502.5956045531</v>
      </c>
      <c r="J282" s="77">
        <v>1429.4922129081001</v>
      </c>
      <c r="K282" s="77">
        <v>1356.7869835650299</v>
      </c>
      <c r="L282" s="77">
        <v>1284.4721094199299</v>
      </c>
      <c r="M282" s="77">
        <v>1212.54049310557</v>
      </c>
    </row>
    <row r="283" spans="1:13" x14ac:dyDescent="0.25">
      <c r="A283" s="9" t="s">
        <v>198</v>
      </c>
      <c r="B283" s="9" t="s">
        <v>481</v>
      </c>
      <c r="C283" s="9" t="s">
        <v>482</v>
      </c>
      <c r="D283" s="9" t="s">
        <v>582</v>
      </c>
      <c r="E283" s="9" t="s">
        <v>583</v>
      </c>
      <c r="F283" s="77">
        <v>1325.7157044099899</v>
      </c>
      <c r="G283" s="77">
        <v>1362.241</v>
      </c>
      <c r="H283" s="77">
        <v>1409.7384111500601</v>
      </c>
      <c r="I283" s="77">
        <v>1506.43350742434</v>
      </c>
      <c r="J283" s="77">
        <v>1603.0225055947401</v>
      </c>
      <c r="K283" s="77">
        <v>1700.3099193410001</v>
      </c>
      <c r="L283" s="77">
        <v>1797.50726419331</v>
      </c>
      <c r="M283" s="77">
        <v>1894.6214098130999</v>
      </c>
    </row>
    <row r="284" spans="1:13" x14ac:dyDescent="0.25">
      <c r="A284" s="9" t="s">
        <v>198</v>
      </c>
      <c r="B284" s="9" t="s">
        <v>611</v>
      </c>
      <c r="C284" s="9" t="s">
        <v>612</v>
      </c>
      <c r="D284" s="9" t="s">
        <v>613</v>
      </c>
      <c r="E284" s="9" t="s">
        <v>583</v>
      </c>
      <c r="F284" s="9"/>
      <c r="G284" s="9"/>
      <c r="H284" s="9"/>
      <c r="I284" s="9"/>
      <c r="J284" s="9"/>
      <c r="K284" s="9"/>
      <c r="L284" s="9"/>
      <c r="M284" s="9"/>
    </row>
    <row r="285" spans="1:13" x14ac:dyDescent="0.25">
      <c r="A285" s="9" t="s">
        <v>198</v>
      </c>
      <c r="B285" s="9" t="s">
        <v>483</v>
      </c>
      <c r="C285" s="9" t="s">
        <v>484</v>
      </c>
      <c r="D285" s="9" t="s">
        <v>582</v>
      </c>
      <c r="E285" s="9" t="s">
        <v>583</v>
      </c>
      <c r="F285" s="77">
        <v>3612.1930000000002</v>
      </c>
      <c r="G285" s="77">
        <v>3635.7179999999998</v>
      </c>
      <c r="H285" s="77">
        <v>3655.5680000000002</v>
      </c>
      <c r="I285" s="77">
        <v>3675.808</v>
      </c>
      <c r="J285" s="77">
        <v>3697.5569999999998</v>
      </c>
      <c r="K285" s="77">
        <v>3720.721</v>
      </c>
      <c r="L285" s="77">
        <v>3744.3009999999999</v>
      </c>
      <c r="M285" s="77">
        <v>3768.2950000000001</v>
      </c>
    </row>
    <row r="286" spans="1:13" x14ac:dyDescent="0.25">
      <c r="A286" s="9" t="s">
        <v>198</v>
      </c>
      <c r="B286" s="9" t="s">
        <v>485</v>
      </c>
      <c r="C286" s="9" t="s">
        <v>486</v>
      </c>
      <c r="D286" s="9" t="s">
        <v>504</v>
      </c>
      <c r="E286" s="9" t="s">
        <v>583</v>
      </c>
      <c r="F286" s="80">
        <v>46540</v>
      </c>
      <c r="G286" s="80">
        <v>46659</v>
      </c>
      <c r="H286" s="80">
        <v>46778</v>
      </c>
      <c r="I286" s="80">
        <v>46897</v>
      </c>
      <c r="J286" s="80">
        <v>47016</v>
      </c>
      <c r="K286" s="80">
        <v>47135</v>
      </c>
      <c r="L286" s="80">
        <v>47254</v>
      </c>
      <c r="M286" s="80">
        <v>47373</v>
      </c>
    </row>
    <row r="287" spans="1:13" x14ac:dyDescent="0.25">
      <c r="A287" s="9" t="s">
        <v>198</v>
      </c>
      <c r="B287" s="9" t="s">
        <v>614</v>
      </c>
      <c r="C287" s="9" t="s">
        <v>615</v>
      </c>
      <c r="D287" s="9" t="s">
        <v>613</v>
      </c>
      <c r="E287" s="9" t="s">
        <v>583</v>
      </c>
      <c r="F287" s="9"/>
      <c r="G287" s="9"/>
      <c r="H287" s="9"/>
      <c r="I287" s="9"/>
      <c r="J287" s="9"/>
      <c r="K287" s="9"/>
      <c r="L287" s="9"/>
      <c r="M287" s="9"/>
    </row>
    <row r="288" spans="1:13" x14ac:dyDescent="0.25">
      <c r="A288" s="9" t="s">
        <v>198</v>
      </c>
      <c r="B288" s="9" t="s">
        <v>487</v>
      </c>
      <c r="C288" s="9" t="s">
        <v>488</v>
      </c>
      <c r="D288" s="9" t="s">
        <v>582</v>
      </c>
      <c r="E288" s="9" t="s">
        <v>583</v>
      </c>
      <c r="F288" s="77"/>
      <c r="G288" s="77"/>
      <c r="H288" s="77"/>
      <c r="I288" s="77"/>
      <c r="J288" s="77"/>
      <c r="K288" s="77"/>
      <c r="L288" s="77"/>
      <c r="M288" s="77"/>
    </row>
    <row r="289" spans="1:13" x14ac:dyDescent="0.25">
      <c r="A289" s="9" t="s">
        <v>198</v>
      </c>
      <c r="B289" s="9" t="s">
        <v>489</v>
      </c>
      <c r="C289" s="9" t="s">
        <v>490</v>
      </c>
      <c r="D289" s="9" t="s">
        <v>504</v>
      </c>
      <c r="E289" s="9" t="s">
        <v>583</v>
      </c>
      <c r="F289" s="80"/>
      <c r="G289" s="80"/>
      <c r="H289" s="80"/>
      <c r="I289" s="80"/>
      <c r="J289" s="80"/>
      <c r="K289" s="80"/>
      <c r="L289" s="80"/>
      <c r="M289" s="80"/>
    </row>
    <row r="290" spans="1:13" x14ac:dyDescent="0.25">
      <c r="A290" s="9" t="s">
        <v>167</v>
      </c>
      <c r="B290" s="9" t="s">
        <v>580</v>
      </c>
      <c r="C290" s="9" t="s">
        <v>581</v>
      </c>
      <c r="D290" s="9" t="s">
        <v>582</v>
      </c>
      <c r="E290" s="9" t="s">
        <v>583</v>
      </c>
      <c r="F290" s="77">
        <v>961.33699999999999</v>
      </c>
      <c r="G290" s="77">
        <v>974.15499999999997</v>
      </c>
      <c r="H290" s="77">
        <v>979.68299999999999</v>
      </c>
      <c r="I290" s="77">
        <v>988.56899999999996</v>
      </c>
      <c r="J290" s="77">
        <v>997.37199999999996</v>
      </c>
      <c r="K290" s="77">
        <v>1006.125</v>
      </c>
      <c r="L290" s="77">
        <v>1014.861</v>
      </c>
      <c r="M290" s="77">
        <v>1023.481</v>
      </c>
    </row>
    <row r="291" spans="1:13" x14ac:dyDescent="0.25">
      <c r="A291" s="9" t="s">
        <v>167</v>
      </c>
      <c r="B291" s="9" t="s">
        <v>584</v>
      </c>
      <c r="C291" s="9" t="s">
        <v>585</v>
      </c>
      <c r="D291" s="9" t="s">
        <v>582</v>
      </c>
      <c r="E291" s="9" t="s">
        <v>583</v>
      </c>
      <c r="F291" s="77">
        <v>83.028000000000006</v>
      </c>
      <c r="G291" s="77">
        <v>85.1</v>
      </c>
      <c r="H291" s="77">
        <v>84.128</v>
      </c>
      <c r="I291" s="77">
        <v>84.600999999999999</v>
      </c>
      <c r="J291" s="77">
        <v>85.070999999999998</v>
      </c>
      <c r="K291" s="77">
        <v>85.537000000000006</v>
      </c>
      <c r="L291" s="77">
        <v>86.003</v>
      </c>
      <c r="M291" s="77">
        <v>86.462000000000003</v>
      </c>
    </row>
    <row r="292" spans="1:13" x14ac:dyDescent="0.25">
      <c r="A292" s="9" t="s">
        <v>167</v>
      </c>
      <c r="B292" s="9" t="s">
        <v>586</v>
      </c>
      <c r="C292" s="9" t="s">
        <v>587</v>
      </c>
      <c r="D292" s="9">
        <v>0</v>
      </c>
      <c r="E292" s="9" t="s">
        <v>583</v>
      </c>
      <c r="F292" s="78">
        <v>1044.365</v>
      </c>
      <c r="G292" s="78">
        <v>1059.2550000000001</v>
      </c>
      <c r="H292" s="78">
        <v>1063.8109999999999</v>
      </c>
      <c r="I292" s="78">
        <v>1073.17</v>
      </c>
      <c r="J292" s="78">
        <v>1082.443</v>
      </c>
      <c r="K292" s="78">
        <v>1091.662</v>
      </c>
      <c r="L292" s="78">
        <v>1100.864</v>
      </c>
      <c r="M292" s="78">
        <v>1109.943</v>
      </c>
    </row>
    <row r="293" spans="1:13" x14ac:dyDescent="0.25">
      <c r="A293" s="9" t="s">
        <v>167</v>
      </c>
      <c r="B293" s="9" t="s">
        <v>588</v>
      </c>
      <c r="C293" s="9" t="s">
        <v>589</v>
      </c>
      <c r="D293" s="9">
        <v>0</v>
      </c>
      <c r="E293" s="9" t="s">
        <v>583</v>
      </c>
      <c r="F293" s="79">
        <v>2195.11</v>
      </c>
      <c r="G293" s="79">
        <v>2202.66</v>
      </c>
      <c r="H293" s="79">
        <v>2218.328</v>
      </c>
      <c r="I293" s="79">
        <v>2231.0630000000001</v>
      </c>
      <c r="J293" s="79">
        <v>2243.4989999999998</v>
      </c>
      <c r="K293" s="79">
        <v>2256.4479999999999</v>
      </c>
      <c r="L293" s="79">
        <v>2268.88</v>
      </c>
      <c r="M293" s="79">
        <v>2281.2489999999998</v>
      </c>
    </row>
    <row r="294" spans="1:13" x14ac:dyDescent="0.25">
      <c r="A294" s="9" t="s">
        <v>167</v>
      </c>
      <c r="B294" s="9" t="s">
        <v>590</v>
      </c>
      <c r="C294" s="9" t="s">
        <v>591</v>
      </c>
      <c r="D294" s="9">
        <v>0</v>
      </c>
      <c r="E294" s="9" t="s">
        <v>583</v>
      </c>
      <c r="F294" s="77">
        <v>692.505</v>
      </c>
      <c r="G294" s="77">
        <v>703.03658333333306</v>
      </c>
      <c r="H294" s="77">
        <v>706.89099999999996</v>
      </c>
      <c r="I294" s="77">
        <v>713.84400000000005</v>
      </c>
      <c r="J294" s="77">
        <v>720.88300000000004</v>
      </c>
      <c r="K294" s="77">
        <v>727.71799999999996</v>
      </c>
      <c r="L294" s="77">
        <v>734.66800000000001</v>
      </c>
      <c r="M294" s="77">
        <v>741.44100000000003</v>
      </c>
    </row>
    <row r="295" spans="1:13" x14ac:dyDescent="0.25">
      <c r="A295" s="9" t="s">
        <v>167</v>
      </c>
      <c r="B295" s="9" t="s">
        <v>592</v>
      </c>
      <c r="C295" s="9" t="s">
        <v>593</v>
      </c>
      <c r="D295" s="9">
        <v>0</v>
      </c>
      <c r="E295" s="9" t="s">
        <v>583</v>
      </c>
      <c r="F295" s="77">
        <v>43.436999999999998</v>
      </c>
      <c r="G295" s="77">
        <v>42.805750000000003</v>
      </c>
      <c r="H295" s="77">
        <v>43.908999999999999</v>
      </c>
      <c r="I295" s="77">
        <v>44.137999999999998</v>
      </c>
      <c r="J295" s="77">
        <v>44.371000000000002</v>
      </c>
      <c r="K295" s="77">
        <v>44.595999999999997</v>
      </c>
      <c r="L295" s="77">
        <v>44.826000000000001</v>
      </c>
      <c r="M295" s="77">
        <v>45.05</v>
      </c>
    </row>
    <row r="296" spans="1:13" x14ac:dyDescent="0.25">
      <c r="A296" s="9" t="s">
        <v>167</v>
      </c>
      <c r="B296" s="9" t="s">
        <v>594</v>
      </c>
      <c r="C296" s="9" t="s">
        <v>595</v>
      </c>
      <c r="D296" s="9" t="s">
        <v>582</v>
      </c>
      <c r="E296" s="9" t="s">
        <v>583</v>
      </c>
      <c r="F296" s="77">
        <v>746.34400000000005</v>
      </c>
      <c r="G296" s="77">
        <v>758.08733333333305</v>
      </c>
      <c r="H296" s="77">
        <v>760.93799999999999</v>
      </c>
      <c r="I296" s="77">
        <v>768.01700000000005</v>
      </c>
      <c r="J296" s="77">
        <v>775.18700000000001</v>
      </c>
      <c r="K296" s="77">
        <v>782.12800000000004</v>
      </c>
      <c r="L296" s="77">
        <v>789.21400000000006</v>
      </c>
      <c r="M296" s="77">
        <v>796.13499999999999</v>
      </c>
    </row>
    <row r="297" spans="1:13" x14ac:dyDescent="0.25">
      <c r="A297" s="9" t="s">
        <v>167</v>
      </c>
      <c r="B297" s="9" t="s">
        <v>596</v>
      </c>
      <c r="C297" s="9" t="s">
        <v>597</v>
      </c>
      <c r="D297" s="9">
        <v>0</v>
      </c>
      <c r="E297" s="9" t="s">
        <v>583</v>
      </c>
      <c r="F297" s="77">
        <v>1566.877</v>
      </c>
      <c r="G297" s="77">
        <v>1583.296</v>
      </c>
      <c r="H297" s="77">
        <v>1588.6389999999999</v>
      </c>
      <c r="I297" s="77">
        <v>1597.943</v>
      </c>
      <c r="J297" s="77">
        <v>1607.0740000000001</v>
      </c>
      <c r="K297" s="77">
        <v>1616.5930000000001</v>
      </c>
      <c r="L297" s="77">
        <v>1625.4179999999999</v>
      </c>
      <c r="M297" s="77">
        <v>1634.4649999999999</v>
      </c>
    </row>
    <row r="298" spans="1:13" x14ac:dyDescent="0.25">
      <c r="A298" s="9" t="s">
        <v>167</v>
      </c>
      <c r="B298" s="9" t="s">
        <v>598</v>
      </c>
      <c r="C298" s="9" t="s">
        <v>599</v>
      </c>
      <c r="D298" s="9">
        <v>0</v>
      </c>
      <c r="E298" s="9" t="s">
        <v>583</v>
      </c>
      <c r="F298" s="80">
        <v>139.50700000000001</v>
      </c>
      <c r="G298" s="80">
        <v>139.167</v>
      </c>
      <c r="H298" s="80">
        <v>139.50700000000001</v>
      </c>
      <c r="I298" s="80">
        <v>139.50700000000001</v>
      </c>
      <c r="J298" s="80">
        <v>139.50700000000001</v>
      </c>
      <c r="K298" s="80">
        <v>139.50700000000001</v>
      </c>
      <c r="L298" s="80">
        <v>139.50700000000001</v>
      </c>
      <c r="M298" s="80">
        <v>139.50700000000001</v>
      </c>
    </row>
    <row r="299" spans="1:13" x14ac:dyDescent="0.25">
      <c r="A299" s="9" t="s">
        <v>167</v>
      </c>
      <c r="B299" s="9" t="s">
        <v>600</v>
      </c>
      <c r="C299" s="9" t="s">
        <v>601</v>
      </c>
      <c r="D299" s="9" t="s">
        <v>602</v>
      </c>
      <c r="E299" s="9" t="s">
        <v>583</v>
      </c>
      <c r="F299" s="80">
        <v>11070</v>
      </c>
      <c r="G299" s="80">
        <v>11117.59</v>
      </c>
      <c r="H299" s="80">
        <v>11155</v>
      </c>
      <c r="I299" s="80">
        <v>11205</v>
      </c>
      <c r="J299" s="80">
        <v>11257</v>
      </c>
      <c r="K299" s="80">
        <v>11309</v>
      </c>
      <c r="L299" s="80">
        <v>11362</v>
      </c>
      <c r="M299" s="80">
        <v>11412</v>
      </c>
    </row>
    <row r="300" spans="1:13" x14ac:dyDescent="0.25">
      <c r="A300" s="9" t="s">
        <v>167</v>
      </c>
      <c r="B300" s="9" t="s">
        <v>603</v>
      </c>
      <c r="C300" s="9" t="s">
        <v>604</v>
      </c>
      <c r="D300" s="9" t="s">
        <v>504</v>
      </c>
      <c r="E300" s="9" t="s">
        <v>583</v>
      </c>
      <c r="F300" s="78">
        <v>6370</v>
      </c>
      <c r="G300" s="78">
        <v>6372.68</v>
      </c>
      <c r="H300" s="78">
        <v>6376</v>
      </c>
      <c r="I300" s="78">
        <v>6379</v>
      </c>
      <c r="J300" s="78">
        <v>6382</v>
      </c>
      <c r="K300" s="78">
        <v>6385</v>
      </c>
      <c r="L300" s="78">
        <v>6388</v>
      </c>
      <c r="M300" s="78">
        <v>6391</v>
      </c>
    </row>
    <row r="301" spans="1:13" x14ac:dyDescent="0.25">
      <c r="A301" s="9" t="s">
        <v>167</v>
      </c>
      <c r="B301" s="9" t="s">
        <v>605</v>
      </c>
      <c r="C301" s="9" t="s">
        <v>606</v>
      </c>
      <c r="D301" s="9" t="s">
        <v>504</v>
      </c>
      <c r="E301" s="9" t="s">
        <v>583</v>
      </c>
      <c r="F301" s="79">
        <v>18233</v>
      </c>
      <c r="G301" s="79">
        <v>18300.34</v>
      </c>
      <c r="H301" s="79">
        <v>18337</v>
      </c>
      <c r="I301" s="79">
        <v>18386</v>
      </c>
      <c r="J301" s="79">
        <v>18435</v>
      </c>
      <c r="K301" s="79">
        <v>18492</v>
      </c>
      <c r="L301" s="79">
        <v>18543</v>
      </c>
      <c r="M301" s="79">
        <v>18592</v>
      </c>
    </row>
    <row r="302" spans="1:13" x14ac:dyDescent="0.25">
      <c r="A302" s="9" t="s">
        <v>167</v>
      </c>
      <c r="B302" s="9" t="s">
        <v>607</v>
      </c>
      <c r="C302" s="9" t="s">
        <v>608</v>
      </c>
      <c r="D302" s="9" t="s">
        <v>179</v>
      </c>
      <c r="E302" s="9" t="s">
        <v>583</v>
      </c>
      <c r="F302" s="79">
        <v>102.46</v>
      </c>
      <c r="G302" s="79">
        <v>103.638918532283</v>
      </c>
      <c r="H302" s="79">
        <v>116.2</v>
      </c>
      <c r="I302" s="79">
        <v>114.3</v>
      </c>
      <c r="J302" s="79">
        <v>110.77</v>
      </c>
      <c r="K302" s="79">
        <v>107.23</v>
      </c>
      <c r="L302" s="79">
        <v>103.7</v>
      </c>
      <c r="M302" s="79">
        <v>100.16</v>
      </c>
    </row>
    <row r="303" spans="1:13" x14ac:dyDescent="0.25">
      <c r="A303" s="9" t="s">
        <v>167</v>
      </c>
      <c r="B303" s="9" t="s">
        <v>609</v>
      </c>
      <c r="C303" s="9" t="s">
        <v>610</v>
      </c>
      <c r="D303" s="9" t="s">
        <v>179</v>
      </c>
      <c r="E303" s="9" t="s">
        <v>583</v>
      </c>
      <c r="F303" s="79">
        <v>593.12</v>
      </c>
      <c r="G303" s="79"/>
      <c r="H303" s="79">
        <v>582.94000000000005</v>
      </c>
      <c r="I303" s="79">
        <v>574.79</v>
      </c>
      <c r="J303" s="79">
        <v>568.73</v>
      </c>
      <c r="K303" s="79">
        <v>562.66999999999996</v>
      </c>
      <c r="L303" s="79">
        <v>557</v>
      </c>
      <c r="M303" s="79">
        <v>551.70000000000005</v>
      </c>
    </row>
    <row r="304" spans="1:13" x14ac:dyDescent="0.25">
      <c r="A304" s="9" t="s">
        <v>167</v>
      </c>
      <c r="B304" s="9" t="s">
        <v>471</v>
      </c>
      <c r="C304" s="9" t="s">
        <v>472</v>
      </c>
      <c r="D304" s="9" t="s">
        <v>582</v>
      </c>
      <c r="E304" s="9" t="s">
        <v>583</v>
      </c>
      <c r="F304" s="77">
        <v>87.769000000000005</v>
      </c>
      <c r="G304" s="77"/>
      <c r="H304" s="77">
        <v>83.602999999999994</v>
      </c>
      <c r="I304" s="77">
        <v>81.739000000000004</v>
      </c>
      <c r="J304" s="77">
        <v>79.406000000000006</v>
      </c>
      <c r="K304" s="77">
        <v>76.995999999999995</v>
      </c>
      <c r="L304" s="77">
        <v>74.712000000000003</v>
      </c>
      <c r="M304" s="77">
        <v>72.546000000000006</v>
      </c>
    </row>
    <row r="305" spans="1:13" x14ac:dyDescent="0.25">
      <c r="A305" s="9" t="s">
        <v>167</v>
      </c>
      <c r="B305" s="9" t="s">
        <v>473</v>
      </c>
      <c r="C305" s="9" t="s">
        <v>474</v>
      </c>
      <c r="D305" s="9" t="s">
        <v>582</v>
      </c>
      <c r="E305" s="9" t="s">
        <v>583</v>
      </c>
      <c r="F305" s="77">
        <v>172.036</v>
      </c>
      <c r="G305" s="77"/>
      <c r="H305" s="77">
        <v>178.25800000000001</v>
      </c>
      <c r="I305" s="77">
        <v>182.52</v>
      </c>
      <c r="J305" s="77">
        <v>187.57</v>
      </c>
      <c r="K305" s="77">
        <v>191.95400000000001</v>
      </c>
      <c r="L305" s="77">
        <v>196.24100000000001</v>
      </c>
      <c r="M305" s="77">
        <v>200.37</v>
      </c>
    </row>
    <row r="306" spans="1:13" x14ac:dyDescent="0.25">
      <c r="A306" s="9" t="s">
        <v>167</v>
      </c>
      <c r="B306" s="9" t="s">
        <v>475</v>
      </c>
      <c r="C306" s="9" t="s">
        <v>476</v>
      </c>
      <c r="D306" s="9" t="s">
        <v>582</v>
      </c>
      <c r="E306" s="9" t="s">
        <v>583</v>
      </c>
      <c r="F306" s="77">
        <v>2.3039999999999998</v>
      </c>
      <c r="G306" s="77"/>
      <c r="H306" s="77">
        <v>2.1869999999999998</v>
      </c>
      <c r="I306" s="77">
        <v>2.1379999999999999</v>
      </c>
      <c r="J306" s="77">
        <v>2.089</v>
      </c>
      <c r="K306" s="77">
        <v>2.0350000000000001</v>
      </c>
      <c r="L306" s="77">
        <v>1.9890000000000001</v>
      </c>
      <c r="M306" s="77">
        <v>1.9490000000000001</v>
      </c>
    </row>
    <row r="307" spans="1:13" x14ac:dyDescent="0.25">
      <c r="A307" s="9" t="s">
        <v>167</v>
      </c>
      <c r="B307" s="9" t="s">
        <v>477</v>
      </c>
      <c r="C307" s="9" t="s">
        <v>478</v>
      </c>
      <c r="D307" s="9" t="s">
        <v>582</v>
      </c>
      <c r="E307" s="9" t="s">
        <v>583</v>
      </c>
      <c r="F307" s="77">
        <v>2.57</v>
      </c>
      <c r="G307" s="77"/>
      <c r="H307" s="77">
        <v>2.7040000000000002</v>
      </c>
      <c r="I307" s="77">
        <v>2.7850000000000001</v>
      </c>
      <c r="J307" s="77">
        <v>2.871</v>
      </c>
      <c r="K307" s="77">
        <v>2.95</v>
      </c>
      <c r="L307" s="77">
        <v>3.0219999999999998</v>
      </c>
      <c r="M307" s="77">
        <v>3.0859999999999999</v>
      </c>
    </row>
    <row r="308" spans="1:13" x14ac:dyDescent="0.25">
      <c r="A308" s="9" t="s">
        <v>167</v>
      </c>
      <c r="B308" s="9" t="s">
        <v>479</v>
      </c>
      <c r="C308" s="9" t="s">
        <v>480</v>
      </c>
      <c r="D308" s="9" t="s">
        <v>582</v>
      </c>
      <c r="E308" s="9" t="s">
        <v>583</v>
      </c>
      <c r="F308" s="77">
        <v>109.47499999999999</v>
      </c>
      <c r="G308" s="77"/>
      <c r="H308" s="77">
        <v>99.977000000000004</v>
      </c>
      <c r="I308" s="77">
        <v>96.039000000000001</v>
      </c>
      <c r="J308" s="77">
        <v>92.085999999999999</v>
      </c>
      <c r="K308" s="77">
        <v>87.760999999999996</v>
      </c>
      <c r="L308" s="77">
        <v>84.043000000000006</v>
      </c>
      <c r="M308" s="77">
        <v>80.861999999999995</v>
      </c>
    </row>
    <row r="309" spans="1:13" x14ac:dyDescent="0.25">
      <c r="A309" s="9" t="s">
        <v>167</v>
      </c>
      <c r="B309" s="9" t="s">
        <v>481</v>
      </c>
      <c r="C309" s="9" t="s">
        <v>482</v>
      </c>
      <c r="D309" s="9" t="s">
        <v>582</v>
      </c>
      <c r="E309" s="9" t="s">
        <v>583</v>
      </c>
      <c r="F309" s="77">
        <v>571.27200000000005</v>
      </c>
      <c r="G309" s="77"/>
      <c r="H309" s="77">
        <v>593.78399999999999</v>
      </c>
      <c r="I309" s="77">
        <v>605.95799999999997</v>
      </c>
      <c r="J309" s="77">
        <v>619.22699999999998</v>
      </c>
      <c r="K309" s="77">
        <v>630.36800000000005</v>
      </c>
      <c r="L309" s="77">
        <v>641.01599999999996</v>
      </c>
      <c r="M309" s="77">
        <v>650.95100000000002</v>
      </c>
    </row>
    <row r="310" spans="1:13" x14ac:dyDescent="0.25">
      <c r="A310" s="9" t="s">
        <v>167</v>
      </c>
      <c r="B310" s="9" t="s">
        <v>611</v>
      </c>
      <c r="C310" s="9" t="s">
        <v>612</v>
      </c>
      <c r="D310" s="9" t="s">
        <v>613</v>
      </c>
      <c r="E310" s="9" t="s">
        <v>583</v>
      </c>
      <c r="F310" s="9"/>
      <c r="G310" s="9"/>
      <c r="H310" s="9"/>
      <c r="I310" s="9"/>
      <c r="J310" s="9"/>
      <c r="K310" s="9"/>
      <c r="L310" s="9"/>
      <c r="M310" s="9"/>
    </row>
    <row r="311" spans="1:13" x14ac:dyDescent="0.25">
      <c r="A311" s="9" t="s">
        <v>167</v>
      </c>
      <c r="B311" s="9" t="s">
        <v>483</v>
      </c>
      <c r="C311" s="9" t="s">
        <v>484</v>
      </c>
      <c r="D311" s="9" t="s">
        <v>582</v>
      </c>
      <c r="E311" s="9" t="s">
        <v>583</v>
      </c>
      <c r="F311" s="77">
        <v>1044.365</v>
      </c>
      <c r="G311" s="77">
        <v>1054.40313615936</v>
      </c>
      <c r="H311" s="77">
        <v>1063.8108126299901</v>
      </c>
      <c r="I311" s="77">
        <v>1073.17055233572</v>
      </c>
      <c r="J311" s="77">
        <v>1082.4430438330501</v>
      </c>
      <c r="K311" s="77">
        <v>1091.6621181744999</v>
      </c>
      <c r="L311" s="77">
        <v>1100.8640036034701</v>
      </c>
      <c r="M311" s="77">
        <v>1109.94272330269</v>
      </c>
    </row>
    <row r="312" spans="1:13" x14ac:dyDescent="0.25">
      <c r="A312" s="9" t="s">
        <v>167</v>
      </c>
      <c r="B312" s="9" t="s">
        <v>485</v>
      </c>
      <c r="C312" s="9" t="s">
        <v>486</v>
      </c>
      <c r="D312" s="9" t="s">
        <v>504</v>
      </c>
      <c r="E312" s="9" t="s">
        <v>583</v>
      </c>
      <c r="F312" s="80">
        <v>18232.77</v>
      </c>
      <c r="G312" s="80">
        <v>18288.218333333301</v>
      </c>
      <c r="H312" s="80">
        <v>18336.711666666699</v>
      </c>
      <c r="I312" s="80">
        <v>18386.055</v>
      </c>
      <c r="J312" s="80">
        <v>18435.398333333302</v>
      </c>
      <c r="K312" s="80">
        <v>18491.991666666701</v>
      </c>
      <c r="L312" s="80">
        <v>18543.084999999999</v>
      </c>
      <c r="M312" s="80">
        <v>18591.678333333301</v>
      </c>
    </row>
    <row r="313" spans="1:13" x14ac:dyDescent="0.25">
      <c r="A313" s="9" t="s">
        <v>167</v>
      </c>
      <c r="B313" s="9" t="s">
        <v>614</v>
      </c>
      <c r="C313" s="9" t="s">
        <v>615</v>
      </c>
      <c r="D313" s="9" t="s">
        <v>613</v>
      </c>
      <c r="E313" s="9" t="s">
        <v>583</v>
      </c>
      <c r="F313" s="9"/>
      <c r="G313" s="9"/>
      <c r="H313" s="9"/>
      <c r="I313" s="9"/>
      <c r="J313" s="9"/>
      <c r="K313" s="9"/>
      <c r="L313" s="9"/>
      <c r="M313" s="9"/>
    </row>
    <row r="314" spans="1:13" x14ac:dyDescent="0.25">
      <c r="A314" s="9" t="s">
        <v>167</v>
      </c>
      <c r="B314" s="9" t="s">
        <v>487</v>
      </c>
      <c r="C314" s="9" t="s">
        <v>488</v>
      </c>
      <c r="D314" s="9" t="s">
        <v>582</v>
      </c>
      <c r="E314" s="9" t="s">
        <v>583</v>
      </c>
      <c r="F314" s="77"/>
      <c r="G314" s="77"/>
      <c r="H314" s="77"/>
      <c r="I314" s="77"/>
      <c r="J314" s="77"/>
      <c r="K314" s="77"/>
      <c r="L314" s="77"/>
      <c r="M314" s="77"/>
    </row>
    <row r="315" spans="1:13" x14ac:dyDescent="0.25">
      <c r="A315" s="9" t="s">
        <v>167</v>
      </c>
      <c r="B315" s="9" t="s">
        <v>489</v>
      </c>
      <c r="C315" s="9" t="s">
        <v>490</v>
      </c>
      <c r="D315" s="9" t="s">
        <v>504</v>
      </c>
      <c r="E315" s="9" t="s">
        <v>583</v>
      </c>
      <c r="F315" s="80"/>
      <c r="G315" s="80"/>
      <c r="H315" s="80"/>
      <c r="I315" s="80"/>
      <c r="J315" s="80"/>
      <c r="K315" s="80"/>
      <c r="L315" s="80"/>
      <c r="M315" s="80"/>
    </row>
    <row r="316" spans="1:13" x14ac:dyDescent="0.25">
      <c r="A316" s="9" t="s">
        <v>249</v>
      </c>
      <c r="B316" s="9" t="s">
        <v>580</v>
      </c>
      <c r="C316" s="9" t="s">
        <v>581</v>
      </c>
      <c r="D316" s="9" t="s">
        <v>582</v>
      </c>
      <c r="E316" s="9" t="s">
        <v>583</v>
      </c>
      <c r="F316" s="77">
        <v>3607.4690000000001</v>
      </c>
      <c r="G316" s="77">
        <v>3660.674</v>
      </c>
      <c r="H316" s="77">
        <v>3826.4824935697202</v>
      </c>
      <c r="I316" s="77">
        <v>3872.2865357331202</v>
      </c>
      <c r="J316" s="77">
        <v>3915.5257539067602</v>
      </c>
      <c r="K316" s="77">
        <v>3955.5820665547699</v>
      </c>
      <c r="L316" s="77">
        <v>3994.45037563304</v>
      </c>
      <c r="M316" s="77">
        <v>4032.5197979499499</v>
      </c>
    </row>
    <row r="317" spans="1:13" x14ac:dyDescent="0.25">
      <c r="A317" s="9" t="s">
        <v>249</v>
      </c>
      <c r="B317" s="9" t="s">
        <v>584</v>
      </c>
      <c r="C317" s="9" t="s">
        <v>585</v>
      </c>
      <c r="D317" s="9" t="s">
        <v>582</v>
      </c>
      <c r="E317" s="9" t="s">
        <v>583</v>
      </c>
      <c r="F317" s="77">
        <v>218.953</v>
      </c>
      <c r="G317" s="77">
        <v>219.32</v>
      </c>
      <c r="H317" s="77">
        <v>220.54849999999999</v>
      </c>
      <c r="I317" s="77">
        <v>222.4485</v>
      </c>
      <c r="J317" s="77">
        <v>224.3485</v>
      </c>
      <c r="K317" s="77">
        <v>226.24850000000001</v>
      </c>
      <c r="L317" s="77">
        <v>228.14850000000001</v>
      </c>
      <c r="M317" s="77">
        <v>230.04849999999999</v>
      </c>
    </row>
    <row r="318" spans="1:13" x14ac:dyDescent="0.25">
      <c r="A318" s="9" t="s">
        <v>249</v>
      </c>
      <c r="B318" s="9" t="s">
        <v>586</v>
      </c>
      <c r="C318" s="9" t="s">
        <v>587</v>
      </c>
      <c r="D318" s="9">
        <v>0</v>
      </c>
      <c r="E318" s="9" t="s">
        <v>583</v>
      </c>
      <c r="F318" s="78">
        <v>3826.422</v>
      </c>
      <c r="G318" s="78">
        <v>3879.9940000000001</v>
      </c>
      <c r="H318" s="78">
        <v>4047.0309935697201</v>
      </c>
      <c r="I318" s="78">
        <v>4094.7350357331202</v>
      </c>
      <c r="J318" s="78">
        <v>4139.8742539067598</v>
      </c>
      <c r="K318" s="78">
        <v>4181.8305665547696</v>
      </c>
      <c r="L318" s="78">
        <v>4222.5988756330398</v>
      </c>
      <c r="M318" s="78">
        <v>4262.5682979499497</v>
      </c>
    </row>
    <row r="319" spans="1:13" x14ac:dyDescent="0.25">
      <c r="A319" s="9" t="s">
        <v>249</v>
      </c>
      <c r="B319" s="9" t="s">
        <v>588</v>
      </c>
      <c r="C319" s="9" t="s">
        <v>589</v>
      </c>
      <c r="D319" s="9">
        <v>0</v>
      </c>
      <c r="E319" s="9" t="s">
        <v>583</v>
      </c>
      <c r="F319" s="79">
        <v>10012.826999999999</v>
      </c>
      <c r="G319" s="79">
        <v>10012.61</v>
      </c>
      <c r="H319" s="79">
        <v>10115.552</v>
      </c>
      <c r="I319" s="79">
        <v>10192.869000000001</v>
      </c>
      <c r="J319" s="79">
        <v>10262.241</v>
      </c>
      <c r="K319" s="79">
        <v>10323.334999999999</v>
      </c>
      <c r="L319" s="79">
        <v>10379.189</v>
      </c>
      <c r="M319" s="79">
        <v>10431.725</v>
      </c>
    </row>
    <row r="320" spans="1:13" x14ac:dyDescent="0.25">
      <c r="A320" s="9" t="s">
        <v>249</v>
      </c>
      <c r="B320" s="9" t="s">
        <v>590</v>
      </c>
      <c r="C320" s="9" t="s">
        <v>591</v>
      </c>
      <c r="D320" s="9">
        <v>0</v>
      </c>
      <c r="E320" s="9" t="s">
        <v>583</v>
      </c>
      <c r="F320" s="77">
        <v>5352.7950000000001</v>
      </c>
      <c r="G320" s="77">
        <v>5407.43</v>
      </c>
      <c r="H320" s="77">
        <v>5448.1049999999996</v>
      </c>
      <c r="I320" s="77">
        <v>5523.1040000000003</v>
      </c>
      <c r="J320" s="77">
        <v>5595.3739999999998</v>
      </c>
      <c r="K320" s="77">
        <v>5662.9040000000005</v>
      </c>
      <c r="L320" s="77">
        <v>5731.6750000000002</v>
      </c>
      <c r="M320" s="77">
        <v>5789.2719999999999</v>
      </c>
    </row>
    <row r="321" spans="1:13" x14ac:dyDescent="0.25">
      <c r="A321" s="9" t="s">
        <v>249</v>
      </c>
      <c r="B321" s="9" t="s">
        <v>592</v>
      </c>
      <c r="C321" s="9" t="s">
        <v>593</v>
      </c>
      <c r="D321" s="9">
        <v>0</v>
      </c>
      <c r="E321" s="9" t="s">
        <v>583</v>
      </c>
      <c r="F321" s="77">
        <v>261.90600000000001</v>
      </c>
      <c r="G321" s="77">
        <v>248.22399999999999</v>
      </c>
      <c r="H321" s="77">
        <v>274.862183226149</v>
      </c>
      <c r="I321" s="77">
        <v>268.40421121813</v>
      </c>
      <c r="J321" s="77">
        <v>262.63381033109101</v>
      </c>
      <c r="K321" s="77">
        <v>255.16698194931101</v>
      </c>
      <c r="L321" s="77">
        <v>247.73658556776999</v>
      </c>
      <c r="M321" s="77">
        <v>244.601695078582</v>
      </c>
    </row>
    <row r="322" spans="1:13" x14ac:dyDescent="0.25">
      <c r="A322" s="9" t="s">
        <v>249</v>
      </c>
      <c r="B322" s="9" t="s">
        <v>594</v>
      </c>
      <c r="C322" s="9" t="s">
        <v>595</v>
      </c>
      <c r="D322" s="9" t="s">
        <v>582</v>
      </c>
      <c r="E322" s="9" t="s">
        <v>583</v>
      </c>
      <c r="F322" s="77">
        <v>5838.3990000000003</v>
      </c>
      <c r="G322" s="77">
        <v>5899.9390000000003</v>
      </c>
      <c r="H322" s="77">
        <v>5984.6790000000001</v>
      </c>
      <c r="I322" s="77">
        <v>6059.73</v>
      </c>
      <c r="J322" s="77">
        <v>6132.5410000000002</v>
      </c>
      <c r="K322" s="77">
        <v>6196.241</v>
      </c>
      <c r="L322" s="77">
        <v>6260.3239999999996</v>
      </c>
      <c r="M322" s="77">
        <v>6321.6880000000001</v>
      </c>
    </row>
    <row r="323" spans="1:13" x14ac:dyDescent="0.25">
      <c r="A323" s="9" t="s">
        <v>249</v>
      </c>
      <c r="B323" s="9" t="s">
        <v>596</v>
      </c>
      <c r="C323" s="9" t="s">
        <v>597</v>
      </c>
      <c r="D323" s="9">
        <v>0</v>
      </c>
      <c r="E323" s="9" t="s">
        <v>583</v>
      </c>
      <c r="F323" s="77">
        <v>15018.284</v>
      </c>
      <c r="G323" s="77">
        <v>14840.221</v>
      </c>
      <c r="H323" s="77">
        <v>15262.732</v>
      </c>
      <c r="I323" s="77">
        <v>15386.335999999999</v>
      </c>
      <c r="J323" s="77">
        <v>15502.442999999999</v>
      </c>
      <c r="K323" s="77">
        <v>15597.87</v>
      </c>
      <c r="L323" s="77">
        <v>15690.043</v>
      </c>
      <c r="M323" s="77">
        <v>15772.459000000001</v>
      </c>
    </row>
    <row r="324" spans="1:13" x14ac:dyDescent="0.25">
      <c r="A324" s="9" t="s">
        <v>249</v>
      </c>
      <c r="B324" s="9" t="s">
        <v>598</v>
      </c>
      <c r="C324" s="9" t="s">
        <v>599</v>
      </c>
      <c r="D324" s="9">
        <v>0</v>
      </c>
      <c r="E324" s="9" t="s">
        <v>583</v>
      </c>
      <c r="F324" s="80">
        <v>505.80099999999999</v>
      </c>
      <c r="G324" s="80">
        <v>481.26400000000001</v>
      </c>
      <c r="H324" s="80">
        <v>526.23800000000006</v>
      </c>
      <c r="I324" s="80">
        <v>535.62599999999998</v>
      </c>
      <c r="J324" s="80">
        <v>544.71</v>
      </c>
      <c r="K324" s="80">
        <v>553.51499999999999</v>
      </c>
      <c r="L324" s="80">
        <v>562.06100000000004</v>
      </c>
      <c r="M324" s="80">
        <v>570.36800000000005</v>
      </c>
    </row>
    <row r="325" spans="1:13" x14ac:dyDescent="0.25">
      <c r="A325" s="9" t="s">
        <v>249</v>
      </c>
      <c r="B325" s="9" t="s">
        <v>600</v>
      </c>
      <c r="C325" s="9" t="s">
        <v>601</v>
      </c>
      <c r="D325" s="9" t="s">
        <v>602</v>
      </c>
      <c r="E325" s="9" t="s">
        <v>583</v>
      </c>
      <c r="F325" s="80">
        <v>68941.009999999995</v>
      </c>
      <c r="G325" s="80">
        <v>69018.97</v>
      </c>
      <c r="H325" s="80">
        <v>69056.589682251695</v>
      </c>
      <c r="I325" s="80">
        <v>69115.685199792395</v>
      </c>
      <c r="J325" s="80">
        <v>69173.106835250903</v>
      </c>
      <c r="K325" s="80">
        <v>69223.8233404559</v>
      </c>
      <c r="L325" s="80">
        <v>69274.195579589796</v>
      </c>
      <c r="M325" s="80">
        <v>69322.416384093303</v>
      </c>
    </row>
    <row r="326" spans="1:13" x14ac:dyDescent="0.25">
      <c r="A326" s="9" t="s">
        <v>249</v>
      </c>
      <c r="B326" s="9" t="s">
        <v>603</v>
      </c>
      <c r="C326" s="9" t="s">
        <v>604</v>
      </c>
      <c r="D326" s="9" t="s">
        <v>504</v>
      </c>
      <c r="E326" s="9" t="s">
        <v>583</v>
      </c>
      <c r="F326" s="78">
        <v>40039</v>
      </c>
      <c r="G326" s="78">
        <v>40044.699999999997</v>
      </c>
      <c r="H326" s="78">
        <v>40197.027000000002</v>
      </c>
      <c r="I326" s="78">
        <v>40215.423000000003</v>
      </c>
      <c r="J326" s="78">
        <v>40233.819000000003</v>
      </c>
      <c r="K326" s="78">
        <v>40252.214999999997</v>
      </c>
      <c r="L326" s="78">
        <v>40270.610999999997</v>
      </c>
      <c r="M326" s="78">
        <v>40289.006999999998</v>
      </c>
    </row>
    <row r="327" spans="1:13" x14ac:dyDescent="0.25">
      <c r="A327" s="9" t="s">
        <v>249</v>
      </c>
      <c r="B327" s="9" t="s">
        <v>605</v>
      </c>
      <c r="C327" s="9" t="s">
        <v>606</v>
      </c>
      <c r="D327" s="9" t="s">
        <v>504</v>
      </c>
      <c r="E327" s="9" t="s">
        <v>583</v>
      </c>
      <c r="F327" s="79">
        <v>31460.6</v>
      </c>
      <c r="G327" s="79">
        <v>31549.996711005999</v>
      </c>
      <c r="H327" s="79">
        <v>31772.290272491002</v>
      </c>
      <c r="I327" s="79">
        <v>31915.879953453699</v>
      </c>
      <c r="J327" s="79">
        <v>32051.748949952402</v>
      </c>
      <c r="K327" s="79">
        <v>32182.069083696999</v>
      </c>
      <c r="L327" s="79">
        <v>32304.7813114659</v>
      </c>
      <c r="M327" s="79">
        <v>32467.154538499301</v>
      </c>
    </row>
    <row r="328" spans="1:13" x14ac:dyDescent="0.25">
      <c r="A328" s="9" t="s">
        <v>249</v>
      </c>
      <c r="B328" s="9" t="s">
        <v>607</v>
      </c>
      <c r="C328" s="9" t="s">
        <v>608</v>
      </c>
      <c r="D328" s="9" t="s">
        <v>179</v>
      </c>
      <c r="E328" s="9" t="s">
        <v>583</v>
      </c>
      <c r="F328" s="79">
        <v>694.65</v>
      </c>
      <c r="G328" s="79">
        <v>690.39</v>
      </c>
      <c r="H328" s="79">
        <v>674.6</v>
      </c>
      <c r="I328" s="79">
        <v>623.12</v>
      </c>
      <c r="J328" s="79">
        <v>603.51</v>
      </c>
      <c r="K328" s="79">
        <v>580.85530702518599</v>
      </c>
      <c r="L328" s="79">
        <v>558.21530702518601</v>
      </c>
      <c r="M328" s="79">
        <v>540.2997284777</v>
      </c>
    </row>
    <row r="329" spans="1:13" x14ac:dyDescent="0.25">
      <c r="A329" s="9" t="s">
        <v>249</v>
      </c>
      <c r="B329" s="9" t="s">
        <v>609</v>
      </c>
      <c r="C329" s="9" t="s">
        <v>610</v>
      </c>
      <c r="D329" s="9" t="s">
        <v>179</v>
      </c>
      <c r="E329" s="9" t="s">
        <v>583</v>
      </c>
      <c r="F329" s="79">
        <v>2680.88</v>
      </c>
      <c r="G329" s="79">
        <v>2696.5619999999999</v>
      </c>
      <c r="H329" s="79">
        <v>2626.2037139836302</v>
      </c>
      <c r="I329" s="79">
        <v>2584.48332960173</v>
      </c>
      <c r="J329" s="79">
        <v>2562.50156048996</v>
      </c>
      <c r="K329" s="79">
        <v>2534.2533626449599</v>
      </c>
      <c r="L329" s="79">
        <v>2505.2991139220699</v>
      </c>
      <c r="M329" s="79">
        <v>2481.8412502575002</v>
      </c>
    </row>
    <row r="330" spans="1:13" x14ac:dyDescent="0.25">
      <c r="A330" s="9" t="s">
        <v>249</v>
      </c>
      <c r="B330" s="9" t="s">
        <v>471</v>
      </c>
      <c r="C330" s="9" t="s">
        <v>472</v>
      </c>
      <c r="D330" s="9" t="s">
        <v>582</v>
      </c>
      <c r="E330" s="9" t="s">
        <v>583</v>
      </c>
      <c r="F330" s="77">
        <v>25.661999999999999</v>
      </c>
      <c r="G330" s="77">
        <v>25.754999999999999</v>
      </c>
      <c r="H330" s="77">
        <v>23.875</v>
      </c>
      <c r="I330" s="77">
        <v>22.393999999999998</v>
      </c>
      <c r="J330" s="77">
        <v>21.960999999999999</v>
      </c>
      <c r="K330" s="77">
        <v>21.036000000000001</v>
      </c>
      <c r="L330" s="77">
        <v>20.14</v>
      </c>
      <c r="M330" s="77">
        <v>18.925000000000001</v>
      </c>
    </row>
    <row r="331" spans="1:13" x14ac:dyDescent="0.25">
      <c r="A331" s="9" t="s">
        <v>249</v>
      </c>
      <c r="B331" s="9" t="s">
        <v>473</v>
      </c>
      <c r="C331" s="9" t="s">
        <v>474</v>
      </c>
      <c r="D331" s="9" t="s">
        <v>582</v>
      </c>
      <c r="E331" s="9" t="s">
        <v>583</v>
      </c>
      <c r="F331" s="77">
        <v>22.045999999999999</v>
      </c>
      <c r="G331" s="77">
        <v>22.602</v>
      </c>
      <c r="H331" s="77">
        <v>25.175000000000001</v>
      </c>
      <c r="I331" s="77">
        <v>27.545000000000002</v>
      </c>
      <c r="J331" s="77">
        <v>28.724</v>
      </c>
      <c r="K331" s="77">
        <v>30.350999999999999</v>
      </c>
      <c r="L331" s="77">
        <v>31.876999999999999</v>
      </c>
      <c r="M331" s="77">
        <v>33.750999999999998</v>
      </c>
    </row>
    <row r="332" spans="1:13" x14ac:dyDescent="0.25">
      <c r="A332" s="9" t="s">
        <v>249</v>
      </c>
      <c r="B332" s="9" t="s">
        <v>475</v>
      </c>
      <c r="C332" s="9" t="s">
        <v>476</v>
      </c>
      <c r="D332" s="9" t="s">
        <v>582</v>
      </c>
      <c r="E332" s="9" t="s">
        <v>583</v>
      </c>
      <c r="F332" s="77">
        <v>866.52700000000004</v>
      </c>
      <c r="G332" s="77">
        <v>810.73800000000006</v>
      </c>
      <c r="H332" s="77">
        <v>743.50099999999998</v>
      </c>
      <c r="I332" s="77">
        <v>690.39300000000003</v>
      </c>
      <c r="J332" s="77">
        <v>673.36699999999996</v>
      </c>
      <c r="K332" s="77">
        <v>637.84</v>
      </c>
      <c r="L332" s="77">
        <v>603.00199999999995</v>
      </c>
      <c r="M332" s="77">
        <v>553.08500000000004</v>
      </c>
    </row>
    <row r="333" spans="1:13" x14ac:dyDescent="0.25">
      <c r="A333" s="9" t="s">
        <v>249</v>
      </c>
      <c r="B333" s="9" t="s">
        <v>477</v>
      </c>
      <c r="C333" s="9" t="s">
        <v>478</v>
      </c>
      <c r="D333" s="9" t="s">
        <v>582</v>
      </c>
      <c r="E333" s="9" t="s">
        <v>583</v>
      </c>
      <c r="F333" s="77">
        <v>1067.268</v>
      </c>
      <c r="G333" s="77">
        <v>1133.597</v>
      </c>
      <c r="H333" s="77">
        <v>1226.626</v>
      </c>
      <c r="I333" s="77">
        <v>1299.249</v>
      </c>
      <c r="J333" s="77">
        <v>1340.856</v>
      </c>
      <c r="K333" s="77">
        <v>1398.731</v>
      </c>
      <c r="L333" s="77">
        <v>1456.925</v>
      </c>
      <c r="M333" s="77">
        <v>1526.117</v>
      </c>
    </row>
    <row r="334" spans="1:13" x14ac:dyDescent="0.25">
      <c r="A334" s="9" t="s">
        <v>249</v>
      </c>
      <c r="B334" s="9" t="s">
        <v>479</v>
      </c>
      <c r="C334" s="9" t="s">
        <v>480</v>
      </c>
      <c r="D334" s="9" t="s">
        <v>582</v>
      </c>
      <c r="E334" s="9" t="s">
        <v>583</v>
      </c>
      <c r="F334" s="77">
        <v>2091.8150000000001</v>
      </c>
      <c r="G334" s="77">
        <v>2024.2919999999999</v>
      </c>
      <c r="H334" s="77">
        <v>1897.636</v>
      </c>
      <c r="I334" s="77">
        <v>1817.193</v>
      </c>
      <c r="J334" s="77">
        <v>1774.16</v>
      </c>
      <c r="K334" s="77">
        <v>1690.3689999999999</v>
      </c>
      <c r="L334" s="77">
        <v>1601.979</v>
      </c>
      <c r="M334" s="77">
        <v>1501.171</v>
      </c>
    </row>
    <row r="335" spans="1:13" x14ac:dyDescent="0.25">
      <c r="A335" s="9" t="s">
        <v>249</v>
      </c>
      <c r="B335" s="9" t="s">
        <v>481</v>
      </c>
      <c r="C335" s="9" t="s">
        <v>482</v>
      </c>
      <c r="D335" s="9" t="s">
        <v>582</v>
      </c>
      <c r="E335" s="9" t="s">
        <v>583</v>
      </c>
      <c r="F335" s="77">
        <v>1336.3230000000001</v>
      </c>
      <c r="G335" s="77">
        <v>1438.8030000000001</v>
      </c>
      <c r="H335" s="77">
        <v>1580.3420000000001</v>
      </c>
      <c r="I335" s="77">
        <v>1716.269</v>
      </c>
      <c r="J335" s="77">
        <v>1806.991</v>
      </c>
      <c r="K335" s="77">
        <v>1935.9639999999999</v>
      </c>
      <c r="L335" s="77">
        <v>2069.7689999999998</v>
      </c>
      <c r="M335" s="77">
        <v>2208.8989999999999</v>
      </c>
    </row>
    <row r="336" spans="1:13" x14ac:dyDescent="0.25">
      <c r="A336" s="9" t="s">
        <v>249</v>
      </c>
      <c r="B336" s="9" t="s">
        <v>611</v>
      </c>
      <c r="C336" s="9" t="s">
        <v>612</v>
      </c>
      <c r="D336" s="9" t="s">
        <v>613</v>
      </c>
      <c r="E336" s="9" t="s">
        <v>583</v>
      </c>
      <c r="F336" s="9"/>
      <c r="G336" s="9"/>
      <c r="H336" s="9"/>
      <c r="I336" s="9"/>
      <c r="J336" s="9"/>
      <c r="K336" s="9"/>
      <c r="L336" s="9"/>
      <c r="M336" s="9"/>
    </row>
    <row r="337" spans="1:13" x14ac:dyDescent="0.25">
      <c r="A337" s="9" t="s">
        <v>249</v>
      </c>
      <c r="B337" s="9" t="s">
        <v>483</v>
      </c>
      <c r="C337" s="9" t="s">
        <v>484</v>
      </c>
      <c r="D337" s="9" t="s">
        <v>582</v>
      </c>
      <c r="E337" s="9" t="s">
        <v>583</v>
      </c>
      <c r="F337" s="77">
        <v>3826.422</v>
      </c>
      <c r="G337" s="77">
        <v>3998.4685708761399</v>
      </c>
      <c r="H337" s="77">
        <v>4047.0309935697201</v>
      </c>
      <c r="I337" s="77">
        <v>4094.7350357331202</v>
      </c>
      <c r="J337" s="77">
        <v>4139.8742539067598</v>
      </c>
      <c r="K337" s="77">
        <v>4181.8305665547696</v>
      </c>
      <c r="L337" s="77">
        <v>4222.5988756330398</v>
      </c>
      <c r="M337" s="77">
        <v>4262.5682979499497</v>
      </c>
    </row>
    <row r="338" spans="1:13" x14ac:dyDescent="0.25">
      <c r="A338" s="9" t="s">
        <v>249</v>
      </c>
      <c r="B338" s="9" t="s">
        <v>485</v>
      </c>
      <c r="C338" s="9" t="s">
        <v>486</v>
      </c>
      <c r="D338" s="9" t="s">
        <v>504</v>
      </c>
      <c r="E338" s="9" t="s">
        <v>583</v>
      </c>
      <c r="F338" s="80">
        <v>31460.6</v>
      </c>
      <c r="G338" s="80">
        <v>31948.629792797401</v>
      </c>
      <c r="H338" s="80">
        <v>32088.6811212008</v>
      </c>
      <c r="I338" s="80">
        <v>32223.998640457801</v>
      </c>
      <c r="J338" s="80">
        <v>32352.040261742</v>
      </c>
      <c r="K338" s="80">
        <v>32475.084798289601</v>
      </c>
      <c r="L338" s="80">
        <v>32590.727608642399</v>
      </c>
      <c r="M338" s="80">
        <v>32738.1919696851</v>
      </c>
    </row>
    <row r="339" spans="1:13" x14ac:dyDescent="0.25">
      <c r="A339" s="9" t="s">
        <v>249</v>
      </c>
      <c r="B339" s="9" t="s">
        <v>614</v>
      </c>
      <c r="C339" s="9" t="s">
        <v>615</v>
      </c>
      <c r="D339" s="9" t="s">
        <v>613</v>
      </c>
      <c r="E339" s="9" t="s">
        <v>583</v>
      </c>
      <c r="F339" s="9"/>
      <c r="G339" s="9"/>
      <c r="H339" s="9"/>
      <c r="I339" s="9"/>
      <c r="J339" s="9"/>
      <c r="K339" s="9"/>
      <c r="L339" s="9"/>
      <c r="M339" s="9"/>
    </row>
    <row r="340" spans="1:13" x14ac:dyDescent="0.25">
      <c r="A340" s="9" t="s">
        <v>249</v>
      </c>
      <c r="B340" s="9" t="s">
        <v>487</v>
      </c>
      <c r="C340" s="9" t="s">
        <v>488</v>
      </c>
      <c r="D340" s="9" t="s">
        <v>582</v>
      </c>
      <c r="E340" s="9" t="s">
        <v>583</v>
      </c>
      <c r="F340" s="77"/>
      <c r="G340" s="77"/>
      <c r="H340" s="77"/>
      <c r="I340" s="77"/>
      <c r="J340" s="77"/>
      <c r="K340" s="77"/>
      <c r="L340" s="77"/>
      <c r="M340" s="77"/>
    </row>
    <row r="341" spans="1:13" x14ac:dyDescent="0.25">
      <c r="A341" s="9" t="s">
        <v>249</v>
      </c>
      <c r="B341" s="9" t="s">
        <v>489</v>
      </c>
      <c r="C341" s="9" t="s">
        <v>490</v>
      </c>
      <c r="D341" s="9" t="s">
        <v>504</v>
      </c>
      <c r="E341" s="9" t="s">
        <v>583</v>
      </c>
      <c r="F341" s="80"/>
      <c r="G341" s="80"/>
      <c r="H341" s="80"/>
      <c r="I341" s="80"/>
      <c r="J341" s="80"/>
      <c r="K341" s="80"/>
      <c r="L341" s="80"/>
      <c r="M341" s="80"/>
    </row>
    <row r="342" spans="1:13" x14ac:dyDescent="0.25">
      <c r="A342" s="9" t="s">
        <v>501</v>
      </c>
      <c r="B342" s="9" t="s">
        <v>580</v>
      </c>
      <c r="C342" s="9" t="s">
        <v>581</v>
      </c>
      <c r="D342" s="9" t="s">
        <v>582</v>
      </c>
      <c r="E342" s="9" t="s">
        <v>583</v>
      </c>
      <c r="F342" s="77">
        <v>3123.0030000000002</v>
      </c>
      <c r="G342" s="77">
        <v>3153.6080000000002</v>
      </c>
      <c r="H342" s="77">
        <v>3163.5749060355402</v>
      </c>
      <c r="I342" s="77">
        <v>3185.6987119435598</v>
      </c>
      <c r="J342" s="77">
        <v>3209.3820846273802</v>
      </c>
      <c r="K342" s="77">
        <v>3233.6110089276499</v>
      </c>
      <c r="L342" s="77">
        <v>3258.9264073376098</v>
      </c>
      <c r="M342" s="77">
        <v>3285.3183599735498</v>
      </c>
    </row>
    <row r="343" spans="1:13" x14ac:dyDescent="0.25">
      <c r="A343" s="9" t="s">
        <v>501</v>
      </c>
      <c r="B343" s="9" t="s">
        <v>584</v>
      </c>
      <c r="C343" s="9" t="s">
        <v>585</v>
      </c>
      <c r="D343" s="9" t="s">
        <v>582</v>
      </c>
      <c r="E343" s="9" t="s">
        <v>583</v>
      </c>
      <c r="F343" s="77">
        <v>190.184</v>
      </c>
      <c r="G343" s="77">
        <v>190.62100000000001</v>
      </c>
      <c r="H343" s="77">
        <v>190.184</v>
      </c>
      <c r="I343" s="77">
        <v>190.184</v>
      </c>
      <c r="J343" s="77">
        <v>190.184</v>
      </c>
      <c r="K343" s="77">
        <v>190.184</v>
      </c>
      <c r="L343" s="77">
        <v>190.184</v>
      </c>
      <c r="M343" s="77">
        <v>190.184</v>
      </c>
    </row>
    <row r="344" spans="1:13" x14ac:dyDescent="0.25">
      <c r="A344" s="9" t="s">
        <v>501</v>
      </c>
      <c r="B344" s="9" t="s">
        <v>586</v>
      </c>
      <c r="C344" s="9" t="s">
        <v>587</v>
      </c>
      <c r="D344" s="9">
        <v>0</v>
      </c>
      <c r="E344" s="9" t="s">
        <v>583</v>
      </c>
      <c r="F344" s="78">
        <v>3313.1869999999999</v>
      </c>
      <c r="G344" s="78">
        <v>3344.2289999999998</v>
      </c>
      <c r="H344" s="78">
        <v>3353.7589060355399</v>
      </c>
      <c r="I344" s="78">
        <v>3375.88271194356</v>
      </c>
      <c r="J344" s="78">
        <v>3399.56608462738</v>
      </c>
      <c r="K344" s="78">
        <v>3423.7950089276501</v>
      </c>
      <c r="L344" s="78">
        <v>3449.11040733761</v>
      </c>
      <c r="M344" s="78">
        <v>3475.50235997355</v>
      </c>
    </row>
    <row r="345" spans="1:13" x14ac:dyDescent="0.25">
      <c r="A345" s="9" t="s">
        <v>501</v>
      </c>
      <c r="B345" s="9" t="s">
        <v>588</v>
      </c>
      <c r="C345" s="9" t="s">
        <v>589</v>
      </c>
      <c r="D345" s="9">
        <v>0</v>
      </c>
      <c r="E345" s="9" t="s">
        <v>583</v>
      </c>
      <c r="F345" s="79">
        <v>7200.5339999999997</v>
      </c>
      <c r="G345" s="79">
        <v>7227.1210000000001</v>
      </c>
      <c r="H345" s="79">
        <v>7370.098</v>
      </c>
      <c r="I345" s="79">
        <v>7433.4319999999998</v>
      </c>
      <c r="J345" s="79">
        <v>7489.6220000000003</v>
      </c>
      <c r="K345" s="79">
        <v>7543.7479999999996</v>
      </c>
      <c r="L345" s="79">
        <v>7595.6180000000004</v>
      </c>
      <c r="M345" s="79">
        <v>7646.3860000000004</v>
      </c>
    </row>
    <row r="346" spans="1:13" x14ac:dyDescent="0.25">
      <c r="A346" s="9" t="s">
        <v>501</v>
      </c>
      <c r="B346" s="9" t="s">
        <v>590</v>
      </c>
      <c r="C346" s="9" t="s">
        <v>591</v>
      </c>
      <c r="D346" s="9">
        <v>0</v>
      </c>
      <c r="E346" s="9" t="s">
        <v>583</v>
      </c>
      <c r="F346" s="77">
        <v>2903.8989999999999</v>
      </c>
      <c r="G346" s="77">
        <v>2926.0250000000001</v>
      </c>
      <c r="H346" s="77">
        <v>2948.2299869848598</v>
      </c>
      <c r="I346" s="77">
        <v>2969.7283378494999</v>
      </c>
      <c r="J346" s="77">
        <v>2992.0906508677599</v>
      </c>
      <c r="K346" s="77">
        <v>3015.45811288595</v>
      </c>
      <c r="L346" s="77">
        <v>3039.8294010047598</v>
      </c>
      <c r="M346" s="77">
        <v>3065.2028522729101</v>
      </c>
    </row>
    <row r="347" spans="1:13" x14ac:dyDescent="0.25">
      <c r="A347" s="9" t="s">
        <v>501</v>
      </c>
      <c r="B347" s="9" t="s">
        <v>592</v>
      </c>
      <c r="C347" s="9" t="s">
        <v>593</v>
      </c>
      <c r="D347" s="9">
        <v>0</v>
      </c>
      <c r="E347" s="9" t="s">
        <v>583</v>
      </c>
      <c r="F347" s="77">
        <v>146.26849999999999</v>
      </c>
      <c r="G347" s="77">
        <v>141.42599999999999</v>
      </c>
      <c r="H347" s="77">
        <v>144.8065</v>
      </c>
      <c r="I347" s="77">
        <v>145.34508649981299</v>
      </c>
      <c r="J347" s="77">
        <v>145.93125949943999</v>
      </c>
      <c r="K347" s="77">
        <v>146.51743249906599</v>
      </c>
      <c r="L347" s="77">
        <v>147.10360549869199</v>
      </c>
      <c r="M347" s="77">
        <v>147.68977849831899</v>
      </c>
    </row>
    <row r="348" spans="1:13" x14ac:dyDescent="0.25">
      <c r="A348" s="9" t="s">
        <v>501</v>
      </c>
      <c r="B348" s="9" t="s">
        <v>594</v>
      </c>
      <c r="C348" s="9" t="s">
        <v>595</v>
      </c>
      <c r="D348" s="9" t="s">
        <v>582</v>
      </c>
      <c r="E348" s="9" t="s">
        <v>583</v>
      </c>
      <c r="F348" s="77">
        <v>3315.665</v>
      </c>
      <c r="G348" s="77">
        <v>3342.0329999999999</v>
      </c>
      <c r="H348" s="77">
        <v>3358.5137338055602</v>
      </c>
      <c r="I348" s="77">
        <v>3380.26739003996</v>
      </c>
      <c r="J348" s="77">
        <v>3402.9524968089399</v>
      </c>
      <c r="K348" s="77">
        <v>3426.7097173452298</v>
      </c>
      <c r="L348" s="77">
        <v>3451.53986568559</v>
      </c>
      <c r="M348" s="77">
        <v>3477.4423916344699</v>
      </c>
    </row>
    <row r="349" spans="1:13" x14ac:dyDescent="0.25">
      <c r="A349" s="9" t="s">
        <v>501</v>
      </c>
      <c r="B349" s="9" t="s">
        <v>596</v>
      </c>
      <c r="C349" s="9" t="s">
        <v>597</v>
      </c>
      <c r="D349" s="9">
        <v>0</v>
      </c>
      <c r="E349" s="9" t="s">
        <v>583</v>
      </c>
      <c r="F349" s="77">
        <v>7224.8400816413796</v>
      </c>
      <c r="G349" s="77">
        <v>7258.73866556952</v>
      </c>
      <c r="H349" s="77">
        <v>7287.5062003155699</v>
      </c>
      <c r="I349" s="77">
        <v>7314.1213972634896</v>
      </c>
      <c r="J349" s="77">
        <v>7341.0039914114304</v>
      </c>
      <c r="K349" s="77">
        <v>7367.7259667449698</v>
      </c>
      <c r="L349" s="77">
        <v>7393.9629911871998</v>
      </c>
      <c r="M349" s="77">
        <v>7419.4816993027998</v>
      </c>
    </row>
    <row r="350" spans="1:13" x14ac:dyDescent="0.25">
      <c r="A350" s="9" t="s">
        <v>501</v>
      </c>
      <c r="B350" s="9" t="s">
        <v>598</v>
      </c>
      <c r="C350" s="9" t="s">
        <v>599</v>
      </c>
      <c r="D350" s="9">
        <v>0</v>
      </c>
      <c r="E350" s="9" t="s">
        <v>583</v>
      </c>
      <c r="F350" s="80">
        <v>335.12984829449601</v>
      </c>
      <c r="G350" s="80">
        <v>343.85586529456202</v>
      </c>
      <c r="H350" s="80">
        <v>335.12984829449601</v>
      </c>
      <c r="I350" s="80">
        <v>335.12984829449601</v>
      </c>
      <c r="J350" s="80">
        <v>335.12984829449601</v>
      </c>
      <c r="K350" s="80">
        <v>335.12984829449601</v>
      </c>
      <c r="L350" s="80">
        <v>335.12984829449601</v>
      </c>
      <c r="M350" s="80">
        <v>335.12984829449601</v>
      </c>
    </row>
    <row r="351" spans="1:13" x14ac:dyDescent="0.25">
      <c r="A351" s="9" t="s">
        <v>501</v>
      </c>
      <c r="B351" s="9" t="s">
        <v>600</v>
      </c>
      <c r="C351" s="9" t="s">
        <v>601</v>
      </c>
      <c r="D351" s="9" t="s">
        <v>602</v>
      </c>
      <c r="E351" s="9" t="s">
        <v>583</v>
      </c>
      <c r="F351" s="80">
        <v>41779</v>
      </c>
      <c r="G351" s="80">
        <v>41925</v>
      </c>
      <c r="H351" s="80">
        <v>42005.666666666701</v>
      </c>
      <c r="I351" s="80">
        <v>42119</v>
      </c>
      <c r="J351" s="80">
        <v>42232.333333333299</v>
      </c>
      <c r="K351" s="80">
        <v>42345.666666666701</v>
      </c>
      <c r="L351" s="80">
        <v>42459</v>
      </c>
      <c r="M351" s="80">
        <v>42572.333333333299</v>
      </c>
    </row>
    <row r="352" spans="1:13" x14ac:dyDescent="0.25">
      <c r="A352" s="9" t="s">
        <v>501</v>
      </c>
      <c r="B352" s="9" t="s">
        <v>603</v>
      </c>
      <c r="C352" s="9" t="s">
        <v>604</v>
      </c>
      <c r="D352" s="9" t="s">
        <v>504</v>
      </c>
      <c r="E352" s="9" t="s">
        <v>583</v>
      </c>
      <c r="F352" s="78">
        <v>35560</v>
      </c>
      <c r="G352" s="78">
        <v>36565</v>
      </c>
      <c r="H352" s="78">
        <v>35560</v>
      </c>
      <c r="I352" s="78">
        <v>35560</v>
      </c>
      <c r="J352" s="78">
        <v>35560</v>
      </c>
      <c r="K352" s="78">
        <v>35560</v>
      </c>
      <c r="L352" s="78">
        <v>35560</v>
      </c>
      <c r="M352" s="78">
        <v>35560</v>
      </c>
    </row>
    <row r="353" spans="1:13" x14ac:dyDescent="0.25">
      <c r="A353" s="9" t="s">
        <v>501</v>
      </c>
      <c r="B353" s="9" t="s">
        <v>605</v>
      </c>
      <c r="C353" s="9" t="s">
        <v>606</v>
      </c>
      <c r="D353" s="9" t="s">
        <v>504</v>
      </c>
      <c r="E353" s="9" t="s">
        <v>583</v>
      </c>
      <c r="F353" s="79">
        <v>42102.877915341996</v>
      </c>
      <c r="G353" s="79">
        <v>42198.05</v>
      </c>
      <c r="H353" s="79">
        <v>42376.019600599997</v>
      </c>
      <c r="I353" s="79">
        <v>42481.143851399996</v>
      </c>
      <c r="J353" s="79">
        <v>42549.292057958002</v>
      </c>
      <c r="K353" s="79">
        <v>42646.892057958001</v>
      </c>
      <c r="L353" s="79">
        <v>42744.592057957998</v>
      </c>
      <c r="M353" s="79">
        <v>42842.292057958002</v>
      </c>
    </row>
    <row r="354" spans="1:13" x14ac:dyDescent="0.25">
      <c r="A354" s="9" t="s">
        <v>501</v>
      </c>
      <c r="B354" s="9" t="s">
        <v>607</v>
      </c>
      <c r="C354" s="9" t="s">
        <v>608</v>
      </c>
      <c r="D354" s="9" t="s">
        <v>179</v>
      </c>
      <c r="E354" s="9" t="s">
        <v>583</v>
      </c>
      <c r="F354" s="79">
        <v>453.52</v>
      </c>
      <c r="G354" s="79">
        <v>455.97429109638102</v>
      </c>
      <c r="H354" s="79">
        <v>448.23</v>
      </c>
      <c r="I354" s="79">
        <v>448.23</v>
      </c>
      <c r="J354" s="79">
        <v>439.27</v>
      </c>
      <c r="K354" s="79">
        <v>430.3</v>
      </c>
      <c r="L354" s="79">
        <v>416.85</v>
      </c>
      <c r="M354" s="79">
        <v>381</v>
      </c>
    </row>
    <row r="355" spans="1:13" x14ac:dyDescent="0.25">
      <c r="A355" s="9" t="s">
        <v>501</v>
      </c>
      <c r="B355" s="9" t="s">
        <v>609</v>
      </c>
      <c r="C355" s="9" t="s">
        <v>610</v>
      </c>
      <c r="D355" s="9" t="s">
        <v>179</v>
      </c>
      <c r="E355" s="9" t="s">
        <v>583</v>
      </c>
      <c r="F355" s="79">
        <v>1768.97</v>
      </c>
      <c r="G355" s="79">
        <v>1804.6051845776601</v>
      </c>
      <c r="H355" s="79">
        <v>1733.91</v>
      </c>
      <c r="I355" s="79">
        <v>1730.55</v>
      </c>
      <c r="J355" s="79">
        <v>1720.41</v>
      </c>
      <c r="K355" s="79">
        <v>1711.38</v>
      </c>
      <c r="L355" s="79">
        <v>1702.54</v>
      </c>
      <c r="M355" s="79">
        <v>1693.54</v>
      </c>
    </row>
    <row r="356" spans="1:13" x14ac:dyDescent="0.25">
      <c r="A356" s="9" t="s">
        <v>501</v>
      </c>
      <c r="B356" s="9" t="s">
        <v>471</v>
      </c>
      <c r="C356" s="9" t="s">
        <v>472</v>
      </c>
      <c r="D356" s="9" t="s">
        <v>582</v>
      </c>
      <c r="E356" s="9" t="s">
        <v>583</v>
      </c>
      <c r="F356" s="77">
        <v>44.146384615384598</v>
      </c>
      <c r="G356" s="77">
        <v>43.432000000000002</v>
      </c>
      <c r="H356" s="77">
        <v>42.286851852595397</v>
      </c>
      <c r="I356" s="77">
        <v>41.3555276028573</v>
      </c>
      <c r="J356" s="77">
        <v>40.4337655633705</v>
      </c>
      <c r="K356" s="77">
        <v>39.522259940704402</v>
      </c>
      <c r="L356" s="77">
        <v>38.623274381350399</v>
      </c>
      <c r="M356" s="77">
        <v>37.737924147597298</v>
      </c>
    </row>
    <row r="357" spans="1:13" x14ac:dyDescent="0.25">
      <c r="A357" s="9" t="s">
        <v>501</v>
      </c>
      <c r="B357" s="9" t="s">
        <v>473</v>
      </c>
      <c r="C357" s="9" t="s">
        <v>474</v>
      </c>
      <c r="D357" s="9" t="s">
        <v>582</v>
      </c>
      <c r="E357" s="9" t="s">
        <v>583</v>
      </c>
      <c r="F357" s="77">
        <v>27.298461538461499</v>
      </c>
      <c r="G357" s="77">
        <v>28.204999999999998</v>
      </c>
      <c r="H357" s="77">
        <v>29.908680386608999</v>
      </c>
      <c r="I357" s="77">
        <v>31.204188206046499</v>
      </c>
      <c r="J357" s="77">
        <v>32.514796033650299</v>
      </c>
      <c r="K357" s="77">
        <v>33.839706236042502</v>
      </c>
      <c r="L357" s="77">
        <v>35.176935667462999</v>
      </c>
      <c r="M357" s="77">
        <v>36.525484581102901</v>
      </c>
    </row>
    <row r="358" spans="1:13" x14ac:dyDescent="0.25">
      <c r="A358" s="9" t="s">
        <v>501</v>
      </c>
      <c r="B358" s="9" t="s">
        <v>475</v>
      </c>
      <c r="C358" s="9" t="s">
        <v>476</v>
      </c>
      <c r="D358" s="9" t="s">
        <v>582</v>
      </c>
      <c r="E358" s="9" t="s">
        <v>583</v>
      </c>
      <c r="F358" s="77">
        <v>24.279</v>
      </c>
      <c r="G358" s="77">
        <v>23.867999999999999</v>
      </c>
      <c r="H358" s="77">
        <v>22.756917922931699</v>
      </c>
      <c r="I358" s="77">
        <v>21.825593673193602</v>
      </c>
      <c r="J358" s="77">
        <v>20.903831633707298</v>
      </c>
      <c r="K358" s="77">
        <v>19.992326011040898</v>
      </c>
      <c r="L358" s="77">
        <v>19.093340451687101</v>
      </c>
      <c r="M358" s="77">
        <v>18.207990217933901</v>
      </c>
    </row>
    <row r="359" spans="1:13" x14ac:dyDescent="0.25">
      <c r="A359" s="9" t="s">
        <v>501</v>
      </c>
      <c r="B359" s="9" t="s">
        <v>477</v>
      </c>
      <c r="C359" s="9" t="s">
        <v>478</v>
      </c>
      <c r="D359" s="9" t="s">
        <v>582</v>
      </c>
      <c r="E359" s="9" t="s">
        <v>583</v>
      </c>
      <c r="F359" s="77">
        <v>49.720192307692301</v>
      </c>
      <c r="G359" s="77">
        <v>50.744</v>
      </c>
      <c r="H359" s="77">
        <v>52.280715939321098</v>
      </c>
      <c r="I359" s="77">
        <v>53.250613758758398</v>
      </c>
      <c r="J359" s="77">
        <v>54.063701586362001</v>
      </c>
      <c r="K359" s="77">
        <v>54.869181788754702</v>
      </c>
      <c r="L359" s="77">
        <v>55.665081220175097</v>
      </c>
      <c r="M359" s="77">
        <v>56.450400133815101</v>
      </c>
    </row>
    <row r="360" spans="1:13" x14ac:dyDescent="0.25">
      <c r="A360" s="9" t="s">
        <v>501</v>
      </c>
      <c r="B360" s="9" t="s">
        <v>479</v>
      </c>
      <c r="C360" s="9" t="s">
        <v>480</v>
      </c>
      <c r="D360" s="9" t="s">
        <v>582</v>
      </c>
      <c r="E360" s="9" t="s">
        <v>583</v>
      </c>
      <c r="F360" s="77">
        <v>1642.9200769230799</v>
      </c>
      <c r="G360" s="77">
        <v>1612.8019999999999</v>
      </c>
      <c r="H360" s="77">
        <v>1576.2894856631001</v>
      </c>
      <c r="I360" s="77">
        <v>1541.5733373027899</v>
      </c>
      <c r="J360" s="77">
        <v>1507.21363097631</v>
      </c>
      <c r="K360" s="77">
        <v>1473.2362440064801</v>
      </c>
      <c r="L360" s="77">
        <v>1439.72555633666</v>
      </c>
      <c r="M360" s="77">
        <v>1406.7231406103899</v>
      </c>
    </row>
    <row r="361" spans="1:13" x14ac:dyDescent="0.25">
      <c r="A361" s="9" t="s">
        <v>501</v>
      </c>
      <c r="B361" s="9" t="s">
        <v>481</v>
      </c>
      <c r="C361" s="9" t="s">
        <v>482</v>
      </c>
      <c r="D361" s="9" t="s">
        <v>582</v>
      </c>
      <c r="E361" s="9" t="s">
        <v>583</v>
      </c>
      <c r="F361" s="77">
        <v>1186.9798461538501</v>
      </c>
      <c r="G361" s="77">
        <v>1238.6110000000001</v>
      </c>
      <c r="H361" s="77">
        <v>1296.9028674595099</v>
      </c>
      <c r="I361" s="77">
        <v>1353.0787931147599</v>
      </c>
      <c r="J361" s="77">
        <v>1409.9094866713799</v>
      </c>
      <c r="K361" s="77">
        <v>1467.3603610796699</v>
      </c>
      <c r="L361" s="77">
        <v>1525.3454229962399</v>
      </c>
      <c r="M361" s="77">
        <v>1583.8213213107699</v>
      </c>
    </row>
    <row r="362" spans="1:13" x14ac:dyDescent="0.25">
      <c r="A362" s="9" t="s">
        <v>501</v>
      </c>
      <c r="B362" s="9" t="s">
        <v>611</v>
      </c>
      <c r="C362" s="9" t="s">
        <v>612</v>
      </c>
      <c r="D362" s="9" t="s">
        <v>613</v>
      </c>
      <c r="E362" s="9" t="s">
        <v>583</v>
      </c>
      <c r="F362" s="9"/>
      <c r="G362" s="9"/>
      <c r="H362" s="9"/>
      <c r="I362" s="9"/>
      <c r="J362" s="9"/>
      <c r="K362" s="9"/>
      <c r="L362" s="9"/>
      <c r="M362" s="9"/>
    </row>
    <row r="363" spans="1:13" x14ac:dyDescent="0.25">
      <c r="A363" s="9" t="s">
        <v>501</v>
      </c>
      <c r="B363" s="9" t="s">
        <v>483</v>
      </c>
      <c r="C363" s="9" t="s">
        <v>484</v>
      </c>
      <c r="D363" s="9" t="s">
        <v>582</v>
      </c>
      <c r="E363" s="9" t="s">
        <v>583</v>
      </c>
      <c r="F363" s="77">
        <v>3313.1869999999999</v>
      </c>
      <c r="G363" s="77">
        <v>3333.5829862270598</v>
      </c>
      <c r="H363" s="77">
        <v>3353.7589060355399</v>
      </c>
      <c r="I363" s="77">
        <v>3375.88271194356</v>
      </c>
      <c r="J363" s="77">
        <v>3399.56608462738</v>
      </c>
      <c r="K363" s="77">
        <v>3423.7950089276501</v>
      </c>
      <c r="L363" s="77">
        <v>3449.11040733761</v>
      </c>
      <c r="M363" s="77">
        <v>3475.50235997355</v>
      </c>
    </row>
    <row r="364" spans="1:13" x14ac:dyDescent="0.25">
      <c r="A364" s="9" t="s">
        <v>501</v>
      </c>
      <c r="B364" s="9" t="s">
        <v>485</v>
      </c>
      <c r="C364" s="9" t="s">
        <v>486</v>
      </c>
      <c r="D364" s="9" t="s">
        <v>504</v>
      </c>
      <c r="E364" s="9" t="s">
        <v>583</v>
      </c>
      <c r="F364" s="80">
        <v>42102.877915341996</v>
      </c>
      <c r="G364" s="80">
        <v>42261.9570552</v>
      </c>
      <c r="H364" s="80">
        <v>42376.019600599997</v>
      </c>
      <c r="I364" s="80">
        <v>42481.143851399996</v>
      </c>
      <c r="J364" s="80">
        <v>42549.292057958002</v>
      </c>
      <c r="K364" s="80">
        <v>42646.892057958001</v>
      </c>
      <c r="L364" s="80">
        <v>42744.592057957998</v>
      </c>
      <c r="M364" s="80">
        <v>42842.292057958002</v>
      </c>
    </row>
    <row r="365" spans="1:13" x14ac:dyDescent="0.25">
      <c r="A365" s="9" t="s">
        <v>501</v>
      </c>
      <c r="B365" s="9" t="s">
        <v>614</v>
      </c>
      <c r="C365" s="9" t="s">
        <v>615</v>
      </c>
      <c r="D365" s="9" t="s">
        <v>613</v>
      </c>
      <c r="E365" s="9" t="s">
        <v>583</v>
      </c>
      <c r="F365" s="9"/>
      <c r="G365" s="9"/>
      <c r="H365" s="9"/>
      <c r="I365" s="9"/>
      <c r="J365" s="9"/>
      <c r="K365" s="9"/>
      <c r="L365" s="9"/>
      <c r="M365" s="9"/>
    </row>
    <row r="366" spans="1:13" x14ac:dyDescent="0.25">
      <c r="A366" s="9" t="s">
        <v>501</v>
      </c>
      <c r="B366" s="9" t="s">
        <v>487</v>
      </c>
      <c r="C366" s="9" t="s">
        <v>488</v>
      </c>
      <c r="D366" s="9" t="s">
        <v>582</v>
      </c>
      <c r="E366" s="9" t="s">
        <v>583</v>
      </c>
      <c r="F366" s="77"/>
      <c r="G366" s="77"/>
      <c r="H366" s="77"/>
      <c r="I366" s="77"/>
      <c r="J366" s="77"/>
      <c r="K366" s="77"/>
      <c r="L366" s="77"/>
      <c r="M366" s="77"/>
    </row>
    <row r="367" spans="1:13" x14ac:dyDescent="0.25">
      <c r="A367" s="9" t="s">
        <v>501</v>
      </c>
      <c r="B367" s="9" t="s">
        <v>489</v>
      </c>
      <c r="C367" s="9" t="s">
        <v>490</v>
      </c>
      <c r="D367" s="9" t="s">
        <v>504</v>
      </c>
      <c r="E367" s="9" t="s">
        <v>583</v>
      </c>
      <c r="F367" s="80"/>
      <c r="G367" s="80"/>
      <c r="H367" s="80"/>
      <c r="I367" s="80"/>
      <c r="J367" s="80"/>
      <c r="K367" s="80"/>
      <c r="L367" s="80"/>
      <c r="M367" s="80"/>
    </row>
    <row r="368" spans="1:13" x14ac:dyDescent="0.25">
      <c r="A368" s="9" t="s">
        <v>252</v>
      </c>
      <c r="B368" s="9" t="s">
        <v>580</v>
      </c>
      <c r="C368" s="9" t="s">
        <v>581</v>
      </c>
      <c r="D368" s="9" t="s">
        <v>582</v>
      </c>
      <c r="E368" s="9" t="s">
        <v>583</v>
      </c>
      <c r="F368" s="77">
        <v>1316.998</v>
      </c>
      <c r="G368" s="77">
        <v>1325.4110000000001</v>
      </c>
      <c r="H368" s="77">
        <v>1332.4110000000001</v>
      </c>
      <c r="I368" s="77">
        <v>1341.1579999999999</v>
      </c>
      <c r="J368" s="77">
        <v>1350.0619999999999</v>
      </c>
      <c r="K368" s="77">
        <v>1359.117</v>
      </c>
      <c r="L368" s="77">
        <v>1368.213</v>
      </c>
      <c r="M368" s="77">
        <v>1377.345</v>
      </c>
    </row>
    <row r="369" spans="1:13" x14ac:dyDescent="0.25">
      <c r="A369" s="9" t="s">
        <v>252</v>
      </c>
      <c r="B369" s="9" t="s">
        <v>584</v>
      </c>
      <c r="C369" s="9" t="s">
        <v>585</v>
      </c>
      <c r="D369" s="9" t="s">
        <v>582</v>
      </c>
      <c r="E369" s="9" t="s">
        <v>583</v>
      </c>
      <c r="F369" s="77">
        <v>116.503</v>
      </c>
      <c r="G369" s="77">
        <v>116.357</v>
      </c>
      <c r="H369" s="77">
        <v>115.04300000000001</v>
      </c>
      <c r="I369" s="77">
        <v>115.077</v>
      </c>
      <c r="J369" s="77">
        <v>115.10599999999999</v>
      </c>
      <c r="K369" s="77">
        <v>115.133</v>
      </c>
      <c r="L369" s="77">
        <v>115.157</v>
      </c>
      <c r="M369" s="77">
        <v>115.179</v>
      </c>
    </row>
    <row r="370" spans="1:13" x14ac:dyDescent="0.25">
      <c r="A370" s="9" t="s">
        <v>252</v>
      </c>
      <c r="B370" s="9" t="s">
        <v>586</v>
      </c>
      <c r="C370" s="9" t="s">
        <v>587</v>
      </c>
      <c r="D370" s="9">
        <v>0</v>
      </c>
      <c r="E370" s="9" t="s">
        <v>583</v>
      </c>
      <c r="F370" s="78">
        <v>1433.501</v>
      </c>
      <c r="G370" s="78">
        <v>1441.768</v>
      </c>
      <c r="H370" s="78">
        <v>1447.454</v>
      </c>
      <c r="I370" s="78">
        <v>1456.2349999999999</v>
      </c>
      <c r="J370" s="78">
        <v>1465.1679999999999</v>
      </c>
      <c r="K370" s="78">
        <v>1474.25</v>
      </c>
      <c r="L370" s="78">
        <v>1483.37</v>
      </c>
      <c r="M370" s="78">
        <v>1492.5239999999999</v>
      </c>
    </row>
    <row r="371" spans="1:13" x14ac:dyDescent="0.25">
      <c r="A371" s="9" t="s">
        <v>252</v>
      </c>
      <c r="B371" s="9" t="s">
        <v>588</v>
      </c>
      <c r="C371" s="9" t="s">
        <v>589</v>
      </c>
      <c r="D371" s="9">
        <v>0</v>
      </c>
      <c r="E371" s="9" t="s">
        <v>583</v>
      </c>
      <c r="F371" s="79">
        <v>3054.9</v>
      </c>
      <c r="G371" s="79">
        <v>3057.7669999999998</v>
      </c>
      <c r="H371" s="79">
        <v>3069.91</v>
      </c>
      <c r="I371" s="79">
        <v>3079.6909999999998</v>
      </c>
      <c r="J371" s="79">
        <v>3089.7689999999998</v>
      </c>
      <c r="K371" s="79">
        <v>3099.8719999999998</v>
      </c>
      <c r="L371" s="79">
        <v>3109.96</v>
      </c>
      <c r="M371" s="79">
        <v>3120.0149999999999</v>
      </c>
    </row>
    <row r="372" spans="1:13" x14ac:dyDescent="0.25">
      <c r="A372" s="9" t="s">
        <v>252</v>
      </c>
      <c r="B372" s="9" t="s">
        <v>590</v>
      </c>
      <c r="C372" s="9" t="s">
        <v>591</v>
      </c>
      <c r="D372" s="9">
        <v>0</v>
      </c>
      <c r="E372" s="9" t="s">
        <v>583</v>
      </c>
      <c r="F372" s="77">
        <v>1311.348</v>
      </c>
      <c r="G372" s="77">
        <v>1320.164</v>
      </c>
      <c r="H372" s="77">
        <v>1328.856</v>
      </c>
      <c r="I372" s="77">
        <v>1339.681</v>
      </c>
      <c r="J372" s="77">
        <v>1349.309</v>
      </c>
      <c r="K372" s="77">
        <v>1359.1010000000001</v>
      </c>
      <c r="L372" s="77">
        <v>1368.9570000000001</v>
      </c>
      <c r="M372" s="77">
        <v>1378.874</v>
      </c>
    </row>
    <row r="373" spans="1:13" x14ac:dyDescent="0.25">
      <c r="A373" s="9" t="s">
        <v>252</v>
      </c>
      <c r="B373" s="9" t="s">
        <v>592</v>
      </c>
      <c r="C373" s="9" t="s">
        <v>593</v>
      </c>
      <c r="D373" s="9">
        <v>0</v>
      </c>
      <c r="E373" s="9" t="s">
        <v>583</v>
      </c>
      <c r="F373" s="77">
        <v>72.861999999999995</v>
      </c>
      <c r="G373" s="77">
        <v>73.081999999999994</v>
      </c>
      <c r="H373" s="77">
        <v>73.191000000000003</v>
      </c>
      <c r="I373" s="77">
        <v>73.525000000000006</v>
      </c>
      <c r="J373" s="77">
        <v>73.802999999999997</v>
      </c>
      <c r="K373" s="77">
        <v>74.078000000000003</v>
      </c>
      <c r="L373" s="77">
        <v>74.352000000000004</v>
      </c>
      <c r="M373" s="77">
        <v>74.626000000000005</v>
      </c>
    </row>
    <row r="374" spans="1:13" x14ac:dyDescent="0.25">
      <c r="A374" s="9" t="s">
        <v>252</v>
      </c>
      <c r="B374" s="9" t="s">
        <v>594</v>
      </c>
      <c r="C374" s="9" t="s">
        <v>595</v>
      </c>
      <c r="D374" s="9" t="s">
        <v>582</v>
      </c>
      <c r="E374" s="9" t="s">
        <v>583</v>
      </c>
      <c r="F374" s="77">
        <v>1449.9090000000001</v>
      </c>
      <c r="G374" s="77">
        <v>1458.152</v>
      </c>
      <c r="H374" s="77">
        <v>1465.05</v>
      </c>
      <c r="I374" s="77">
        <v>1474.335</v>
      </c>
      <c r="J374" s="77">
        <v>1483.759</v>
      </c>
      <c r="K374" s="77">
        <v>1493.317</v>
      </c>
      <c r="L374" s="77">
        <v>1502.902</v>
      </c>
      <c r="M374" s="77">
        <v>1512.511</v>
      </c>
    </row>
    <row r="375" spans="1:13" x14ac:dyDescent="0.25">
      <c r="A375" s="9" t="s">
        <v>252</v>
      </c>
      <c r="B375" s="9" t="s">
        <v>596</v>
      </c>
      <c r="C375" s="9" t="s">
        <v>597</v>
      </c>
      <c r="D375" s="9">
        <v>0</v>
      </c>
      <c r="E375" s="9" t="s">
        <v>583</v>
      </c>
      <c r="F375" s="77">
        <v>3099.0439999999999</v>
      </c>
      <c r="G375" s="77">
        <v>3074.5189999999998</v>
      </c>
      <c r="H375" s="77">
        <v>3111.2730000000001</v>
      </c>
      <c r="I375" s="77">
        <v>3122.0259999999998</v>
      </c>
      <c r="J375" s="77">
        <v>3132.221</v>
      </c>
      <c r="K375" s="77">
        <v>3141.902</v>
      </c>
      <c r="L375" s="77">
        <v>3150.864</v>
      </c>
      <c r="M375" s="77">
        <v>3160.94</v>
      </c>
    </row>
    <row r="376" spans="1:13" x14ac:dyDescent="0.25">
      <c r="A376" s="9" t="s">
        <v>252</v>
      </c>
      <c r="B376" s="9" t="s">
        <v>598</v>
      </c>
      <c r="C376" s="9" t="s">
        <v>599</v>
      </c>
      <c r="D376" s="9">
        <v>0</v>
      </c>
      <c r="E376" s="9" t="s">
        <v>583</v>
      </c>
      <c r="F376" s="80">
        <v>158.34100000000001</v>
      </c>
      <c r="G376" s="80">
        <v>157.04</v>
      </c>
      <c r="H376" s="80">
        <v>158.34100000000001</v>
      </c>
      <c r="I376" s="80">
        <v>158.34100000000001</v>
      </c>
      <c r="J376" s="80">
        <v>158.34100000000001</v>
      </c>
      <c r="K376" s="80">
        <v>158.34100000000001</v>
      </c>
      <c r="L376" s="80">
        <v>158.34100000000001</v>
      </c>
      <c r="M376" s="80">
        <v>158.34100000000001</v>
      </c>
    </row>
    <row r="377" spans="1:13" x14ac:dyDescent="0.25">
      <c r="A377" s="9" t="s">
        <v>252</v>
      </c>
      <c r="B377" s="9" t="s">
        <v>600</v>
      </c>
      <c r="C377" s="9" t="s">
        <v>601</v>
      </c>
      <c r="D377" s="9" t="s">
        <v>602</v>
      </c>
      <c r="E377" s="9" t="s">
        <v>583</v>
      </c>
      <c r="F377" s="80">
        <v>19085</v>
      </c>
      <c r="G377" s="80">
        <v>19279</v>
      </c>
      <c r="H377" s="80">
        <v>19252</v>
      </c>
      <c r="I377" s="80">
        <v>19343</v>
      </c>
      <c r="J377" s="80">
        <v>19434</v>
      </c>
      <c r="K377" s="80">
        <v>19515</v>
      </c>
      <c r="L377" s="80">
        <v>19598</v>
      </c>
      <c r="M377" s="80">
        <v>19680</v>
      </c>
    </row>
    <row r="378" spans="1:13" x14ac:dyDescent="0.25">
      <c r="A378" s="9" t="s">
        <v>252</v>
      </c>
      <c r="B378" s="9" t="s">
        <v>603</v>
      </c>
      <c r="C378" s="9" t="s">
        <v>604</v>
      </c>
      <c r="D378" s="9" t="s">
        <v>504</v>
      </c>
      <c r="E378" s="9" t="s">
        <v>583</v>
      </c>
      <c r="F378" s="78">
        <v>17175</v>
      </c>
      <c r="G378" s="78">
        <v>17175</v>
      </c>
      <c r="H378" s="78">
        <v>17175</v>
      </c>
      <c r="I378" s="78">
        <v>17175</v>
      </c>
      <c r="J378" s="78">
        <v>17175</v>
      </c>
      <c r="K378" s="78">
        <v>17175</v>
      </c>
      <c r="L378" s="78">
        <v>17175</v>
      </c>
      <c r="M378" s="78">
        <v>17175</v>
      </c>
    </row>
    <row r="379" spans="1:13" x14ac:dyDescent="0.25">
      <c r="A379" s="9" t="s">
        <v>252</v>
      </c>
      <c r="B379" s="9" t="s">
        <v>605</v>
      </c>
      <c r="C379" s="9" t="s">
        <v>606</v>
      </c>
      <c r="D379" s="9" t="s">
        <v>504</v>
      </c>
      <c r="E379" s="9" t="s">
        <v>583</v>
      </c>
      <c r="F379" s="79">
        <v>27597</v>
      </c>
      <c r="G379" s="79">
        <v>27644.400000000001</v>
      </c>
      <c r="H379" s="79">
        <v>27786</v>
      </c>
      <c r="I379" s="79">
        <v>27827</v>
      </c>
      <c r="J379" s="79">
        <v>27872</v>
      </c>
      <c r="K379" s="79">
        <v>27913</v>
      </c>
      <c r="L379" s="79">
        <v>27968</v>
      </c>
      <c r="M379" s="79">
        <v>28037</v>
      </c>
    </row>
    <row r="380" spans="1:13" x14ac:dyDescent="0.25">
      <c r="A380" s="9" t="s">
        <v>252</v>
      </c>
      <c r="B380" s="9" t="s">
        <v>607</v>
      </c>
      <c r="C380" s="9" t="s">
        <v>608</v>
      </c>
      <c r="D380" s="9" t="s">
        <v>179</v>
      </c>
      <c r="E380" s="9" t="s">
        <v>583</v>
      </c>
      <c r="F380" s="79">
        <v>172.85</v>
      </c>
      <c r="G380" s="79">
        <v>169.54</v>
      </c>
      <c r="H380" s="79">
        <v>169</v>
      </c>
      <c r="I380" s="79">
        <v>163.80000000000001</v>
      </c>
      <c r="J380" s="79">
        <v>158.6</v>
      </c>
      <c r="K380" s="79">
        <v>153.4</v>
      </c>
      <c r="L380" s="79">
        <v>148.19999999999999</v>
      </c>
      <c r="M380" s="79">
        <v>143</v>
      </c>
    </row>
    <row r="381" spans="1:13" x14ac:dyDescent="0.25">
      <c r="A381" s="9" t="s">
        <v>252</v>
      </c>
      <c r="B381" s="9" t="s">
        <v>609</v>
      </c>
      <c r="C381" s="9" t="s">
        <v>610</v>
      </c>
      <c r="D381" s="9" t="s">
        <v>179</v>
      </c>
      <c r="E381" s="9" t="s">
        <v>583</v>
      </c>
      <c r="F381" s="79">
        <v>815.2</v>
      </c>
      <c r="G381" s="79">
        <v>840.85</v>
      </c>
      <c r="H381" s="79">
        <v>798.49</v>
      </c>
      <c r="I381" s="79">
        <v>792.29</v>
      </c>
      <c r="J381" s="79">
        <v>783.24</v>
      </c>
      <c r="K381" s="79">
        <v>775.4</v>
      </c>
      <c r="L381" s="79">
        <v>765.47</v>
      </c>
      <c r="M381" s="79">
        <v>758.46</v>
      </c>
    </row>
    <row r="382" spans="1:13" x14ac:dyDescent="0.25">
      <c r="A382" s="9" t="s">
        <v>252</v>
      </c>
      <c r="B382" s="9" t="s">
        <v>471</v>
      </c>
      <c r="C382" s="9" t="s">
        <v>472</v>
      </c>
      <c r="D382" s="9" t="s">
        <v>582</v>
      </c>
      <c r="E382" s="9" t="s">
        <v>583</v>
      </c>
      <c r="F382" s="77">
        <v>52.844999999999999</v>
      </c>
      <c r="G382" s="77">
        <v>52.615000000000002</v>
      </c>
      <c r="H382" s="77">
        <v>51.511000000000003</v>
      </c>
      <c r="I382" s="77">
        <v>50.804000000000002</v>
      </c>
      <c r="J382" s="77">
        <v>50.012</v>
      </c>
      <c r="K382" s="77">
        <v>49.241</v>
      </c>
      <c r="L382" s="77">
        <v>48.49</v>
      </c>
      <c r="M382" s="77">
        <v>47.76</v>
      </c>
    </row>
    <row r="383" spans="1:13" x14ac:dyDescent="0.25">
      <c r="A383" s="9" t="s">
        <v>252</v>
      </c>
      <c r="B383" s="9" t="s">
        <v>473</v>
      </c>
      <c r="C383" s="9" t="s">
        <v>474</v>
      </c>
      <c r="D383" s="9" t="s">
        <v>582</v>
      </c>
      <c r="E383" s="9" t="s">
        <v>583</v>
      </c>
      <c r="F383" s="77">
        <v>28.210999999999999</v>
      </c>
      <c r="G383" s="77">
        <v>29.164999999999999</v>
      </c>
      <c r="H383" s="77">
        <v>32.148000000000003</v>
      </c>
      <c r="I383" s="77">
        <v>34.540999999999997</v>
      </c>
      <c r="J383" s="77">
        <v>36.930999999999997</v>
      </c>
      <c r="K383" s="77">
        <v>39.317999999999998</v>
      </c>
      <c r="L383" s="77">
        <v>41.686999999999998</v>
      </c>
      <c r="M383" s="77">
        <v>44.037999999999997</v>
      </c>
    </row>
    <row r="384" spans="1:13" x14ac:dyDescent="0.25">
      <c r="A384" s="9" t="s">
        <v>252</v>
      </c>
      <c r="B384" s="9" t="s">
        <v>475</v>
      </c>
      <c r="C384" s="9" t="s">
        <v>476</v>
      </c>
      <c r="D384" s="9" t="s">
        <v>582</v>
      </c>
      <c r="E384" s="9" t="s">
        <v>583</v>
      </c>
      <c r="F384" s="77">
        <v>50.985999999999997</v>
      </c>
      <c r="G384" s="77">
        <v>48.694000000000003</v>
      </c>
      <c r="H384" s="77">
        <v>47.027000000000001</v>
      </c>
      <c r="I384" s="77">
        <v>45.456000000000003</v>
      </c>
      <c r="J384" s="77">
        <v>43.902999999999999</v>
      </c>
      <c r="K384" s="77">
        <v>42.383000000000003</v>
      </c>
      <c r="L384" s="77">
        <v>40.895000000000003</v>
      </c>
      <c r="M384" s="77">
        <v>39.441000000000003</v>
      </c>
    </row>
    <row r="385" spans="1:13" x14ac:dyDescent="0.25">
      <c r="A385" s="9" t="s">
        <v>252</v>
      </c>
      <c r="B385" s="9" t="s">
        <v>477</v>
      </c>
      <c r="C385" s="9" t="s">
        <v>478</v>
      </c>
      <c r="D385" s="9" t="s">
        <v>582</v>
      </c>
      <c r="E385" s="9" t="s">
        <v>583</v>
      </c>
      <c r="F385" s="77">
        <v>82.233000000000004</v>
      </c>
      <c r="G385" s="77">
        <v>83.247</v>
      </c>
      <c r="H385" s="77">
        <v>87.616</v>
      </c>
      <c r="I385" s="77">
        <v>90.61</v>
      </c>
      <c r="J385" s="77">
        <v>93.585999999999999</v>
      </c>
      <c r="K385" s="77">
        <v>96.543000000000006</v>
      </c>
      <c r="L385" s="77">
        <v>99.468999999999994</v>
      </c>
      <c r="M385" s="77">
        <v>102.36199999999999</v>
      </c>
    </row>
    <row r="386" spans="1:13" x14ac:dyDescent="0.25">
      <c r="A386" s="9" t="s">
        <v>252</v>
      </c>
      <c r="B386" s="9" t="s">
        <v>479</v>
      </c>
      <c r="C386" s="9" t="s">
        <v>480</v>
      </c>
      <c r="D386" s="9" t="s">
        <v>582</v>
      </c>
      <c r="E386" s="9" t="s">
        <v>583</v>
      </c>
      <c r="F386" s="77">
        <v>672.82600000000002</v>
      </c>
      <c r="G386" s="77">
        <v>662.76199999999994</v>
      </c>
      <c r="H386" s="77">
        <v>655.83500000000004</v>
      </c>
      <c r="I386" s="77">
        <v>646.83799999999997</v>
      </c>
      <c r="J386" s="77">
        <v>636.75900000000001</v>
      </c>
      <c r="K386" s="77">
        <v>626.94100000000003</v>
      </c>
      <c r="L386" s="77">
        <v>617.38300000000004</v>
      </c>
      <c r="M386" s="77">
        <v>608.07899999999995</v>
      </c>
    </row>
    <row r="387" spans="1:13" x14ac:dyDescent="0.25">
      <c r="A387" s="9" t="s">
        <v>252</v>
      </c>
      <c r="B387" s="9" t="s">
        <v>481</v>
      </c>
      <c r="C387" s="9" t="s">
        <v>482</v>
      </c>
      <c r="D387" s="9" t="s">
        <v>582</v>
      </c>
      <c r="E387" s="9" t="s">
        <v>583</v>
      </c>
      <c r="F387" s="77">
        <v>505.30200000000002</v>
      </c>
      <c r="G387" s="77">
        <v>525.46</v>
      </c>
      <c r="H387" s="77">
        <v>538.37699999999995</v>
      </c>
      <c r="I387" s="77">
        <v>556.77700000000004</v>
      </c>
      <c r="J387" s="77">
        <v>575.06100000000004</v>
      </c>
      <c r="K387" s="77">
        <v>593.23400000000004</v>
      </c>
      <c r="L387" s="77">
        <v>611.21</v>
      </c>
      <c r="M387" s="77">
        <v>628.99199999999996</v>
      </c>
    </row>
    <row r="388" spans="1:13" x14ac:dyDescent="0.25">
      <c r="A388" s="9" t="s">
        <v>252</v>
      </c>
      <c r="B388" s="9" t="s">
        <v>611</v>
      </c>
      <c r="C388" s="9" t="s">
        <v>612</v>
      </c>
      <c r="D388" s="9" t="s">
        <v>613</v>
      </c>
      <c r="E388" s="9" t="s">
        <v>583</v>
      </c>
      <c r="F388" s="9"/>
      <c r="G388" s="9"/>
      <c r="H388" s="9"/>
      <c r="I388" s="9"/>
      <c r="J388" s="9"/>
      <c r="K388" s="9"/>
      <c r="L388" s="9"/>
      <c r="M388" s="9"/>
    </row>
    <row r="389" spans="1:13" x14ac:dyDescent="0.25">
      <c r="A389" s="9" t="s">
        <v>252</v>
      </c>
      <c r="B389" s="9" t="s">
        <v>483</v>
      </c>
      <c r="C389" s="9" t="s">
        <v>484</v>
      </c>
      <c r="D389" s="9" t="s">
        <v>582</v>
      </c>
      <c r="E389" s="9" t="s">
        <v>583</v>
      </c>
      <c r="F389" s="77">
        <v>1433.501</v>
      </c>
      <c r="G389" s="77">
        <v>1438.8920000000001</v>
      </c>
      <c r="H389" s="77">
        <v>1447.454</v>
      </c>
      <c r="I389" s="77">
        <v>1456.2349999999999</v>
      </c>
      <c r="J389" s="77">
        <v>1465.1679999999999</v>
      </c>
      <c r="K389" s="77">
        <v>1474.25</v>
      </c>
      <c r="L389" s="77">
        <v>1483.37</v>
      </c>
      <c r="M389" s="77">
        <v>1492.5239999999999</v>
      </c>
    </row>
    <row r="390" spans="1:13" x14ac:dyDescent="0.25">
      <c r="A390" s="9" t="s">
        <v>252</v>
      </c>
      <c r="B390" s="9" t="s">
        <v>485</v>
      </c>
      <c r="C390" s="9" t="s">
        <v>486</v>
      </c>
      <c r="D390" s="9" t="s">
        <v>504</v>
      </c>
      <c r="E390" s="9" t="s">
        <v>583</v>
      </c>
      <c r="F390" s="80">
        <v>27597</v>
      </c>
      <c r="G390" s="80">
        <v>27692</v>
      </c>
      <c r="H390" s="80">
        <v>27786</v>
      </c>
      <c r="I390" s="80">
        <v>27827</v>
      </c>
      <c r="J390" s="80">
        <v>27872</v>
      </c>
      <c r="K390" s="80">
        <v>27913</v>
      </c>
      <c r="L390" s="80">
        <v>27968</v>
      </c>
      <c r="M390" s="80">
        <v>28037</v>
      </c>
    </row>
    <row r="391" spans="1:13" x14ac:dyDescent="0.25">
      <c r="A391" s="9" t="s">
        <v>252</v>
      </c>
      <c r="B391" s="9" t="s">
        <v>614</v>
      </c>
      <c r="C391" s="9" t="s">
        <v>615</v>
      </c>
      <c r="D391" s="9" t="s">
        <v>613</v>
      </c>
      <c r="E391" s="9" t="s">
        <v>583</v>
      </c>
      <c r="F391" s="9"/>
      <c r="G391" s="9"/>
      <c r="H391" s="9"/>
      <c r="I391" s="9"/>
      <c r="J391" s="9"/>
      <c r="K391" s="9"/>
      <c r="L391" s="9"/>
      <c r="M391" s="9"/>
    </row>
    <row r="392" spans="1:13" x14ac:dyDescent="0.25">
      <c r="A392" s="9" t="s">
        <v>252</v>
      </c>
      <c r="B392" s="9" t="s">
        <v>487</v>
      </c>
      <c r="C392" s="9" t="s">
        <v>488</v>
      </c>
      <c r="D392" s="9" t="s">
        <v>582</v>
      </c>
      <c r="E392" s="9" t="s">
        <v>583</v>
      </c>
      <c r="F392" s="77"/>
      <c r="G392" s="77"/>
      <c r="H392" s="77"/>
      <c r="I392" s="77"/>
      <c r="J392" s="77"/>
      <c r="K392" s="77"/>
      <c r="L392" s="77"/>
      <c r="M392" s="77"/>
    </row>
    <row r="393" spans="1:13" x14ac:dyDescent="0.25">
      <c r="A393" s="9" t="s">
        <v>252</v>
      </c>
      <c r="B393" s="9" t="s">
        <v>489</v>
      </c>
      <c r="C393" s="9" t="s">
        <v>490</v>
      </c>
      <c r="D393" s="9" t="s">
        <v>504</v>
      </c>
      <c r="E393" s="9" t="s">
        <v>583</v>
      </c>
      <c r="F393" s="80"/>
      <c r="G393" s="80"/>
      <c r="H393" s="80"/>
      <c r="I393" s="80"/>
      <c r="J393" s="80"/>
      <c r="K393" s="80"/>
      <c r="L393" s="80"/>
      <c r="M393" s="80"/>
    </row>
    <row r="394" spans="1:13" x14ac:dyDescent="0.25">
      <c r="A394" s="9" t="s">
        <v>169</v>
      </c>
      <c r="B394" s="9" t="s">
        <v>580</v>
      </c>
      <c r="C394" s="9" t="s">
        <v>581</v>
      </c>
      <c r="D394" s="9" t="s">
        <v>582</v>
      </c>
      <c r="E394" s="9" t="s">
        <v>583</v>
      </c>
      <c r="F394" s="77">
        <v>567.62900000000002</v>
      </c>
      <c r="G394" s="77">
        <v>573.34699999999998</v>
      </c>
      <c r="H394" s="77">
        <v>582.23299999999995</v>
      </c>
      <c r="I394" s="77">
        <v>588.80700000000002</v>
      </c>
      <c r="J394" s="77">
        <v>595.29499999999996</v>
      </c>
      <c r="K394" s="77">
        <v>601.56200000000001</v>
      </c>
      <c r="L394" s="77">
        <v>607.60500000000002</v>
      </c>
      <c r="M394" s="77">
        <v>613.48299999999995</v>
      </c>
    </row>
    <row r="395" spans="1:13" x14ac:dyDescent="0.25">
      <c r="A395" s="9" t="s">
        <v>169</v>
      </c>
      <c r="B395" s="9" t="s">
        <v>584</v>
      </c>
      <c r="C395" s="9" t="s">
        <v>585</v>
      </c>
      <c r="D395" s="9" t="s">
        <v>582</v>
      </c>
      <c r="E395" s="9" t="s">
        <v>583</v>
      </c>
      <c r="F395" s="77">
        <v>47.779000000000003</v>
      </c>
      <c r="G395" s="77">
        <v>47.759</v>
      </c>
      <c r="H395" s="77">
        <v>47.438000000000002</v>
      </c>
      <c r="I395" s="77">
        <v>47.268000000000001</v>
      </c>
      <c r="J395" s="77">
        <v>47.133000000000003</v>
      </c>
      <c r="K395" s="77">
        <v>46.997999999999998</v>
      </c>
      <c r="L395" s="77">
        <v>46.862000000000002</v>
      </c>
      <c r="M395" s="77">
        <v>46.72</v>
      </c>
    </row>
    <row r="396" spans="1:13" x14ac:dyDescent="0.25">
      <c r="A396" s="9" t="s">
        <v>169</v>
      </c>
      <c r="B396" s="9" t="s">
        <v>586</v>
      </c>
      <c r="C396" s="9" t="s">
        <v>587</v>
      </c>
      <c r="D396" s="9">
        <v>0</v>
      </c>
      <c r="E396" s="9" t="s">
        <v>583</v>
      </c>
      <c r="F396" s="78">
        <v>615.40800000000002</v>
      </c>
      <c r="G396" s="78">
        <v>621.10599999999999</v>
      </c>
      <c r="H396" s="78">
        <v>629.67100000000005</v>
      </c>
      <c r="I396" s="78">
        <v>636.07500000000005</v>
      </c>
      <c r="J396" s="78">
        <v>642.428</v>
      </c>
      <c r="K396" s="78">
        <v>648.55999999999995</v>
      </c>
      <c r="L396" s="78">
        <v>654.46699999999998</v>
      </c>
      <c r="M396" s="78">
        <v>660.20299999999997</v>
      </c>
    </row>
    <row r="397" spans="1:13" x14ac:dyDescent="0.25">
      <c r="A397" s="9" t="s">
        <v>169</v>
      </c>
      <c r="B397" s="9" t="s">
        <v>588</v>
      </c>
      <c r="C397" s="9" t="s">
        <v>589</v>
      </c>
      <c r="D397" s="9">
        <v>0</v>
      </c>
      <c r="E397" s="9" t="s">
        <v>583</v>
      </c>
      <c r="F397" s="79">
        <v>1314.81</v>
      </c>
      <c r="G397" s="79">
        <v>1327.62563264135</v>
      </c>
      <c r="H397" s="79">
        <v>1362.1759999999999</v>
      </c>
      <c r="I397" s="79">
        <v>1373.116</v>
      </c>
      <c r="J397" s="79">
        <v>1384.3209999999999</v>
      </c>
      <c r="K397" s="79">
        <v>1395.4290000000001</v>
      </c>
      <c r="L397" s="79">
        <v>1406.3810000000001</v>
      </c>
      <c r="M397" s="79">
        <v>1417.165</v>
      </c>
    </row>
    <row r="398" spans="1:13" x14ac:dyDescent="0.25">
      <c r="A398" s="9" t="s">
        <v>169</v>
      </c>
      <c r="B398" s="9" t="s">
        <v>590</v>
      </c>
      <c r="C398" s="9" t="s">
        <v>591</v>
      </c>
      <c r="D398" s="9">
        <v>0</v>
      </c>
      <c r="E398" s="9" t="s">
        <v>583</v>
      </c>
      <c r="F398" s="77">
        <v>1151.26</v>
      </c>
      <c r="G398" s="77">
        <v>1158.25</v>
      </c>
      <c r="H398" s="77">
        <v>1179.1089999999999</v>
      </c>
      <c r="I398" s="77">
        <v>1191.7909999999999</v>
      </c>
      <c r="J398" s="77">
        <v>1204.317</v>
      </c>
      <c r="K398" s="77">
        <v>1216.626</v>
      </c>
      <c r="L398" s="77">
        <v>1228.6489999999999</v>
      </c>
      <c r="M398" s="77">
        <v>1240.117</v>
      </c>
    </row>
    <row r="399" spans="1:13" x14ac:dyDescent="0.25">
      <c r="A399" s="9" t="s">
        <v>169</v>
      </c>
      <c r="B399" s="9" t="s">
        <v>592</v>
      </c>
      <c r="C399" s="9" t="s">
        <v>593</v>
      </c>
      <c r="D399" s="9">
        <v>0</v>
      </c>
      <c r="E399" s="9" t="s">
        <v>583</v>
      </c>
      <c r="F399" s="77">
        <v>58.997999999999998</v>
      </c>
      <c r="G399" s="77">
        <v>58.703000000000003</v>
      </c>
      <c r="H399" s="77">
        <v>58.591999999999999</v>
      </c>
      <c r="I399" s="77">
        <v>58.39</v>
      </c>
      <c r="J399" s="77">
        <v>58.189</v>
      </c>
      <c r="K399" s="77">
        <v>57.988999999999997</v>
      </c>
      <c r="L399" s="77">
        <v>57.789000000000001</v>
      </c>
      <c r="M399" s="77">
        <v>57.588999999999999</v>
      </c>
    </row>
    <row r="400" spans="1:13" x14ac:dyDescent="0.25">
      <c r="A400" s="9" t="s">
        <v>169</v>
      </c>
      <c r="B400" s="9" t="s">
        <v>594</v>
      </c>
      <c r="C400" s="9" t="s">
        <v>595</v>
      </c>
      <c r="D400" s="9" t="s">
        <v>582</v>
      </c>
      <c r="E400" s="9" t="s">
        <v>583</v>
      </c>
      <c r="F400" s="77">
        <v>1238.193</v>
      </c>
      <c r="G400" s="77">
        <v>1249.4469999999999</v>
      </c>
      <c r="H400" s="77">
        <v>1264.1110000000001</v>
      </c>
      <c r="I400" s="77">
        <v>1275.557</v>
      </c>
      <c r="J400" s="77">
        <v>1288.127</v>
      </c>
      <c r="K400" s="77">
        <v>1300.4770000000001</v>
      </c>
      <c r="L400" s="77">
        <v>1312.5340000000001</v>
      </c>
      <c r="M400" s="77">
        <v>1324.0260000000001</v>
      </c>
    </row>
    <row r="401" spans="1:13" x14ac:dyDescent="0.25">
      <c r="A401" s="9" t="s">
        <v>169</v>
      </c>
      <c r="B401" s="9" t="s">
        <v>596</v>
      </c>
      <c r="C401" s="9" t="s">
        <v>597</v>
      </c>
      <c r="D401" s="9">
        <v>0</v>
      </c>
      <c r="E401" s="9" t="s">
        <v>583</v>
      </c>
      <c r="F401" s="77">
        <v>2760.0160000000001</v>
      </c>
      <c r="G401" s="77">
        <v>2779.7150198333502</v>
      </c>
      <c r="H401" s="77">
        <v>2807.442</v>
      </c>
      <c r="I401" s="77">
        <v>2828.6480000000001</v>
      </c>
      <c r="J401" s="77">
        <v>2850.0279999999998</v>
      </c>
      <c r="K401" s="77">
        <v>2871.3580000000002</v>
      </c>
      <c r="L401" s="77">
        <v>2893.0459999999998</v>
      </c>
      <c r="M401" s="77">
        <v>2914.7629999999999</v>
      </c>
    </row>
    <row r="402" spans="1:13" x14ac:dyDescent="0.25">
      <c r="A402" s="9" t="s">
        <v>169</v>
      </c>
      <c r="B402" s="9" t="s">
        <v>598</v>
      </c>
      <c r="C402" s="9" t="s">
        <v>599</v>
      </c>
      <c r="D402" s="9">
        <v>0</v>
      </c>
      <c r="E402" s="9" t="s">
        <v>583</v>
      </c>
      <c r="F402" s="80">
        <v>43.488999999999997</v>
      </c>
      <c r="G402" s="80">
        <v>43.572000000000003</v>
      </c>
      <c r="H402" s="80">
        <v>44.171999999999997</v>
      </c>
      <c r="I402" s="80">
        <v>44.502000000000002</v>
      </c>
      <c r="J402" s="80">
        <v>44.834000000000003</v>
      </c>
      <c r="K402" s="80">
        <v>45.17</v>
      </c>
      <c r="L402" s="80">
        <v>45.508000000000003</v>
      </c>
      <c r="M402" s="80">
        <v>45.85</v>
      </c>
    </row>
    <row r="403" spans="1:13" x14ac:dyDescent="0.25">
      <c r="A403" s="9" t="s">
        <v>169</v>
      </c>
      <c r="B403" s="9" t="s">
        <v>600</v>
      </c>
      <c r="C403" s="9" t="s">
        <v>601</v>
      </c>
      <c r="D403" s="9" t="s">
        <v>602</v>
      </c>
      <c r="E403" s="9" t="s">
        <v>583</v>
      </c>
      <c r="F403" s="80">
        <v>17952.490000000002</v>
      </c>
      <c r="G403" s="80">
        <v>17836.23</v>
      </c>
      <c r="H403" s="80">
        <v>18284.319124775</v>
      </c>
      <c r="I403" s="80">
        <v>18453.2907458728</v>
      </c>
      <c r="J403" s="80">
        <v>18624.336459525399</v>
      </c>
      <c r="K403" s="80">
        <v>18797.483766675501</v>
      </c>
      <c r="L403" s="80">
        <v>18972.760543072702</v>
      </c>
      <c r="M403" s="80">
        <v>19150.195044440399</v>
      </c>
    </row>
    <row r="404" spans="1:13" x14ac:dyDescent="0.25">
      <c r="A404" s="9" t="s">
        <v>169</v>
      </c>
      <c r="B404" s="9" t="s">
        <v>603</v>
      </c>
      <c r="C404" s="9" t="s">
        <v>604</v>
      </c>
      <c r="D404" s="9" t="s">
        <v>504</v>
      </c>
      <c r="E404" s="9" t="s">
        <v>583</v>
      </c>
      <c r="F404" s="78">
        <v>16992</v>
      </c>
      <c r="G404" s="78">
        <v>16992</v>
      </c>
      <c r="H404" s="78">
        <v>16992</v>
      </c>
      <c r="I404" s="78">
        <v>16992</v>
      </c>
      <c r="J404" s="78">
        <v>16992</v>
      </c>
      <c r="K404" s="78">
        <v>16992</v>
      </c>
      <c r="L404" s="78">
        <v>16992</v>
      </c>
      <c r="M404" s="78">
        <v>16992</v>
      </c>
    </row>
    <row r="405" spans="1:13" x14ac:dyDescent="0.25">
      <c r="A405" s="9" t="s">
        <v>169</v>
      </c>
      <c r="B405" s="9" t="s">
        <v>605</v>
      </c>
      <c r="C405" s="9" t="s">
        <v>606</v>
      </c>
      <c r="D405" s="9" t="s">
        <v>504</v>
      </c>
      <c r="E405" s="9" t="s">
        <v>583</v>
      </c>
      <c r="F405" s="79">
        <v>11935.02</v>
      </c>
      <c r="G405" s="79">
        <v>11976.629000000001</v>
      </c>
      <c r="H405" s="79">
        <v>12025.016100000001</v>
      </c>
      <c r="I405" s="79">
        <v>12070.016100000001</v>
      </c>
      <c r="J405" s="79">
        <v>12115.016100000001</v>
      </c>
      <c r="K405" s="79">
        <v>12160.016100000001</v>
      </c>
      <c r="L405" s="79">
        <v>12205.016100000001</v>
      </c>
      <c r="M405" s="79">
        <v>12250.016100000001</v>
      </c>
    </row>
    <row r="406" spans="1:13" x14ac:dyDescent="0.25">
      <c r="A406" s="9" t="s">
        <v>169</v>
      </c>
      <c r="B406" s="9" t="s">
        <v>607</v>
      </c>
      <c r="C406" s="9" t="s">
        <v>608</v>
      </c>
      <c r="D406" s="9" t="s">
        <v>179</v>
      </c>
      <c r="E406" s="9" t="s">
        <v>583</v>
      </c>
      <c r="F406" s="79">
        <v>79.66</v>
      </c>
      <c r="G406" s="79">
        <v>66.39</v>
      </c>
      <c r="H406" s="79">
        <v>78.157700000000006</v>
      </c>
      <c r="I406" s="79">
        <v>75.812968999999995</v>
      </c>
      <c r="J406" s="79">
        <v>73.468237999999999</v>
      </c>
      <c r="K406" s="79">
        <v>71.123507000000004</v>
      </c>
      <c r="L406" s="79">
        <v>68.778775999999993</v>
      </c>
      <c r="M406" s="79">
        <v>66.434044999999998</v>
      </c>
    </row>
    <row r="407" spans="1:13" x14ac:dyDescent="0.25">
      <c r="A407" s="9" t="s">
        <v>169</v>
      </c>
      <c r="B407" s="9" t="s">
        <v>609</v>
      </c>
      <c r="C407" s="9" t="s">
        <v>610</v>
      </c>
      <c r="D407" s="9" t="s">
        <v>179</v>
      </c>
      <c r="E407" s="9" t="s">
        <v>583</v>
      </c>
      <c r="F407" s="79">
        <v>340.17</v>
      </c>
      <c r="G407" s="79">
        <v>348.52413697572001</v>
      </c>
      <c r="H407" s="79">
        <v>335.24532548063502</v>
      </c>
      <c r="I407" s="79">
        <v>332.38755526552501</v>
      </c>
      <c r="J407" s="79">
        <v>329.57349049992303</v>
      </c>
      <c r="K407" s="79">
        <v>326.85611387702102</v>
      </c>
      <c r="L407" s="79">
        <v>324.09768125939399</v>
      </c>
      <c r="M407" s="79">
        <v>321.41498356171098</v>
      </c>
    </row>
    <row r="408" spans="1:13" x14ac:dyDescent="0.25">
      <c r="A408" s="9" t="s">
        <v>169</v>
      </c>
      <c r="B408" s="9" t="s">
        <v>471</v>
      </c>
      <c r="C408" s="9" t="s">
        <v>472</v>
      </c>
      <c r="D408" s="9" t="s">
        <v>582</v>
      </c>
      <c r="E408" s="9" t="s">
        <v>583</v>
      </c>
      <c r="F408" s="77">
        <v>20.47</v>
      </c>
      <c r="G408" s="77">
        <v>19.827999999999999</v>
      </c>
      <c r="H408" s="77">
        <v>18.276</v>
      </c>
      <c r="I408" s="77">
        <v>17.321999999999999</v>
      </c>
      <c r="J408" s="77">
        <v>16.448</v>
      </c>
      <c r="K408" s="77">
        <v>15.646000000000001</v>
      </c>
      <c r="L408" s="77">
        <v>14.907999999999999</v>
      </c>
      <c r="M408" s="77">
        <v>14.227</v>
      </c>
    </row>
    <row r="409" spans="1:13" x14ac:dyDescent="0.25">
      <c r="A409" s="9" t="s">
        <v>169</v>
      </c>
      <c r="B409" s="9" t="s">
        <v>473</v>
      </c>
      <c r="C409" s="9" t="s">
        <v>474</v>
      </c>
      <c r="D409" s="9" t="s">
        <v>582</v>
      </c>
      <c r="E409" s="9" t="s">
        <v>583</v>
      </c>
      <c r="F409" s="77">
        <v>19.68</v>
      </c>
      <c r="G409" s="77">
        <v>20.478999999999999</v>
      </c>
      <c r="H409" s="77">
        <v>22.649000000000001</v>
      </c>
      <c r="I409" s="77">
        <v>24.015000000000001</v>
      </c>
      <c r="J409" s="77">
        <v>25.271000000000001</v>
      </c>
      <c r="K409" s="77">
        <v>26.434000000000001</v>
      </c>
      <c r="L409" s="77">
        <v>27.52</v>
      </c>
      <c r="M409" s="77">
        <v>28.527999999999999</v>
      </c>
    </row>
    <row r="410" spans="1:13" x14ac:dyDescent="0.25">
      <c r="A410" s="9" t="s">
        <v>169</v>
      </c>
      <c r="B410" s="9" t="s">
        <v>475</v>
      </c>
      <c r="C410" s="9" t="s">
        <v>476</v>
      </c>
      <c r="D410" s="9" t="s">
        <v>582</v>
      </c>
      <c r="E410" s="9" t="s">
        <v>583</v>
      </c>
      <c r="F410" s="77">
        <v>283.62799999999999</v>
      </c>
      <c r="G410" s="77">
        <v>266.839</v>
      </c>
      <c r="H410" s="77">
        <v>263.15199999999999</v>
      </c>
      <c r="I410" s="77">
        <v>252.21</v>
      </c>
      <c r="J410" s="77">
        <v>243.80199999999999</v>
      </c>
      <c r="K410" s="77">
        <v>235.28399999999999</v>
      </c>
      <c r="L410" s="77">
        <v>226.59200000000001</v>
      </c>
      <c r="M410" s="77">
        <v>217.66800000000001</v>
      </c>
    </row>
    <row r="411" spans="1:13" x14ac:dyDescent="0.25">
      <c r="A411" s="9" t="s">
        <v>169</v>
      </c>
      <c r="B411" s="9" t="s">
        <v>477</v>
      </c>
      <c r="C411" s="9" t="s">
        <v>478</v>
      </c>
      <c r="D411" s="9" t="s">
        <v>582</v>
      </c>
      <c r="E411" s="9" t="s">
        <v>583</v>
      </c>
      <c r="F411" s="77">
        <v>354.96800000000002</v>
      </c>
      <c r="G411" s="77">
        <v>375.84699999999998</v>
      </c>
      <c r="H411" s="77">
        <v>389.892</v>
      </c>
      <c r="I411" s="77">
        <v>406.93299999999999</v>
      </c>
      <c r="J411" s="77">
        <v>421.74</v>
      </c>
      <c r="K411" s="77">
        <v>436.68400000000003</v>
      </c>
      <c r="L411" s="77">
        <v>451.67099999999999</v>
      </c>
      <c r="M411" s="77">
        <v>466.58800000000002</v>
      </c>
    </row>
    <row r="412" spans="1:13" x14ac:dyDescent="0.25">
      <c r="A412" s="9" t="s">
        <v>169</v>
      </c>
      <c r="B412" s="9" t="s">
        <v>479</v>
      </c>
      <c r="C412" s="9" t="s">
        <v>480</v>
      </c>
      <c r="D412" s="9" t="s">
        <v>582</v>
      </c>
      <c r="E412" s="9" t="s">
        <v>583</v>
      </c>
      <c r="F412" s="77">
        <v>180.16300000000001</v>
      </c>
      <c r="G412" s="77">
        <v>169.95400000000001</v>
      </c>
      <c r="H412" s="77">
        <v>160.85</v>
      </c>
      <c r="I412" s="77">
        <v>152.453</v>
      </c>
      <c r="J412" s="77">
        <v>144.76499999999999</v>
      </c>
      <c r="K412" s="77">
        <v>137.70699999999999</v>
      </c>
      <c r="L412" s="77">
        <v>131.21199999999999</v>
      </c>
      <c r="M412" s="77">
        <v>125.22</v>
      </c>
    </row>
    <row r="413" spans="1:13" x14ac:dyDescent="0.25">
      <c r="A413" s="9" t="s">
        <v>169</v>
      </c>
      <c r="B413" s="9" t="s">
        <v>481</v>
      </c>
      <c r="C413" s="9" t="s">
        <v>482</v>
      </c>
      <c r="D413" s="9" t="s">
        <v>582</v>
      </c>
      <c r="E413" s="9" t="s">
        <v>583</v>
      </c>
      <c r="F413" s="77">
        <v>332.50200000000001</v>
      </c>
      <c r="G413" s="77">
        <v>345.61</v>
      </c>
      <c r="H413" s="77">
        <v>365.21499999999997</v>
      </c>
      <c r="I413" s="77">
        <v>380.19499999999999</v>
      </c>
      <c r="J413" s="77">
        <v>394.01100000000002</v>
      </c>
      <c r="K413" s="77">
        <v>406.952</v>
      </c>
      <c r="L413" s="77">
        <v>419.173</v>
      </c>
      <c r="M413" s="77">
        <v>430.64100000000002</v>
      </c>
    </row>
    <row r="414" spans="1:13" x14ac:dyDescent="0.25">
      <c r="A414" s="9" t="s">
        <v>169</v>
      </c>
      <c r="B414" s="9" t="s">
        <v>611</v>
      </c>
      <c r="C414" s="9" t="s">
        <v>612</v>
      </c>
      <c r="D414" s="9" t="s">
        <v>613</v>
      </c>
      <c r="E414" s="9" t="s">
        <v>583</v>
      </c>
      <c r="F414" s="9"/>
      <c r="G414" s="9"/>
      <c r="H414" s="9"/>
      <c r="I414" s="9"/>
      <c r="J414" s="9"/>
      <c r="K414" s="9"/>
      <c r="L414" s="9"/>
      <c r="M414" s="9"/>
    </row>
    <row r="415" spans="1:13" x14ac:dyDescent="0.25">
      <c r="A415" s="9" t="s">
        <v>169</v>
      </c>
      <c r="B415" s="9" t="s">
        <v>483</v>
      </c>
      <c r="C415" s="9" t="s">
        <v>484</v>
      </c>
      <c r="D415" s="9" t="s">
        <v>582</v>
      </c>
      <c r="E415" s="9" t="s">
        <v>583</v>
      </c>
      <c r="F415" s="77">
        <v>615.40800000000002</v>
      </c>
      <c r="G415" s="77">
        <v>623.31399999999996</v>
      </c>
      <c r="H415" s="77">
        <v>629.67100000000005</v>
      </c>
      <c r="I415" s="77">
        <v>636.07500000000005</v>
      </c>
      <c r="J415" s="77">
        <v>642.428</v>
      </c>
      <c r="K415" s="77">
        <v>648.55999999999995</v>
      </c>
      <c r="L415" s="77">
        <v>654.46699999999998</v>
      </c>
      <c r="M415" s="77">
        <v>660.20299999999997</v>
      </c>
    </row>
    <row r="416" spans="1:13" x14ac:dyDescent="0.25">
      <c r="A416" s="9" t="s">
        <v>169</v>
      </c>
      <c r="B416" s="9" t="s">
        <v>485</v>
      </c>
      <c r="C416" s="9" t="s">
        <v>486</v>
      </c>
      <c r="D416" s="9" t="s">
        <v>504</v>
      </c>
      <c r="E416" s="9" t="s">
        <v>583</v>
      </c>
      <c r="F416" s="80">
        <v>11935.02</v>
      </c>
      <c r="G416" s="80">
        <v>11980.016100000001</v>
      </c>
      <c r="H416" s="80">
        <v>12025.016100000001</v>
      </c>
      <c r="I416" s="80">
        <v>12070.016100000001</v>
      </c>
      <c r="J416" s="80">
        <v>12115.016100000001</v>
      </c>
      <c r="K416" s="80">
        <v>12160.016100000001</v>
      </c>
      <c r="L416" s="80">
        <v>12205.016100000001</v>
      </c>
      <c r="M416" s="80">
        <v>12250.016100000001</v>
      </c>
    </row>
    <row r="417" spans="1:13" x14ac:dyDescent="0.25">
      <c r="A417" s="9" t="s">
        <v>169</v>
      </c>
      <c r="B417" s="9" t="s">
        <v>614</v>
      </c>
      <c r="C417" s="9" t="s">
        <v>615</v>
      </c>
      <c r="D417" s="9" t="s">
        <v>613</v>
      </c>
      <c r="E417" s="9" t="s">
        <v>583</v>
      </c>
      <c r="F417" s="9"/>
      <c r="G417" s="9"/>
      <c r="H417" s="9"/>
      <c r="I417" s="9"/>
      <c r="J417" s="9"/>
      <c r="K417" s="9"/>
      <c r="L417" s="9"/>
      <c r="M417" s="9"/>
    </row>
    <row r="418" spans="1:13" x14ac:dyDescent="0.25">
      <c r="A418" s="9" t="s">
        <v>169</v>
      </c>
      <c r="B418" s="9" t="s">
        <v>487</v>
      </c>
      <c r="C418" s="9" t="s">
        <v>488</v>
      </c>
      <c r="D418" s="9" t="s">
        <v>582</v>
      </c>
      <c r="E418" s="9" t="s">
        <v>583</v>
      </c>
      <c r="F418" s="77"/>
      <c r="G418" s="77"/>
      <c r="H418" s="77"/>
      <c r="I418" s="77"/>
      <c r="J418" s="77"/>
      <c r="K418" s="77"/>
      <c r="L418" s="77"/>
      <c r="M418" s="77"/>
    </row>
    <row r="419" spans="1:13" x14ac:dyDescent="0.25">
      <c r="A419" s="9" t="s">
        <v>169</v>
      </c>
      <c r="B419" s="9" t="s">
        <v>489</v>
      </c>
      <c r="C419" s="9" t="s">
        <v>490</v>
      </c>
      <c r="D419" s="9" t="s">
        <v>504</v>
      </c>
      <c r="E419" s="9" t="s">
        <v>583</v>
      </c>
      <c r="F419" s="80"/>
      <c r="G419" s="80"/>
      <c r="H419" s="80"/>
      <c r="I419" s="80"/>
      <c r="J419" s="80"/>
      <c r="K419" s="80"/>
      <c r="L419" s="80"/>
      <c r="M419" s="80"/>
    </row>
    <row r="420" spans="1:13" x14ac:dyDescent="0.25">
      <c r="A420" s="9" t="s">
        <v>171</v>
      </c>
      <c r="B420" s="9" t="s">
        <v>580</v>
      </c>
      <c r="C420" s="9" t="s">
        <v>581</v>
      </c>
      <c r="D420" s="9" t="s">
        <v>582</v>
      </c>
      <c r="E420" s="9" t="s">
        <v>583</v>
      </c>
      <c r="F420" s="77">
        <v>2163.3649999999998</v>
      </c>
      <c r="G420" s="77">
        <v>2177.6889999999999</v>
      </c>
      <c r="H420" s="77">
        <v>2183.8897412589699</v>
      </c>
      <c r="I420" s="77">
        <v>2206.1163118538502</v>
      </c>
      <c r="J420" s="77">
        <v>2226.7412715577798</v>
      </c>
      <c r="K420" s="77">
        <v>2247.4668258772899</v>
      </c>
      <c r="L420" s="77">
        <v>2268.15635625609</v>
      </c>
      <c r="M420" s="77">
        <v>2288.8885712815099</v>
      </c>
    </row>
    <row r="421" spans="1:13" x14ac:dyDescent="0.25">
      <c r="A421" s="9" t="s">
        <v>171</v>
      </c>
      <c r="B421" s="9" t="s">
        <v>584</v>
      </c>
      <c r="C421" s="9" t="s">
        <v>585</v>
      </c>
      <c r="D421" s="9" t="s">
        <v>582</v>
      </c>
      <c r="E421" s="9" t="s">
        <v>583</v>
      </c>
      <c r="F421" s="77">
        <v>141.953</v>
      </c>
      <c r="G421" s="77">
        <v>141.476</v>
      </c>
      <c r="H421" s="77">
        <v>141.531612831389</v>
      </c>
      <c r="I421" s="77">
        <v>141.29146120382899</v>
      </c>
      <c r="J421" s="77">
        <v>141.05131190456899</v>
      </c>
      <c r="K421" s="77">
        <v>140.81116493360801</v>
      </c>
      <c r="L421" s="77">
        <v>140.57102029094801</v>
      </c>
      <c r="M421" s="77">
        <v>140.330877976588</v>
      </c>
    </row>
    <row r="422" spans="1:13" x14ac:dyDescent="0.25">
      <c r="A422" s="9" t="s">
        <v>171</v>
      </c>
      <c r="B422" s="9" t="s">
        <v>586</v>
      </c>
      <c r="C422" s="9" t="s">
        <v>587</v>
      </c>
      <c r="D422" s="9">
        <v>0</v>
      </c>
      <c r="E422" s="9" t="s">
        <v>583</v>
      </c>
      <c r="F422" s="78">
        <v>2305.3180000000002</v>
      </c>
      <c r="G422" s="78">
        <v>2319.165</v>
      </c>
      <c r="H422" s="78">
        <v>2325.4213540903602</v>
      </c>
      <c r="I422" s="78">
        <v>2347.4077730576801</v>
      </c>
      <c r="J422" s="78">
        <v>2367.7925834623502</v>
      </c>
      <c r="K422" s="78">
        <v>2388.2779908109001</v>
      </c>
      <c r="L422" s="78">
        <v>2408.72737654704</v>
      </c>
      <c r="M422" s="78">
        <v>2429.2194492581002</v>
      </c>
    </row>
    <row r="423" spans="1:13" x14ac:dyDescent="0.25">
      <c r="A423" s="9" t="s">
        <v>171</v>
      </c>
      <c r="B423" s="9" t="s">
        <v>588</v>
      </c>
      <c r="C423" s="9" t="s">
        <v>589</v>
      </c>
      <c r="D423" s="9">
        <v>0</v>
      </c>
      <c r="E423" s="9" t="s">
        <v>583</v>
      </c>
      <c r="F423" s="79">
        <v>5045.2759999999998</v>
      </c>
      <c r="G423" s="79">
        <v>5058.3919999999998</v>
      </c>
      <c r="H423" s="79">
        <v>5263.63</v>
      </c>
      <c r="I423" s="79">
        <v>5303.7</v>
      </c>
      <c r="J423" s="79">
        <v>5344.62</v>
      </c>
      <c r="K423" s="79">
        <v>5386.48</v>
      </c>
      <c r="L423" s="79">
        <v>5427.5</v>
      </c>
      <c r="M423" s="79">
        <v>5468.68</v>
      </c>
    </row>
    <row r="424" spans="1:13" x14ac:dyDescent="0.25">
      <c r="A424" s="9" t="s">
        <v>171</v>
      </c>
      <c r="B424" s="9" t="s">
        <v>590</v>
      </c>
      <c r="C424" s="9" t="s">
        <v>591</v>
      </c>
      <c r="D424" s="9">
        <v>0</v>
      </c>
      <c r="E424" s="9" t="s">
        <v>583</v>
      </c>
      <c r="F424" s="77">
        <v>2057.2629999999999</v>
      </c>
      <c r="G424" s="77">
        <v>2068.201</v>
      </c>
      <c r="H424" s="77">
        <v>2087.2660000000001</v>
      </c>
      <c r="I424" s="77">
        <v>2109.2159999999999</v>
      </c>
      <c r="J424" s="77">
        <v>2129.067</v>
      </c>
      <c r="K424" s="77">
        <v>2149.0149999999999</v>
      </c>
      <c r="L424" s="77">
        <v>2168.9290000000001</v>
      </c>
      <c r="M424" s="77">
        <v>2188.8829999999998</v>
      </c>
    </row>
    <row r="425" spans="1:13" x14ac:dyDescent="0.25">
      <c r="A425" s="9" t="s">
        <v>171</v>
      </c>
      <c r="B425" s="9" t="s">
        <v>592</v>
      </c>
      <c r="C425" s="9" t="s">
        <v>593</v>
      </c>
      <c r="D425" s="9">
        <v>0</v>
      </c>
      <c r="E425" s="9" t="s">
        <v>583</v>
      </c>
      <c r="F425" s="77">
        <v>105.04600000000001</v>
      </c>
      <c r="G425" s="77">
        <v>104.441</v>
      </c>
      <c r="H425" s="77">
        <v>102.575</v>
      </c>
      <c r="I425" s="77">
        <v>102.404</v>
      </c>
      <c r="J425" s="77">
        <v>102.23399999999999</v>
      </c>
      <c r="K425" s="77">
        <v>102.063</v>
      </c>
      <c r="L425" s="77">
        <v>101.893</v>
      </c>
      <c r="M425" s="77">
        <v>101.72199999999999</v>
      </c>
    </row>
    <row r="426" spans="1:13" x14ac:dyDescent="0.25">
      <c r="A426" s="9" t="s">
        <v>171</v>
      </c>
      <c r="B426" s="9" t="s">
        <v>594</v>
      </c>
      <c r="C426" s="9" t="s">
        <v>595</v>
      </c>
      <c r="D426" s="9" t="s">
        <v>582</v>
      </c>
      <c r="E426" s="9" t="s">
        <v>583</v>
      </c>
      <c r="F426" s="77">
        <v>2283.12</v>
      </c>
      <c r="G426" s="77">
        <v>2299.1619999999998</v>
      </c>
      <c r="H426" s="77">
        <v>2307.6990000000001</v>
      </c>
      <c r="I426" s="77">
        <v>2328.8710000000001</v>
      </c>
      <c r="J426" s="77">
        <v>2348.5210000000002</v>
      </c>
      <c r="K426" s="77">
        <v>2368.268</v>
      </c>
      <c r="L426" s="77">
        <v>2387.9789999999998</v>
      </c>
      <c r="M426" s="77">
        <v>2407.7310000000002</v>
      </c>
    </row>
    <row r="427" spans="1:13" x14ac:dyDescent="0.25">
      <c r="A427" s="9" t="s">
        <v>171</v>
      </c>
      <c r="B427" s="9" t="s">
        <v>596</v>
      </c>
      <c r="C427" s="9" t="s">
        <v>597</v>
      </c>
      <c r="D427" s="9">
        <v>0</v>
      </c>
      <c r="E427" s="9" t="s">
        <v>583</v>
      </c>
      <c r="F427" s="77">
        <v>5102.0720000000001</v>
      </c>
      <c r="G427" s="77">
        <v>5135.2349999999997</v>
      </c>
      <c r="H427" s="77">
        <v>5166.5609999999997</v>
      </c>
      <c r="I427" s="77">
        <v>5199.1099999999997</v>
      </c>
      <c r="J427" s="77">
        <v>5231.8639999999996</v>
      </c>
      <c r="K427" s="77">
        <v>5264.8249999999998</v>
      </c>
      <c r="L427" s="77">
        <v>5297.9930000000004</v>
      </c>
      <c r="M427" s="77">
        <v>5331.3710000000001</v>
      </c>
    </row>
    <row r="428" spans="1:13" x14ac:dyDescent="0.25">
      <c r="A428" s="9" t="s">
        <v>171</v>
      </c>
      <c r="B428" s="9" t="s">
        <v>598</v>
      </c>
      <c r="C428" s="9" t="s">
        <v>599</v>
      </c>
      <c r="D428" s="9">
        <v>0</v>
      </c>
      <c r="E428" s="9" t="s">
        <v>583</v>
      </c>
      <c r="F428" s="80">
        <v>46.723999999999997</v>
      </c>
      <c r="G428" s="80">
        <v>46.723999999999997</v>
      </c>
      <c r="H428" s="80">
        <v>46.723999999999997</v>
      </c>
      <c r="I428" s="80">
        <v>46.723999999999997</v>
      </c>
      <c r="J428" s="80">
        <v>46.723999999999997</v>
      </c>
      <c r="K428" s="80">
        <v>46.723999999999997</v>
      </c>
      <c r="L428" s="80">
        <v>46.723999999999997</v>
      </c>
      <c r="M428" s="80">
        <v>46.723999999999997</v>
      </c>
    </row>
    <row r="429" spans="1:13" x14ac:dyDescent="0.25">
      <c r="A429" s="9" t="s">
        <v>171</v>
      </c>
      <c r="B429" s="9" t="s">
        <v>600</v>
      </c>
      <c r="C429" s="9" t="s">
        <v>601</v>
      </c>
      <c r="D429" s="9" t="s">
        <v>602</v>
      </c>
      <c r="E429" s="9" t="s">
        <v>583</v>
      </c>
      <c r="F429" s="80">
        <v>30704</v>
      </c>
      <c r="G429" s="80">
        <v>30732.399027838099</v>
      </c>
      <c r="H429" s="80">
        <v>30788</v>
      </c>
      <c r="I429" s="80">
        <v>30833</v>
      </c>
      <c r="J429" s="80">
        <v>30876</v>
      </c>
      <c r="K429" s="80">
        <v>30918</v>
      </c>
      <c r="L429" s="80">
        <v>30962</v>
      </c>
      <c r="M429" s="80">
        <v>31005</v>
      </c>
    </row>
    <row r="430" spans="1:13" x14ac:dyDescent="0.25">
      <c r="A430" s="9" t="s">
        <v>171</v>
      </c>
      <c r="B430" s="9" t="s">
        <v>603</v>
      </c>
      <c r="C430" s="9" t="s">
        <v>604</v>
      </c>
      <c r="D430" s="9" t="s">
        <v>504</v>
      </c>
      <c r="E430" s="9" t="s">
        <v>583</v>
      </c>
      <c r="F430" s="78">
        <v>21560</v>
      </c>
      <c r="G430" s="78">
        <v>21560</v>
      </c>
      <c r="H430" s="78">
        <v>21572</v>
      </c>
      <c r="I430" s="78">
        <v>21573</v>
      </c>
      <c r="J430" s="78">
        <v>21575</v>
      </c>
      <c r="K430" s="78">
        <v>21576</v>
      </c>
      <c r="L430" s="78">
        <v>21578</v>
      </c>
      <c r="M430" s="78">
        <v>21579</v>
      </c>
    </row>
    <row r="431" spans="1:13" x14ac:dyDescent="0.25">
      <c r="A431" s="9" t="s">
        <v>171</v>
      </c>
      <c r="B431" s="9" t="s">
        <v>605</v>
      </c>
      <c r="C431" s="9" t="s">
        <v>606</v>
      </c>
      <c r="D431" s="9" t="s">
        <v>504</v>
      </c>
      <c r="E431" s="9" t="s">
        <v>583</v>
      </c>
      <c r="F431" s="79">
        <v>31693</v>
      </c>
      <c r="G431" s="79">
        <v>31790.1</v>
      </c>
      <c r="H431" s="79">
        <v>31893</v>
      </c>
      <c r="I431" s="79">
        <v>32002</v>
      </c>
      <c r="J431" s="79">
        <v>32111</v>
      </c>
      <c r="K431" s="79">
        <v>32219</v>
      </c>
      <c r="L431" s="79">
        <v>32328</v>
      </c>
      <c r="M431" s="79">
        <v>32436</v>
      </c>
    </row>
    <row r="432" spans="1:13" x14ac:dyDescent="0.25">
      <c r="A432" s="9" t="s">
        <v>171</v>
      </c>
      <c r="B432" s="9" t="s">
        <v>607</v>
      </c>
      <c r="C432" s="9" t="s">
        <v>608</v>
      </c>
      <c r="D432" s="9" t="s">
        <v>179</v>
      </c>
      <c r="E432" s="9" t="s">
        <v>583</v>
      </c>
      <c r="F432" s="79">
        <v>300.27999999999997</v>
      </c>
      <c r="G432" s="79">
        <v>289.77</v>
      </c>
      <c r="H432" s="79">
        <v>269</v>
      </c>
      <c r="I432" s="79">
        <v>255.55</v>
      </c>
      <c r="J432" s="79">
        <v>242.1</v>
      </c>
      <c r="K432" s="79">
        <v>228.65</v>
      </c>
      <c r="L432" s="79">
        <v>215.2</v>
      </c>
      <c r="M432" s="79">
        <v>201.75</v>
      </c>
    </row>
    <row r="433" spans="1:13" x14ac:dyDescent="0.25">
      <c r="A433" s="9" t="s">
        <v>171</v>
      </c>
      <c r="B433" s="9" t="s">
        <v>609</v>
      </c>
      <c r="C433" s="9" t="s">
        <v>610</v>
      </c>
      <c r="D433" s="9" t="s">
        <v>179</v>
      </c>
      <c r="E433" s="9" t="s">
        <v>583</v>
      </c>
      <c r="F433" s="79">
        <v>1271.8900000000001</v>
      </c>
      <c r="G433" s="79">
        <v>1282.95</v>
      </c>
      <c r="H433" s="79">
        <v>1214.77</v>
      </c>
      <c r="I433" s="79">
        <v>1198.54</v>
      </c>
      <c r="J433" s="79">
        <v>1183.0899999999999</v>
      </c>
      <c r="K433" s="79">
        <v>1168.1199999999999</v>
      </c>
      <c r="L433" s="79">
        <v>1153.6300000000001</v>
      </c>
      <c r="M433" s="79">
        <v>1139.8499999999999</v>
      </c>
    </row>
    <row r="434" spans="1:13" x14ac:dyDescent="0.25">
      <c r="A434" s="9" t="s">
        <v>171</v>
      </c>
      <c r="B434" s="9" t="s">
        <v>471</v>
      </c>
      <c r="C434" s="9" t="s">
        <v>472</v>
      </c>
      <c r="D434" s="9" t="s">
        <v>582</v>
      </c>
      <c r="E434" s="9" t="s">
        <v>583</v>
      </c>
      <c r="F434" s="77">
        <v>56.875</v>
      </c>
      <c r="G434" s="77">
        <v>56.124000000000002</v>
      </c>
      <c r="H434" s="77">
        <v>56.875</v>
      </c>
      <c r="I434" s="77">
        <v>54.106000000000002</v>
      </c>
      <c r="J434" s="77">
        <v>52.805</v>
      </c>
      <c r="K434" s="77">
        <v>51.470999999999997</v>
      </c>
      <c r="L434" s="77">
        <v>50.100999999999999</v>
      </c>
      <c r="M434" s="77">
        <v>48.697000000000003</v>
      </c>
    </row>
    <row r="435" spans="1:13" x14ac:dyDescent="0.25">
      <c r="A435" s="9" t="s">
        <v>171</v>
      </c>
      <c r="B435" s="9" t="s">
        <v>473</v>
      </c>
      <c r="C435" s="9" t="s">
        <v>474</v>
      </c>
      <c r="D435" s="9" t="s">
        <v>582</v>
      </c>
      <c r="E435" s="9" t="s">
        <v>583</v>
      </c>
      <c r="F435" s="77">
        <v>50.618000000000002</v>
      </c>
      <c r="G435" s="77">
        <v>53.512</v>
      </c>
      <c r="H435" s="77">
        <v>50.619</v>
      </c>
      <c r="I435" s="77">
        <v>55.469000000000001</v>
      </c>
      <c r="J435" s="77">
        <v>57.841999999999999</v>
      </c>
      <c r="K435" s="77">
        <v>60.253</v>
      </c>
      <c r="L435" s="77">
        <v>62.698999999999998</v>
      </c>
      <c r="M435" s="77">
        <v>65.182000000000002</v>
      </c>
    </row>
    <row r="436" spans="1:13" x14ac:dyDescent="0.25">
      <c r="A436" s="9" t="s">
        <v>171</v>
      </c>
      <c r="B436" s="9" t="s">
        <v>475</v>
      </c>
      <c r="C436" s="9" t="s">
        <v>476</v>
      </c>
      <c r="D436" s="9" t="s">
        <v>582</v>
      </c>
      <c r="E436" s="9" t="s">
        <v>583</v>
      </c>
      <c r="F436" s="77">
        <v>61.195</v>
      </c>
      <c r="G436" s="77">
        <v>59.975999999999999</v>
      </c>
      <c r="H436" s="77">
        <v>61.195999999999998</v>
      </c>
      <c r="I436" s="77">
        <v>55.463000000000001</v>
      </c>
      <c r="J436" s="77">
        <v>53.469000000000001</v>
      </c>
      <c r="K436" s="77">
        <v>51.463999999999999</v>
      </c>
      <c r="L436" s="77">
        <v>49.447000000000003</v>
      </c>
      <c r="M436" s="77">
        <v>47.42</v>
      </c>
    </row>
    <row r="437" spans="1:13" x14ac:dyDescent="0.25">
      <c r="A437" s="9" t="s">
        <v>171</v>
      </c>
      <c r="B437" s="9" t="s">
        <v>477</v>
      </c>
      <c r="C437" s="9" t="s">
        <v>478</v>
      </c>
      <c r="D437" s="9" t="s">
        <v>582</v>
      </c>
      <c r="E437" s="9" t="s">
        <v>583</v>
      </c>
      <c r="F437" s="77">
        <v>49.462000000000003</v>
      </c>
      <c r="G437" s="77">
        <v>53.079000000000001</v>
      </c>
      <c r="H437" s="77">
        <v>49.462000000000003</v>
      </c>
      <c r="I437" s="77">
        <v>56.42</v>
      </c>
      <c r="J437" s="77">
        <v>58.713999999999999</v>
      </c>
      <c r="K437" s="77">
        <v>61.018999999999998</v>
      </c>
      <c r="L437" s="77">
        <v>63.335999999999999</v>
      </c>
      <c r="M437" s="77">
        <v>65.665000000000006</v>
      </c>
    </row>
    <row r="438" spans="1:13" x14ac:dyDescent="0.25">
      <c r="A438" s="9" t="s">
        <v>171</v>
      </c>
      <c r="B438" s="9" t="s">
        <v>479</v>
      </c>
      <c r="C438" s="9" t="s">
        <v>480</v>
      </c>
      <c r="D438" s="9" t="s">
        <v>582</v>
      </c>
      <c r="E438" s="9" t="s">
        <v>583</v>
      </c>
      <c r="F438" s="77">
        <v>911.17700000000002</v>
      </c>
      <c r="G438" s="77">
        <v>882.78399999999999</v>
      </c>
      <c r="H438" s="77">
        <v>831.178</v>
      </c>
      <c r="I438" s="77">
        <v>800.98299999999995</v>
      </c>
      <c r="J438" s="77">
        <v>770.399</v>
      </c>
      <c r="K438" s="77">
        <v>742.52700000000004</v>
      </c>
      <c r="L438" s="77">
        <v>717.14400000000001</v>
      </c>
      <c r="M438" s="77">
        <v>694.04399999999998</v>
      </c>
    </row>
    <row r="439" spans="1:13" x14ac:dyDescent="0.25">
      <c r="A439" s="9" t="s">
        <v>171</v>
      </c>
      <c r="B439" s="9" t="s">
        <v>481</v>
      </c>
      <c r="C439" s="9" t="s">
        <v>482</v>
      </c>
      <c r="D439" s="9" t="s">
        <v>582</v>
      </c>
      <c r="E439" s="9" t="s">
        <v>583</v>
      </c>
      <c r="F439" s="77">
        <v>1035.4290000000001</v>
      </c>
      <c r="G439" s="77">
        <v>1072.3630000000001</v>
      </c>
      <c r="H439" s="77">
        <v>1145.43</v>
      </c>
      <c r="I439" s="77">
        <v>1196.3489999999999</v>
      </c>
      <c r="J439" s="77">
        <v>1246.4849999999999</v>
      </c>
      <c r="K439" s="77">
        <v>1294.0050000000001</v>
      </c>
      <c r="L439" s="77">
        <v>1339.001</v>
      </c>
      <c r="M439" s="77">
        <v>1381.7560000000001</v>
      </c>
    </row>
    <row r="440" spans="1:13" x14ac:dyDescent="0.25">
      <c r="A440" s="9" t="s">
        <v>171</v>
      </c>
      <c r="B440" s="9" t="s">
        <v>611</v>
      </c>
      <c r="C440" s="9" t="s">
        <v>612</v>
      </c>
      <c r="D440" s="9" t="s">
        <v>613</v>
      </c>
      <c r="E440" s="9" t="s">
        <v>583</v>
      </c>
      <c r="F440" s="9"/>
      <c r="G440" s="9"/>
      <c r="H440" s="9"/>
      <c r="I440" s="9"/>
      <c r="J440" s="9"/>
      <c r="K440" s="9"/>
      <c r="L440" s="9"/>
      <c r="M440" s="9"/>
    </row>
    <row r="441" spans="1:13" x14ac:dyDescent="0.25">
      <c r="A441" s="9" t="s">
        <v>171</v>
      </c>
      <c r="B441" s="9" t="s">
        <v>483</v>
      </c>
      <c r="C441" s="9" t="s">
        <v>484</v>
      </c>
      <c r="D441" s="9" t="s">
        <v>582</v>
      </c>
      <c r="E441" s="9" t="s">
        <v>583</v>
      </c>
      <c r="F441" s="77">
        <v>2305.3180000000002</v>
      </c>
      <c r="G441" s="77">
        <v>2311.35228615813</v>
      </c>
      <c r="H441" s="77">
        <v>2325.4213540903602</v>
      </c>
      <c r="I441" s="77">
        <v>2347.4077730576801</v>
      </c>
      <c r="J441" s="77">
        <v>2367.7925834623502</v>
      </c>
      <c r="K441" s="77">
        <v>2388.2779908109001</v>
      </c>
      <c r="L441" s="77">
        <v>2408.72737654704</v>
      </c>
      <c r="M441" s="77">
        <v>2429.2194492581002</v>
      </c>
    </row>
    <row r="442" spans="1:13" x14ac:dyDescent="0.25">
      <c r="A442" s="9" t="s">
        <v>171</v>
      </c>
      <c r="B442" s="9" t="s">
        <v>485</v>
      </c>
      <c r="C442" s="9" t="s">
        <v>486</v>
      </c>
      <c r="D442" s="9" t="s">
        <v>504</v>
      </c>
      <c r="E442" s="9" t="s">
        <v>583</v>
      </c>
      <c r="F442" s="80">
        <v>31693</v>
      </c>
      <c r="G442" s="80">
        <v>31793</v>
      </c>
      <c r="H442" s="80">
        <v>31893</v>
      </c>
      <c r="I442" s="80">
        <v>32002</v>
      </c>
      <c r="J442" s="80">
        <v>32111</v>
      </c>
      <c r="K442" s="80">
        <v>32219</v>
      </c>
      <c r="L442" s="80">
        <v>32328</v>
      </c>
      <c r="M442" s="80">
        <v>32436</v>
      </c>
    </row>
    <row r="443" spans="1:13" x14ac:dyDescent="0.25">
      <c r="A443" s="9" t="s">
        <v>171</v>
      </c>
      <c r="B443" s="9" t="s">
        <v>614</v>
      </c>
      <c r="C443" s="9" t="s">
        <v>615</v>
      </c>
      <c r="D443" s="9" t="s">
        <v>613</v>
      </c>
      <c r="E443" s="9" t="s">
        <v>583</v>
      </c>
      <c r="F443" s="9"/>
      <c r="G443" s="9"/>
      <c r="H443" s="9"/>
      <c r="I443" s="9"/>
      <c r="J443" s="9"/>
      <c r="K443" s="9"/>
      <c r="L443" s="9"/>
      <c r="M443" s="9"/>
    </row>
    <row r="444" spans="1:13" x14ac:dyDescent="0.25">
      <c r="A444" s="9" t="s">
        <v>171</v>
      </c>
      <c r="B444" s="9" t="s">
        <v>487</v>
      </c>
      <c r="C444" s="9" t="s">
        <v>488</v>
      </c>
      <c r="D444" s="9" t="s">
        <v>582</v>
      </c>
      <c r="E444" s="9" t="s">
        <v>583</v>
      </c>
      <c r="F444" s="77"/>
      <c r="G444" s="77"/>
      <c r="H444" s="77"/>
      <c r="I444" s="77"/>
      <c r="J444" s="77"/>
      <c r="K444" s="77"/>
      <c r="L444" s="77"/>
      <c r="M444" s="77"/>
    </row>
    <row r="445" spans="1:13" x14ac:dyDescent="0.25">
      <c r="A445" s="9" t="s">
        <v>171</v>
      </c>
      <c r="B445" s="9" t="s">
        <v>489</v>
      </c>
      <c r="C445" s="9" t="s">
        <v>490</v>
      </c>
      <c r="D445" s="9" t="s">
        <v>504</v>
      </c>
      <c r="E445" s="9" t="s">
        <v>583</v>
      </c>
      <c r="F445" s="80"/>
      <c r="G445" s="80"/>
      <c r="H445" s="80"/>
      <c r="I445" s="80"/>
      <c r="J445" s="80"/>
      <c r="K445" s="80"/>
      <c r="L445" s="80"/>
      <c r="M445" s="8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zoomScaleNormal="100" workbookViewId="0">
      <pane ySplit="1" topLeftCell="A2" activePane="bottomLeft" state="frozen"/>
      <selection pane="bottomLeft" activeCell="A2" sqref="A2"/>
    </sheetView>
  </sheetViews>
  <sheetFormatPr defaultRowHeight="13.2" x14ac:dyDescent="0.25"/>
  <cols>
    <col min="1" max="1" width="2.77734375" customWidth="1"/>
    <col min="2" max="2" width="20.109375" bestFit="1" customWidth="1"/>
    <col min="3" max="3" width="26.77734375" bestFit="1" customWidth="1"/>
    <col min="4" max="4" width="134.109375" bestFit="1" customWidth="1"/>
  </cols>
  <sheetData>
    <row r="1" spans="1:14" ht="30" x14ac:dyDescent="0.5">
      <c r="A1" s="3" t="s">
        <v>101</v>
      </c>
      <c r="B1" s="3"/>
      <c r="C1" s="3"/>
      <c r="D1" s="3"/>
      <c r="E1" s="3"/>
      <c r="F1" s="3"/>
      <c r="G1" s="3"/>
      <c r="H1" s="3"/>
      <c r="I1" s="3"/>
      <c r="J1" s="3"/>
      <c r="K1" s="3"/>
      <c r="L1" s="3"/>
      <c r="M1" s="3"/>
      <c r="N1" s="3"/>
    </row>
    <row r="3" spans="1:14" ht="13.8" x14ac:dyDescent="0.3">
      <c r="A3" s="8" t="s">
        <v>102</v>
      </c>
      <c r="B3" s="8"/>
      <c r="C3" s="8"/>
      <c r="D3" s="8"/>
      <c r="E3" s="8"/>
      <c r="F3" s="8"/>
      <c r="G3" s="8"/>
      <c r="H3" s="8"/>
      <c r="I3" s="8"/>
      <c r="J3" s="8"/>
      <c r="K3" s="8"/>
      <c r="L3" s="8"/>
      <c r="M3" s="8"/>
      <c r="N3" s="8"/>
    </row>
    <row r="5" spans="1:14" ht="15" x14ac:dyDescent="0.35">
      <c r="A5" s="1" t="s">
        <v>103</v>
      </c>
      <c r="B5" s="9"/>
      <c r="C5" s="9"/>
      <c r="D5" s="9"/>
      <c r="E5" s="9"/>
      <c r="F5" s="9"/>
      <c r="G5" s="9"/>
      <c r="H5" s="9"/>
      <c r="I5" s="9"/>
      <c r="J5" s="9"/>
      <c r="K5" s="9"/>
      <c r="L5" s="9"/>
      <c r="M5" s="9"/>
      <c r="N5" s="9"/>
    </row>
    <row r="7" spans="1:14" x14ac:dyDescent="0.25">
      <c r="A7" s="9"/>
      <c r="B7" s="76" t="s">
        <v>104</v>
      </c>
      <c r="C7" s="76" t="s">
        <v>105</v>
      </c>
      <c r="D7" s="76" t="s">
        <v>106</v>
      </c>
      <c r="E7" s="9"/>
      <c r="F7" s="9"/>
      <c r="G7" s="9"/>
      <c r="H7" s="9"/>
      <c r="I7" s="9"/>
      <c r="J7" s="9"/>
      <c r="K7" s="9"/>
      <c r="L7" s="9"/>
      <c r="M7" s="9"/>
      <c r="N7" s="9"/>
    </row>
    <row r="8" spans="1:14" x14ac:dyDescent="0.25">
      <c r="A8" s="9"/>
      <c r="B8" s="9" t="s">
        <v>100</v>
      </c>
      <c r="C8" s="9" t="s">
        <v>107</v>
      </c>
      <c r="D8" s="9" t="s">
        <v>108</v>
      </c>
      <c r="E8" s="9"/>
      <c r="F8" s="9"/>
      <c r="G8" s="9"/>
      <c r="H8" s="9"/>
      <c r="I8" s="9"/>
      <c r="J8" s="9"/>
      <c r="K8" s="9"/>
      <c r="L8" s="9"/>
      <c r="M8" s="9"/>
      <c r="N8" s="9"/>
    </row>
    <row r="9" spans="1:14" x14ac:dyDescent="0.25">
      <c r="A9" s="9"/>
      <c r="B9" s="142" t="s">
        <v>109</v>
      </c>
      <c r="C9" s="125" t="s">
        <v>110</v>
      </c>
      <c r="D9" s="125" t="s">
        <v>111</v>
      </c>
      <c r="E9" s="9"/>
      <c r="F9" s="9"/>
      <c r="G9" s="9"/>
      <c r="H9" s="9"/>
      <c r="I9" s="9"/>
      <c r="J9" s="9"/>
      <c r="K9" s="9"/>
      <c r="L9" s="9"/>
      <c r="M9" s="9"/>
      <c r="N9" s="9"/>
    </row>
    <row r="10" spans="1:14" x14ac:dyDescent="0.25">
      <c r="A10" s="9"/>
      <c r="B10" s="142"/>
      <c r="C10" s="125" t="s">
        <v>112</v>
      </c>
      <c r="D10" s="125" t="s">
        <v>113</v>
      </c>
      <c r="E10" s="9"/>
      <c r="F10" s="9"/>
      <c r="G10" s="9"/>
      <c r="H10" s="9"/>
      <c r="I10" s="9"/>
      <c r="J10" s="9"/>
      <c r="K10" s="9"/>
      <c r="L10" s="9"/>
      <c r="M10" s="9"/>
      <c r="N10" s="9"/>
    </row>
    <row r="11" spans="1:14" x14ac:dyDescent="0.25">
      <c r="A11" s="9"/>
      <c r="B11" s="143" t="s">
        <v>114</v>
      </c>
      <c r="C11" s="9" t="s">
        <v>115</v>
      </c>
      <c r="D11" s="143" t="s">
        <v>116</v>
      </c>
      <c r="E11" s="9"/>
      <c r="F11" s="9"/>
      <c r="G11" s="9"/>
      <c r="H11" s="9"/>
      <c r="I11" s="9"/>
      <c r="J11" s="9"/>
      <c r="K11" s="9"/>
      <c r="L11" s="9"/>
      <c r="M11" s="9"/>
      <c r="N11" s="9"/>
    </row>
    <row r="12" spans="1:14" x14ac:dyDescent="0.25">
      <c r="A12" s="9"/>
      <c r="B12" s="143"/>
      <c r="C12" s="9" t="s">
        <v>117</v>
      </c>
      <c r="D12" s="143"/>
      <c r="E12" s="9"/>
      <c r="F12" s="9"/>
      <c r="G12" s="9"/>
      <c r="H12" s="9"/>
      <c r="I12" s="9"/>
      <c r="J12" s="9"/>
      <c r="K12" s="9"/>
      <c r="L12" s="9"/>
      <c r="M12" s="9"/>
      <c r="N12" s="9"/>
    </row>
    <row r="13" spans="1:14" x14ac:dyDescent="0.25">
      <c r="A13" s="9"/>
      <c r="B13" s="143"/>
      <c r="C13" s="9" t="s">
        <v>118</v>
      </c>
      <c r="D13" s="143"/>
      <c r="E13" s="9"/>
      <c r="F13" s="9"/>
      <c r="G13" s="9"/>
      <c r="H13" s="9"/>
      <c r="I13" s="9"/>
      <c r="J13" s="9"/>
      <c r="K13" s="9"/>
      <c r="L13" s="9"/>
      <c r="M13" s="9"/>
      <c r="N13" s="9"/>
    </row>
    <row r="14" spans="1:14" x14ac:dyDescent="0.25">
      <c r="A14" s="9"/>
      <c r="B14" s="143"/>
      <c r="C14" s="9" t="s">
        <v>119</v>
      </c>
      <c r="D14" s="143"/>
      <c r="E14" s="9"/>
      <c r="F14" s="9"/>
      <c r="G14" s="9"/>
      <c r="H14" s="9"/>
      <c r="I14" s="9"/>
      <c r="J14" s="9"/>
      <c r="K14" s="9"/>
      <c r="L14" s="9"/>
      <c r="M14" s="9"/>
      <c r="N14" s="9"/>
    </row>
    <row r="15" spans="1:14" x14ac:dyDescent="0.25">
      <c r="A15" s="9"/>
      <c r="B15" s="143"/>
      <c r="C15" s="9" t="s">
        <v>120</v>
      </c>
      <c r="D15" s="143"/>
      <c r="E15" s="9"/>
      <c r="F15" s="9"/>
      <c r="G15" s="9"/>
      <c r="H15" s="9"/>
      <c r="I15" s="9"/>
      <c r="J15" s="9"/>
      <c r="K15" s="9"/>
      <c r="L15" s="9"/>
      <c r="M15" s="9"/>
      <c r="N15" s="9"/>
    </row>
    <row r="16" spans="1:14" x14ac:dyDescent="0.25">
      <c r="A16" s="9"/>
      <c r="B16" s="143"/>
      <c r="C16" s="9" t="s">
        <v>121</v>
      </c>
      <c r="D16" s="9" t="s">
        <v>122</v>
      </c>
      <c r="E16" s="9"/>
      <c r="F16" s="9"/>
      <c r="G16" s="9"/>
      <c r="H16" s="9"/>
      <c r="I16" s="9"/>
      <c r="J16" s="9"/>
      <c r="K16" s="9"/>
      <c r="L16" s="9"/>
      <c r="M16" s="9"/>
      <c r="N16" s="9"/>
    </row>
    <row r="17" spans="1:14" x14ac:dyDescent="0.25">
      <c r="A17" s="9"/>
      <c r="B17" s="142" t="s">
        <v>46</v>
      </c>
      <c r="C17" s="125" t="s">
        <v>123</v>
      </c>
      <c r="D17" s="125" t="s">
        <v>124</v>
      </c>
      <c r="E17" s="9"/>
      <c r="F17" s="9"/>
      <c r="G17" s="9"/>
      <c r="H17" s="9"/>
      <c r="I17" s="9"/>
      <c r="J17" s="9"/>
      <c r="K17" s="9"/>
      <c r="L17" s="9"/>
      <c r="M17" s="9"/>
      <c r="N17" s="9"/>
    </row>
    <row r="18" spans="1:14" x14ac:dyDescent="0.25">
      <c r="A18" s="9"/>
      <c r="B18" s="142"/>
      <c r="C18" s="125" t="s">
        <v>125</v>
      </c>
      <c r="D18" s="125" t="s">
        <v>126</v>
      </c>
      <c r="E18" s="9"/>
      <c r="F18" s="9"/>
      <c r="G18" s="9"/>
      <c r="H18" s="9"/>
      <c r="I18" s="9"/>
      <c r="J18" s="9"/>
      <c r="K18" s="9"/>
      <c r="L18" s="9"/>
      <c r="M18" s="9"/>
      <c r="N18" s="9"/>
    </row>
    <row r="19" spans="1:14" x14ac:dyDescent="0.25">
      <c r="A19" s="9"/>
      <c r="B19" s="142"/>
      <c r="C19" s="125" t="s">
        <v>127</v>
      </c>
      <c r="D19" s="125" t="s">
        <v>128</v>
      </c>
      <c r="E19" s="9"/>
      <c r="F19" s="9"/>
      <c r="G19" s="9"/>
      <c r="H19" s="9"/>
      <c r="I19" s="9"/>
      <c r="J19" s="9"/>
      <c r="K19" s="9"/>
      <c r="L19" s="9"/>
      <c r="M19" s="9"/>
      <c r="N19" s="9"/>
    </row>
    <row r="20" spans="1:14" x14ac:dyDescent="0.25">
      <c r="A20" s="9"/>
      <c r="B20" s="142"/>
      <c r="C20" s="125" t="s">
        <v>129</v>
      </c>
      <c r="D20" s="125" t="s">
        <v>130</v>
      </c>
      <c r="E20" s="9"/>
      <c r="F20" s="9"/>
      <c r="G20" s="9"/>
      <c r="H20" s="9"/>
      <c r="I20" s="9"/>
      <c r="J20" s="9"/>
      <c r="K20" s="9"/>
      <c r="L20" s="9"/>
      <c r="M20" s="9"/>
      <c r="N20" s="9"/>
    </row>
    <row r="21" spans="1:14" x14ac:dyDescent="0.25">
      <c r="A21" s="9"/>
      <c r="B21" s="142"/>
      <c r="C21" s="125" t="s">
        <v>131</v>
      </c>
      <c r="D21" s="125" t="s">
        <v>132</v>
      </c>
      <c r="E21" s="9"/>
      <c r="F21" s="9"/>
      <c r="G21" s="9"/>
      <c r="H21" s="9"/>
      <c r="I21" s="9"/>
      <c r="J21" s="9"/>
      <c r="K21" s="9"/>
      <c r="L21" s="9"/>
      <c r="M21" s="9"/>
      <c r="N21" s="9"/>
    </row>
    <row r="22" spans="1:14" x14ac:dyDescent="0.25">
      <c r="A22" s="9"/>
      <c r="B22" s="142"/>
      <c r="C22" s="125" t="s">
        <v>133</v>
      </c>
      <c r="D22" s="125" t="s">
        <v>134</v>
      </c>
      <c r="E22" s="9"/>
      <c r="F22" s="9"/>
      <c r="G22" s="9"/>
      <c r="H22" s="9"/>
      <c r="I22" s="9"/>
      <c r="J22" s="9"/>
      <c r="K22" s="9"/>
      <c r="L22" s="9"/>
      <c r="M22" s="9"/>
      <c r="N22" s="9"/>
    </row>
    <row r="23" spans="1:14" x14ac:dyDescent="0.25">
      <c r="A23" s="9"/>
      <c r="B23" s="142"/>
      <c r="C23" s="125" t="s">
        <v>135</v>
      </c>
      <c r="D23" s="125" t="s">
        <v>136</v>
      </c>
      <c r="E23" s="9"/>
      <c r="F23" s="9"/>
      <c r="G23" s="9"/>
      <c r="H23" s="9"/>
      <c r="I23" s="9"/>
      <c r="J23" s="9"/>
      <c r="K23" s="9"/>
      <c r="L23" s="9"/>
      <c r="M23" s="9"/>
      <c r="N23" s="9"/>
    </row>
    <row r="24" spans="1:14" x14ac:dyDescent="0.25">
      <c r="A24" s="9"/>
      <c r="B24" s="142"/>
      <c r="C24" s="125" t="s">
        <v>137</v>
      </c>
      <c r="D24" s="125" t="s">
        <v>138</v>
      </c>
      <c r="E24" s="9"/>
      <c r="F24" s="9"/>
      <c r="G24" s="9"/>
      <c r="H24" s="9"/>
      <c r="I24" s="9"/>
      <c r="J24" s="9"/>
      <c r="K24" s="9"/>
      <c r="L24" s="9"/>
      <c r="M24" s="9"/>
      <c r="N24" s="9"/>
    </row>
    <row r="25" spans="1:14" x14ac:dyDescent="0.25">
      <c r="A25" s="9"/>
      <c r="B25" s="142"/>
      <c r="C25" s="125" t="s">
        <v>139</v>
      </c>
      <c r="D25" s="125" t="s">
        <v>140</v>
      </c>
      <c r="E25" s="9"/>
      <c r="F25" s="9"/>
      <c r="G25" s="9"/>
      <c r="H25" s="9"/>
      <c r="I25" s="9"/>
      <c r="J25" s="9"/>
      <c r="K25" s="9"/>
      <c r="L25" s="9"/>
      <c r="M25" s="9"/>
      <c r="N25" s="9"/>
    </row>
    <row r="26" spans="1:14" x14ac:dyDescent="0.25">
      <c r="A26" s="9"/>
      <c r="B26" s="142"/>
      <c r="C26" s="125" t="s">
        <v>141</v>
      </c>
      <c r="D26" s="125" t="s">
        <v>142</v>
      </c>
      <c r="E26" s="9"/>
      <c r="F26" s="9"/>
      <c r="G26" s="9"/>
      <c r="H26" s="9"/>
      <c r="I26" s="9"/>
      <c r="J26" s="9"/>
      <c r="K26" s="9"/>
      <c r="L26" s="9"/>
      <c r="M26" s="9"/>
      <c r="N26" s="9"/>
    </row>
    <row r="28" spans="1:14" ht="13.8" x14ac:dyDescent="0.3">
      <c r="A28" s="10" t="s">
        <v>22</v>
      </c>
      <c r="B28" s="10"/>
      <c r="C28" s="10"/>
      <c r="D28" s="10"/>
      <c r="E28" s="10"/>
      <c r="F28" s="10"/>
      <c r="G28" s="10"/>
      <c r="H28" s="10"/>
      <c r="I28" s="10"/>
      <c r="J28" s="10"/>
      <c r="K28" s="10"/>
      <c r="L28" s="10"/>
      <c r="M28" s="10"/>
      <c r="N28" s="10"/>
    </row>
  </sheetData>
  <mergeCells count="4">
    <mergeCell ref="B9:B10"/>
    <mergeCell ref="B11:B16"/>
    <mergeCell ref="B17:B26"/>
    <mergeCell ref="D11:D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sheetPr>
  <dimension ref="A1"/>
  <sheetViews>
    <sheetView showGridLines="0" workbookViewId="0"/>
  </sheetViews>
  <sheetFormatPr defaultRowHeight="13.2" x14ac:dyDescent="0.25"/>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5B040"/>
  </sheetPr>
  <dimension ref="A1:AE181"/>
  <sheetViews>
    <sheetView zoomScaleNormal="100" workbookViewId="0">
      <pane ySplit="1" topLeftCell="A2" activePane="bottomLeft" state="frozen"/>
      <selection pane="bottomLeft" activeCell="A2" sqref="A2"/>
    </sheetView>
  </sheetViews>
  <sheetFormatPr defaultRowHeight="13.2" x14ac:dyDescent="0.25"/>
  <cols>
    <col min="1" max="2" width="2.77734375" customWidth="1"/>
    <col min="3" max="3" width="19.77734375" bestFit="1" customWidth="1"/>
    <col min="4" max="4" width="10.44140625" bestFit="1" customWidth="1"/>
    <col min="5" max="5" width="31" bestFit="1" customWidth="1"/>
    <col min="6" max="6" width="2.77734375" customWidth="1"/>
    <col min="7" max="11" width="17.21875" customWidth="1"/>
    <col min="12" max="12" width="2.77734375" style="9" customWidth="1"/>
    <col min="13" max="15" width="2.77734375" customWidth="1"/>
    <col min="16" max="16" width="16.109375" bestFit="1" customWidth="1"/>
    <col min="17" max="17" width="10.44140625" bestFit="1" customWidth="1"/>
    <col min="18" max="18" width="38.88671875" bestFit="1" customWidth="1"/>
    <col min="19" max="19" width="2.77734375" customWidth="1"/>
    <col min="20" max="24" width="16.21875" customWidth="1"/>
    <col min="25" max="26" width="2.77734375" style="9" customWidth="1"/>
    <col min="27" max="27" width="2.77734375" customWidth="1"/>
    <col min="28" max="28" width="24.77734375" bestFit="1" customWidth="1"/>
    <col min="29" max="29" width="28.21875" bestFit="1" customWidth="1"/>
  </cols>
  <sheetData>
    <row r="1" spans="1:31" ht="30" x14ac:dyDescent="0.5">
      <c r="A1" s="3" t="s">
        <v>143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31" x14ac:dyDescent="0.25">
      <c r="A2" s="9"/>
      <c r="B2" s="9"/>
      <c r="C2" s="9"/>
      <c r="D2" s="9"/>
      <c r="E2" s="9"/>
      <c r="F2" s="9"/>
      <c r="G2" s="9"/>
      <c r="H2" s="9"/>
      <c r="I2" s="9"/>
      <c r="J2" s="9"/>
      <c r="K2" s="9"/>
      <c r="M2" s="125"/>
      <c r="N2" s="9"/>
      <c r="O2" s="9"/>
      <c r="P2" s="9"/>
      <c r="Q2" s="9"/>
      <c r="R2" s="9"/>
      <c r="S2" s="9"/>
      <c r="T2" s="9"/>
      <c r="U2" s="9"/>
      <c r="V2" s="9"/>
      <c r="W2" s="9"/>
      <c r="X2" s="9"/>
      <c r="AA2" s="9"/>
      <c r="AB2" s="9"/>
      <c r="AC2" s="9"/>
      <c r="AD2" s="9"/>
      <c r="AE2" s="9"/>
    </row>
    <row r="3" spans="1:31" s="9" customFormat="1" x14ac:dyDescent="0.25">
      <c r="B3" s="4" t="s">
        <v>144</v>
      </c>
      <c r="M3" s="125"/>
    </row>
    <row r="4" spans="1:31" s="9" customFormat="1" x14ac:dyDescent="0.25">
      <c r="M4" s="125"/>
    </row>
    <row r="5" spans="1:31" ht="15" x14ac:dyDescent="0.35">
      <c r="A5" s="9"/>
      <c r="B5" s="9"/>
      <c r="C5" s="9"/>
      <c r="D5" s="9"/>
      <c r="E5" s="9"/>
      <c r="F5" s="9"/>
      <c r="G5" s="1" t="s">
        <v>145</v>
      </c>
      <c r="H5" s="9"/>
      <c r="I5" s="9"/>
      <c r="J5" s="9"/>
      <c r="K5" s="9"/>
      <c r="M5" s="125"/>
      <c r="N5" s="9"/>
      <c r="O5" s="9"/>
      <c r="P5" s="9"/>
      <c r="Q5" s="9"/>
      <c r="R5" s="1" t="s">
        <v>146</v>
      </c>
      <c r="S5" s="9"/>
      <c r="T5" s="9"/>
      <c r="U5" s="9"/>
      <c r="V5" s="9"/>
      <c r="W5" s="9"/>
      <c r="X5" s="9"/>
      <c r="AA5" s="9"/>
      <c r="AB5" s="9"/>
      <c r="AC5" s="9"/>
      <c r="AD5" s="9"/>
      <c r="AE5" s="9"/>
    </row>
    <row r="6" spans="1:31" x14ac:dyDescent="0.25">
      <c r="A6" s="9"/>
      <c r="B6" s="9"/>
      <c r="C6" s="9"/>
      <c r="D6" s="9"/>
      <c r="E6" s="9"/>
      <c r="F6" s="9"/>
      <c r="G6" s="9"/>
      <c r="H6" s="9"/>
      <c r="I6" s="9"/>
      <c r="J6" s="9"/>
      <c r="K6" s="9"/>
      <c r="M6" s="125"/>
      <c r="N6" s="9"/>
      <c r="O6" s="9"/>
      <c r="P6" s="9"/>
      <c r="Q6" s="9"/>
      <c r="R6" s="9"/>
      <c r="S6" s="9"/>
      <c r="T6" s="9"/>
      <c r="U6" s="9"/>
      <c r="V6" s="9"/>
      <c r="W6" s="9"/>
      <c r="X6" s="9"/>
      <c r="AA6" s="9"/>
      <c r="AB6" s="9"/>
      <c r="AC6" s="9"/>
      <c r="AD6" s="9"/>
      <c r="AE6" s="9"/>
    </row>
    <row r="7" spans="1:31" ht="13.8" x14ac:dyDescent="0.3">
      <c r="A7" s="8" t="s">
        <v>147</v>
      </c>
      <c r="B7" s="8"/>
      <c r="C7" s="8"/>
      <c r="D7" s="8"/>
      <c r="E7" s="8"/>
      <c r="F7" s="8"/>
      <c r="G7" s="8"/>
      <c r="H7" s="8"/>
      <c r="I7" s="8"/>
      <c r="J7" s="8"/>
      <c r="K7" s="8"/>
      <c r="L7" s="8"/>
      <c r="M7" s="8"/>
      <c r="N7" s="8"/>
      <c r="O7" s="8"/>
      <c r="P7" s="8"/>
      <c r="Q7" s="8"/>
      <c r="R7" s="8"/>
      <c r="S7" s="8"/>
      <c r="T7" s="8"/>
      <c r="U7" s="8"/>
      <c r="V7" s="8"/>
      <c r="W7" s="8"/>
      <c r="X7" s="8"/>
      <c r="Y7" s="8"/>
      <c r="Z7" s="8"/>
      <c r="AA7" s="8"/>
      <c r="AB7" s="8"/>
      <c r="AC7" s="8"/>
      <c r="AD7" s="8"/>
      <c r="AE7" s="8"/>
    </row>
    <row r="8" spans="1:31" x14ac:dyDescent="0.25">
      <c r="A8" s="9"/>
      <c r="B8" s="9"/>
      <c r="C8" s="9"/>
      <c r="D8" s="9"/>
      <c r="E8" s="9"/>
      <c r="F8" s="9"/>
      <c r="G8" s="9"/>
      <c r="H8" s="9"/>
      <c r="I8" s="9"/>
      <c r="J8" s="9"/>
      <c r="K8" s="9"/>
      <c r="M8" s="125"/>
      <c r="N8" s="9"/>
      <c r="O8" s="9"/>
      <c r="P8" s="9"/>
      <c r="Q8" s="9"/>
      <c r="R8" s="9"/>
      <c r="S8" s="9"/>
      <c r="T8" s="9"/>
      <c r="U8" s="9"/>
      <c r="V8" s="9"/>
      <c r="W8" s="9"/>
      <c r="X8" s="9"/>
      <c r="Z8" s="125"/>
      <c r="AA8" s="9"/>
      <c r="AB8" s="9"/>
      <c r="AC8" s="9"/>
      <c r="AD8" s="9"/>
      <c r="AE8" s="9"/>
    </row>
    <row r="9" spans="1:31" ht="15" x14ac:dyDescent="0.35">
      <c r="A9" s="9"/>
      <c r="B9" s="1" t="s">
        <v>6</v>
      </c>
      <c r="C9" s="9"/>
      <c r="D9" s="9"/>
      <c r="E9" s="9"/>
      <c r="F9" s="9"/>
      <c r="G9" s="9"/>
      <c r="H9" s="9"/>
      <c r="I9" s="9"/>
      <c r="J9" s="9"/>
      <c r="K9" s="9"/>
      <c r="M9" s="125"/>
      <c r="N9" s="9"/>
      <c r="O9" s="1" t="s">
        <v>6</v>
      </c>
      <c r="P9" s="9"/>
      <c r="Q9" s="9"/>
      <c r="R9" s="9"/>
      <c r="S9" s="9"/>
      <c r="T9" s="9"/>
      <c r="U9" s="9"/>
      <c r="V9" s="9"/>
      <c r="W9" s="9"/>
      <c r="X9" s="9"/>
      <c r="Z9" s="125"/>
      <c r="AA9" s="9"/>
      <c r="AB9" s="1" t="s">
        <v>148</v>
      </c>
      <c r="AC9" s="9"/>
      <c r="AD9" s="9"/>
      <c r="AE9" s="9"/>
    </row>
    <row r="10" spans="1:31" x14ac:dyDescent="0.25">
      <c r="A10" s="9"/>
      <c r="B10" s="9"/>
      <c r="C10" s="9"/>
      <c r="D10" s="9"/>
      <c r="E10" s="9"/>
      <c r="F10" s="9"/>
      <c r="G10" s="9"/>
      <c r="H10" s="9"/>
      <c r="I10" s="9"/>
      <c r="J10" s="9"/>
      <c r="K10" s="9"/>
      <c r="M10" s="125"/>
      <c r="N10" s="9"/>
      <c r="O10" s="9"/>
      <c r="P10" s="9"/>
      <c r="Q10" s="9"/>
      <c r="R10" s="9"/>
      <c r="S10" s="9"/>
      <c r="T10" s="9"/>
      <c r="U10" s="9"/>
      <c r="V10" s="9"/>
      <c r="W10" s="9"/>
      <c r="X10" s="9"/>
      <c r="Z10" s="125"/>
      <c r="AA10" s="9"/>
      <c r="AB10" s="9"/>
      <c r="AC10" s="9"/>
      <c r="AD10" s="9"/>
      <c r="AE10" s="9"/>
    </row>
    <row r="11" spans="1:31" x14ac:dyDescent="0.25">
      <c r="A11" s="9"/>
      <c r="B11" s="9"/>
      <c r="C11" s="9" t="s">
        <v>149</v>
      </c>
      <c r="D11" s="9" t="s">
        <v>150</v>
      </c>
      <c r="E11" s="21" t="s">
        <v>151</v>
      </c>
      <c r="F11" s="9"/>
      <c r="G11" s="9" t="s">
        <v>152</v>
      </c>
      <c r="H11" s="9" t="s">
        <v>153</v>
      </c>
      <c r="I11" s="9"/>
      <c r="J11" s="9"/>
      <c r="K11" s="9"/>
      <c r="M11" s="125"/>
      <c r="N11" s="9"/>
      <c r="O11" s="9"/>
      <c r="P11" s="9" t="s">
        <v>149</v>
      </c>
      <c r="Q11" s="9" t="s">
        <v>150</v>
      </c>
      <c r="R11" s="21" t="s">
        <v>151</v>
      </c>
      <c r="S11" s="9"/>
      <c r="T11" s="9" t="s">
        <v>152</v>
      </c>
      <c r="U11" s="9" t="s">
        <v>153</v>
      </c>
      <c r="V11" s="9"/>
      <c r="W11" s="9"/>
      <c r="X11" s="9"/>
      <c r="Z11" s="125"/>
      <c r="AA11" s="9"/>
      <c r="AB11" s="9"/>
      <c r="AC11" s="9" t="s">
        <v>154</v>
      </c>
      <c r="AD11" s="9" t="s">
        <v>155</v>
      </c>
      <c r="AE11" s="9"/>
    </row>
    <row r="12" spans="1:31" x14ac:dyDescent="0.25">
      <c r="A12" s="9"/>
      <c r="B12" s="9"/>
      <c r="C12" s="31" t="s">
        <v>156</v>
      </c>
      <c r="D12" s="31" t="s">
        <v>157</v>
      </c>
      <c r="E12" s="31" t="s">
        <v>158</v>
      </c>
      <c r="F12" s="9"/>
      <c r="G12" s="38">
        <f t="shared" ref="G12:G18" si="0">INDEX(Leakage_under,MATCH($C12,Leakage_ID,0))</f>
        <v>-0.78757340963826461</v>
      </c>
      <c r="H12" s="38">
        <f t="shared" ref="H12:H18" si="1">INDEX(Leakage_out,MATCH($C12,Leakage_ID,0))</f>
        <v>0.78757340963826461</v>
      </c>
      <c r="I12" s="9"/>
      <c r="J12" s="9"/>
      <c r="K12" s="9"/>
      <c r="M12" s="125"/>
      <c r="N12" s="9"/>
      <c r="O12" s="9"/>
      <c r="P12" s="31" t="s">
        <v>156</v>
      </c>
      <c r="Q12" s="31" t="s">
        <v>157</v>
      </c>
      <c r="R12" s="31" t="s">
        <v>159</v>
      </c>
      <c r="S12" s="9"/>
      <c r="T12" s="25">
        <f t="shared" ref="T12:U18" si="2">($AD12/1)*G12</f>
        <v>-1.4459847800958538</v>
      </c>
      <c r="U12" s="25">
        <f t="shared" si="2"/>
        <v>1.4459847800958538</v>
      </c>
      <c r="V12" s="9"/>
      <c r="W12" s="9"/>
      <c r="X12" s="9"/>
      <c r="Z12" s="125"/>
      <c r="AA12" s="9"/>
      <c r="AB12" s="31" t="s">
        <v>157</v>
      </c>
      <c r="AC12" s="83">
        <v>183.6</v>
      </c>
      <c r="AD12" s="9">
        <f>AC12*0.01</f>
        <v>1.8360000000000001</v>
      </c>
      <c r="AE12" s="9"/>
    </row>
    <row r="13" spans="1:31" x14ac:dyDescent="0.25">
      <c r="A13" s="9"/>
      <c r="B13" s="9"/>
      <c r="C13" s="31" t="s">
        <v>160</v>
      </c>
      <c r="D13" s="31" t="s">
        <v>161</v>
      </c>
      <c r="E13" s="31" t="s">
        <v>158</v>
      </c>
      <c r="F13" s="9"/>
      <c r="G13" s="38">
        <f t="shared" si="0"/>
        <v>-0.26645000000000002</v>
      </c>
      <c r="H13" s="38">
        <f t="shared" si="1"/>
        <v>0.26645000000000002</v>
      </c>
      <c r="I13" s="9"/>
      <c r="J13" s="9"/>
      <c r="K13" s="9"/>
      <c r="M13" s="125"/>
      <c r="N13" s="9"/>
      <c r="O13" s="9"/>
      <c r="P13" s="31" t="s">
        <v>160</v>
      </c>
      <c r="Q13" s="31" t="s">
        <v>161</v>
      </c>
      <c r="R13" s="31" t="s">
        <v>159</v>
      </c>
      <c r="S13" s="9"/>
      <c r="T13" s="25">
        <f t="shared" si="2"/>
        <v>-0.36024040000000002</v>
      </c>
      <c r="U13" s="25">
        <f t="shared" si="2"/>
        <v>0.36024040000000002</v>
      </c>
      <c r="V13" s="9"/>
      <c r="W13" s="9"/>
      <c r="X13" s="9"/>
      <c r="Z13" s="125"/>
      <c r="AA13" s="9"/>
      <c r="AB13" s="31" t="s">
        <v>161</v>
      </c>
      <c r="AC13" s="83">
        <v>135.19999999999999</v>
      </c>
      <c r="AD13" s="9">
        <f t="shared" ref="AD13:AD18" si="3">AC13*0.01</f>
        <v>1.3519999999999999</v>
      </c>
      <c r="AE13" s="9"/>
    </row>
    <row r="14" spans="1:31" x14ac:dyDescent="0.25">
      <c r="A14" s="9"/>
      <c r="B14" s="9"/>
      <c r="C14" s="31" t="s">
        <v>162</v>
      </c>
      <c r="D14" s="31" t="s">
        <v>163</v>
      </c>
      <c r="E14" s="31" t="s">
        <v>158</v>
      </c>
      <c r="F14" s="9"/>
      <c r="G14" s="38">
        <f t="shared" si="0"/>
        <v>-0.48801299999999997</v>
      </c>
      <c r="H14" s="38">
        <f t="shared" si="1"/>
        <v>0.48801299999999997</v>
      </c>
      <c r="I14" s="9"/>
      <c r="J14" s="9"/>
      <c r="K14" s="9"/>
      <c r="M14" s="125"/>
      <c r="N14" s="9"/>
      <c r="O14" s="9"/>
      <c r="P14" s="31" t="s">
        <v>162</v>
      </c>
      <c r="Q14" s="31" t="s">
        <v>163</v>
      </c>
      <c r="R14" s="31" t="s">
        <v>159</v>
      </c>
      <c r="S14" s="9"/>
      <c r="T14" s="25">
        <f t="shared" si="2"/>
        <v>-0.30256805999999997</v>
      </c>
      <c r="U14" s="25">
        <f t="shared" si="2"/>
        <v>0.30256805999999997</v>
      </c>
      <c r="V14" s="9"/>
      <c r="W14" s="9"/>
      <c r="X14" s="9"/>
      <c r="Z14" s="125"/>
      <c r="AA14" s="9"/>
      <c r="AB14" s="31" t="s">
        <v>163</v>
      </c>
      <c r="AC14" s="83">
        <v>62</v>
      </c>
      <c r="AD14" s="9">
        <f t="shared" si="3"/>
        <v>0.62</v>
      </c>
      <c r="AE14" s="9"/>
    </row>
    <row r="15" spans="1:31" x14ac:dyDescent="0.25">
      <c r="A15" s="9"/>
      <c r="B15" s="9"/>
      <c r="C15" s="31" t="s">
        <v>164</v>
      </c>
      <c r="D15" s="31" t="s">
        <v>165</v>
      </c>
      <c r="E15" s="31" t="s">
        <v>158</v>
      </c>
      <c r="F15" s="9"/>
      <c r="G15" s="38">
        <f t="shared" si="0"/>
        <v>-0.46390709093069077</v>
      </c>
      <c r="H15" s="38">
        <f t="shared" si="1"/>
        <v>0.46390709093069077</v>
      </c>
      <c r="I15" s="9"/>
      <c r="J15" s="9"/>
      <c r="K15" s="9"/>
      <c r="M15" s="125"/>
      <c r="N15" s="9"/>
      <c r="O15" s="9"/>
      <c r="P15" s="31" t="s">
        <v>164</v>
      </c>
      <c r="Q15" s="31" t="s">
        <v>165</v>
      </c>
      <c r="R15" s="31" t="s">
        <v>159</v>
      </c>
      <c r="S15" s="9"/>
      <c r="T15" s="25">
        <f t="shared" si="2"/>
        <v>-0.11180160891429648</v>
      </c>
      <c r="U15" s="25">
        <f t="shared" si="2"/>
        <v>0.11180160891429648</v>
      </c>
      <c r="V15" s="9"/>
      <c r="W15" s="9"/>
      <c r="X15" s="9"/>
      <c r="Z15" s="125"/>
      <c r="AA15" s="9"/>
      <c r="AB15" s="31" t="s">
        <v>165</v>
      </c>
      <c r="AC15" s="83">
        <v>24.1</v>
      </c>
      <c r="AD15" s="9">
        <f t="shared" si="3"/>
        <v>0.24100000000000002</v>
      </c>
      <c r="AE15" s="9"/>
    </row>
    <row r="16" spans="1:31" x14ac:dyDescent="0.25">
      <c r="A16" s="9"/>
      <c r="B16" s="9"/>
      <c r="C16" s="31" t="s">
        <v>166</v>
      </c>
      <c r="D16" s="31" t="s">
        <v>167</v>
      </c>
      <c r="E16" s="31" t="s">
        <v>158</v>
      </c>
      <c r="F16" s="9"/>
      <c r="G16" s="38">
        <f>INDEX(Leakage_under,MATCH($C16,Leakage_ID,0))</f>
        <v>-1.2305200000000001</v>
      </c>
      <c r="H16" s="38">
        <f t="shared" si="1"/>
        <v>0.74</v>
      </c>
      <c r="I16" s="9"/>
      <c r="J16" s="9"/>
      <c r="K16" s="9"/>
      <c r="M16" s="125"/>
      <c r="N16" s="9"/>
      <c r="O16" s="9"/>
      <c r="P16" s="31" t="s">
        <v>166</v>
      </c>
      <c r="Q16" s="31" t="s">
        <v>167</v>
      </c>
      <c r="R16" s="31" t="s">
        <v>159</v>
      </c>
      <c r="S16" s="9"/>
      <c r="T16" s="25">
        <f t="shared" si="2"/>
        <v>-1.4753934800000001</v>
      </c>
      <c r="U16" s="25">
        <f t="shared" si="2"/>
        <v>0.88726000000000005</v>
      </c>
      <c r="V16" s="9"/>
      <c r="W16" s="9"/>
      <c r="X16" s="9"/>
      <c r="Z16" s="125"/>
      <c r="AA16" s="9"/>
      <c r="AB16" s="31" t="s">
        <v>167</v>
      </c>
      <c r="AC16" s="83">
        <v>119.9</v>
      </c>
      <c r="AD16" s="9">
        <f t="shared" si="3"/>
        <v>1.1990000000000001</v>
      </c>
      <c r="AE16" s="9"/>
    </row>
    <row r="17" spans="2:31" x14ac:dyDescent="0.25">
      <c r="B17" s="9"/>
      <c r="C17" s="31" t="s">
        <v>168</v>
      </c>
      <c r="D17" s="31" t="s">
        <v>169</v>
      </c>
      <c r="E17" s="31" t="s">
        <v>158</v>
      </c>
      <c r="F17" s="9"/>
      <c r="G17" s="38">
        <f t="shared" si="0"/>
        <v>-0.47366871331516469</v>
      </c>
      <c r="H17" s="38">
        <f t="shared" si="1"/>
        <v>0.47366871331516469</v>
      </c>
      <c r="I17" s="9"/>
      <c r="J17" s="9"/>
      <c r="K17" s="9"/>
      <c r="M17" s="125"/>
      <c r="N17" s="9"/>
      <c r="O17" s="9"/>
      <c r="P17" s="31" t="s">
        <v>168</v>
      </c>
      <c r="Q17" s="31" t="s">
        <v>169</v>
      </c>
      <c r="R17" s="31" t="s">
        <v>159</v>
      </c>
      <c r="S17" s="9"/>
      <c r="T17" s="25">
        <f t="shared" si="2"/>
        <v>-0.37230360866571943</v>
      </c>
      <c r="U17" s="25">
        <f t="shared" si="2"/>
        <v>0.37230360866571943</v>
      </c>
      <c r="V17" s="9"/>
      <c r="W17" s="9"/>
      <c r="X17" s="9"/>
      <c r="Z17" s="125"/>
      <c r="AA17" s="9"/>
      <c r="AB17" s="31" t="s">
        <v>169</v>
      </c>
      <c r="AC17" s="83">
        <v>78.599999999999994</v>
      </c>
      <c r="AD17" s="9">
        <f t="shared" si="3"/>
        <v>0.78599999999999992</v>
      </c>
      <c r="AE17" s="9"/>
    </row>
    <row r="18" spans="2:31" x14ac:dyDescent="0.25">
      <c r="B18" s="9"/>
      <c r="C18" s="31" t="s">
        <v>170</v>
      </c>
      <c r="D18" s="31" t="s">
        <v>171</v>
      </c>
      <c r="E18" s="31" t="s">
        <v>158</v>
      </c>
      <c r="F18" s="9"/>
      <c r="G18" s="38">
        <f t="shared" si="0"/>
        <v>-0.70717085141332192</v>
      </c>
      <c r="H18" s="38">
        <f t="shared" si="1"/>
        <v>0.70717085141332192</v>
      </c>
      <c r="I18" s="9"/>
      <c r="J18" s="9"/>
      <c r="K18" s="9"/>
      <c r="M18" s="125"/>
      <c r="N18" s="9"/>
      <c r="O18" s="9"/>
      <c r="P18" s="31" t="s">
        <v>170</v>
      </c>
      <c r="Q18" s="31" t="s">
        <v>171</v>
      </c>
      <c r="R18" s="31" t="s">
        <v>159</v>
      </c>
      <c r="S18" s="9"/>
      <c r="T18" s="25">
        <f t="shared" si="2"/>
        <v>-2.0557456650585268</v>
      </c>
      <c r="U18" s="25">
        <f t="shared" si="2"/>
        <v>2.0557456650585268</v>
      </c>
      <c r="V18" s="9"/>
      <c r="W18" s="9"/>
      <c r="X18" s="9"/>
      <c r="Z18" s="125"/>
      <c r="AA18" s="9"/>
      <c r="AB18" s="31" t="s">
        <v>171</v>
      </c>
      <c r="AC18" s="83">
        <v>290.7</v>
      </c>
      <c r="AD18" s="9">
        <f t="shared" si="3"/>
        <v>2.907</v>
      </c>
      <c r="AE18" s="9"/>
    </row>
    <row r="19" spans="2:31" x14ac:dyDescent="0.25">
      <c r="B19" s="9"/>
      <c r="C19" s="9"/>
      <c r="D19" s="9"/>
      <c r="E19" s="9"/>
      <c r="F19" s="9"/>
      <c r="G19" s="9"/>
      <c r="H19" s="9"/>
      <c r="I19" s="9"/>
      <c r="J19" s="9"/>
      <c r="K19" s="9"/>
      <c r="M19" s="125"/>
      <c r="N19" s="9"/>
      <c r="O19" s="9"/>
      <c r="P19" s="9"/>
      <c r="Q19" s="9"/>
      <c r="R19" s="9"/>
      <c r="S19" s="9"/>
      <c r="T19" s="9"/>
      <c r="U19" s="9"/>
      <c r="V19" s="9"/>
      <c r="W19" s="9"/>
      <c r="X19" s="9"/>
      <c r="Z19" s="125"/>
      <c r="AA19" s="9"/>
      <c r="AB19" s="9"/>
      <c r="AC19" s="9"/>
      <c r="AD19" s="9"/>
      <c r="AE19" s="9"/>
    </row>
    <row r="20" spans="2:31" ht="15" x14ac:dyDescent="0.35">
      <c r="B20" s="51" t="s">
        <v>172</v>
      </c>
      <c r="C20" s="9"/>
      <c r="D20" s="9"/>
      <c r="E20" s="9"/>
      <c r="F20" s="9"/>
      <c r="G20" s="9"/>
      <c r="H20" s="9"/>
      <c r="I20" s="9"/>
      <c r="J20" s="9"/>
      <c r="K20" s="9"/>
      <c r="M20" s="125"/>
      <c r="N20" s="9"/>
      <c r="O20" s="51" t="s">
        <v>172</v>
      </c>
      <c r="P20" s="9"/>
      <c r="Q20" s="9"/>
      <c r="R20" s="9"/>
      <c r="S20" s="9"/>
      <c r="T20" s="9"/>
      <c r="U20" s="9"/>
      <c r="V20" s="9"/>
      <c r="W20" s="9"/>
      <c r="X20" s="9"/>
      <c r="Z20" s="125"/>
      <c r="AA20" s="9"/>
      <c r="AB20" s="102" t="s">
        <v>173</v>
      </c>
      <c r="AC20" s="9"/>
      <c r="AD20" s="9"/>
      <c r="AE20" s="9"/>
    </row>
    <row r="21" spans="2:31" x14ac:dyDescent="0.25">
      <c r="B21" s="9"/>
      <c r="C21" s="9"/>
      <c r="D21" s="9"/>
      <c r="E21" s="9"/>
      <c r="F21" s="9"/>
      <c r="G21" s="9"/>
      <c r="H21" s="9"/>
      <c r="I21" s="9"/>
      <c r="J21" s="9"/>
      <c r="K21" s="9"/>
      <c r="M21" s="125"/>
      <c r="N21" s="9"/>
      <c r="O21" s="9"/>
      <c r="P21" s="9"/>
      <c r="Q21" s="9"/>
      <c r="R21" s="9"/>
      <c r="S21" s="9"/>
      <c r="T21" s="9"/>
      <c r="U21" s="9"/>
      <c r="V21" s="9"/>
      <c r="W21" s="9"/>
      <c r="X21" s="9"/>
      <c r="Z21" s="125"/>
      <c r="AA21" s="9"/>
      <c r="AB21" s="9"/>
      <c r="AC21" s="9"/>
      <c r="AD21" s="9"/>
      <c r="AE21" s="9"/>
    </row>
    <row r="22" spans="2:31" x14ac:dyDescent="0.25">
      <c r="B22" s="9"/>
      <c r="C22" s="9" t="s">
        <v>149</v>
      </c>
      <c r="D22" s="9" t="s">
        <v>150</v>
      </c>
      <c r="E22" s="21" t="s">
        <v>151</v>
      </c>
      <c r="F22" s="9"/>
      <c r="G22" s="9" t="s">
        <v>174</v>
      </c>
      <c r="H22" s="9" t="s">
        <v>175</v>
      </c>
      <c r="I22" s="9" t="s">
        <v>176</v>
      </c>
      <c r="J22" s="9" t="s">
        <v>177</v>
      </c>
      <c r="K22" s="9" t="s">
        <v>178</v>
      </c>
      <c r="M22" s="125"/>
      <c r="N22" s="9"/>
      <c r="O22" s="9"/>
      <c r="P22" s="9" t="s">
        <v>149</v>
      </c>
      <c r="Q22" s="9" t="s">
        <v>150</v>
      </c>
      <c r="R22" s="21" t="s">
        <v>151</v>
      </c>
      <c r="S22" s="9"/>
      <c r="T22" s="9" t="s">
        <v>174</v>
      </c>
      <c r="U22" s="9" t="s">
        <v>175</v>
      </c>
      <c r="V22" s="9" t="s">
        <v>176</v>
      </c>
      <c r="W22" s="9" t="s">
        <v>177</v>
      </c>
      <c r="X22" s="9" t="s">
        <v>178</v>
      </c>
      <c r="Z22" s="125"/>
      <c r="AA22" s="9"/>
      <c r="AB22" s="9"/>
      <c r="AC22" s="9"/>
      <c r="AD22" s="9"/>
      <c r="AE22" s="9"/>
    </row>
    <row r="23" spans="2:31" x14ac:dyDescent="0.25">
      <c r="B23" s="9"/>
      <c r="C23" s="31" t="s">
        <v>156</v>
      </c>
      <c r="D23" s="31" t="s">
        <v>157</v>
      </c>
      <c r="E23" s="31" t="s">
        <v>179</v>
      </c>
      <c r="F23" s="9"/>
      <c r="G23" s="46">
        <f t="shared" ref="G23:K29" si="4">INDEX(collars_leakage,MATCH($C23,collar_company_leakage,0),MATCH(G$22,threshold_years_leakage,0))</f>
        <v>384.6082669065346</v>
      </c>
      <c r="H23" s="46">
        <f t="shared" si="4"/>
        <v>384.6082669065346</v>
      </c>
      <c r="I23" s="46">
        <f t="shared" si="4"/>
        <v>384.6082669065346</v>
      </c>
      <c r="J23" s="46">
        <f t="shared" si="4"/>
        <v>384.6082669065346</v>
      </c>
      <c r="K23" s="46">
        <f t="shared" si="4"/>
        <v>384.6082669065346</v>
      </c>
      <c r="L23" s="46"/>
      <c r="M23" s="125"/>
      <c r="N23" s="9"/>
      <c r="O23" s="9"/>
      <c r="P23" s="31" t="s">
        <v>156</v>
      </c>
      <c r="Q23" s="31" t="s">
        <v>157</v>
      </c>
      <c r="R23" s="31" t="s">
        <v>180</v>
      </c>
      <c r="S23" s="9"/>
      <c r="T23" s="25">
        <f t="shared" ref="T23:X29" si="5">((G23-$AC12)/$AC12)*hundred</f>
        <v>109.48162685541101</v>
      </c>
      <c r="U23" s="25">
        <f t="shared" si="5"/>
        <v>109.48162685541101</v>
      </c>
      <c r="V23" s="25">
        <f t="shared" si="5"/>
        <v>109.48162685541101</v>
      </c>
      <c r="W23" s="25">
        <f t="shared" si="5"/>
        <v>109.48162685541101</v>
      </c>
      <c r="X23" s="25">
        <f t="shared" si="5"/>
        <v>109.48162685541101</v>
      </c>
      <c r="Y23" s="25"/>
      <c r="Z23" s="126"/>
      <c r="AA23" s="9"/>
      <c r="AB23" s="9"/>
      <c r="AC23" s="9"/>
      <c r="AD23" s="9"/>
      <c r="AE23" s="9"/>
    </row>
    <row r="24" spans="2:31" x14ac:dyDescent="0.25">
      <c r="B24" s="9"/>
      <c r="C24" s="31" t="s">
        <v>160</v>
      </c>
      <c r="D24" s="31" t="s">
        <v>161</v>
      </c>
      <c r="E24" s="31" t="s">
        <v>179</v>
      </c>
      <c r="F24" s="9"/>
      <c r="G24" s="46">
        <f t="shared" si="4"/>
        <v>186.57761434904049</v>
      </c>
      <c r="H24" s="46">
        <f t="shared" si="4"/>
        <v>186.57761434904049</v>
      </c>
      <c r="I24" s="46">
        <f t="shared" si="4"/>
        <v>186.57761434904049</v>
      </c>
      <c r="J24" s="46">
        <f t="shared" si="4"/>
        <v>186.57761434904049</v>
      </c>
      <c r="K24" s="46">
        <f t="shared" si="4"/>
        <v>186.57761434904049</v>
      </c>
      <c r="L24" s="46"/>
      <c r="M24" s="125"/>
      <c r="N24" s="9"/>
      <c r="O24" s="9"/>
      <c r="P24" s="31" t="s">
        <v>160</v>
      </c>
      <c r="Q24" s="31" t="s">
        <v>161</v>
      </c>
      <c r="R24" s="31" t="s">
        <v>180</v>
      </c>
      <c r="S24" s="9"/>
      <c r="T24" s="25">
        <f t="shared" si="5"/>
        <v>38.001194045148303</v>
      </c>
      <c r="U24" s="25">
        <f t="shared" si="5"/>
        <v>38.001194045148303</v>
      </c>
      <c r="V24" s="25">
        <f t="shared" si="5"/>
        <v>38.001194045148303</v>
      </c>
      <c r="W24" s="25">
        <f t="shared" si="5"/>
        <v>38.001194045148303</v>
      </c>
      <c r="X24" s="25">
        <f t="shared" si="5"/>
        <v>38.001194045148303</v>
      </c>
      <c r="Y24" s="25"/>
      <c r="Z24" s="126"/>
      <c r="AA24" s="9"/>
      <c r="AB24" s="9"/>
      <c r="AC24" s="9"/>
      <c r="AD24" s="9"/>
      <c r="AE24" s="9"/>
    </row>
    <row r="25" spans="2:31" x14ac:dyDescent="0.25">
      <c r="B25" s="9"/>
      <c r="C25" s="31" t="s">
        <v>162</v>
      </c>
      <c r="D25" s="31" t="s">
        <v>163</v>
      </c>
      <c r="E25" s="31" t="s">
        <v>179</v>
      </c>
      <c r="F25" s="9"/>
      <c r="G25" s="46">
        <f t="shared" si="4"/>
        <v>109.90615346050808</v>
      </c>
      <c r="H25" s="46">
        <f t="shared" si="4"/>
        <v>109.90615346050808</v>
      </c>
      <c r="I25" s="46">
        <f t="shared" si="4"/>
        <v>109.90615346050808</v>
      </c>
      <c r="J25" s="46">
        <f t="shared" si="4"/>
        <v>109.90615346050808</v>
      </c>
      <c r="K25" s="46">
        <f t="shared" si="4"/>
        <v>109.90615346050808</v>
      </c>
      <c r="L25" s="46"/>
      <c r="M25" s="125"/>
      <c r="N25" s="9"/>
      <c r="O25" s="9"/>
      <c r="P25" s="31" t="s">
        <v>162</v>
      </c>
      <c r="Q25" s="31" t="s">
        <v>163</v>
      </c>
      <c r="R25" s="31" t="s">
        <v>180</v>
      </c>
      <c r="S25" s="9"/>
      <c r="T25" s="25">
        <f t="shared" si="5"/>
        <v>77.267989452432388</v>
      </c>
      <c r="U25" s="25">
        <f t="shared" si="5"/>
        <v>77.267989452432388</v>
      </c>
      <c r="V25" s="25">
        <f t="shared" si="5"/>
        <v>77.267989452432388</v>
      </c>
      <c r="W25" s="25">
        <f t="shared" si="5"/>
        <v>77.267989452432388</v>
      </c>
      <c r="X25" s="25">
        <f t="shared" si="5"/>
        <v>77.267989452432388</v>
      </c>
      <c r="Y25" s="25"/>
      <c r="Z25" s="126"/>
      <c r="AA25" s="9"/>
      <c r="AB25" s="9"/>
      <c r="AC25" s="9"/>
      <c r="AD25" s="9"/>
      <c r="AE25" s="9"/>
    </row>
    <row r="26" spans="2:31" x14ac:dyDescent="0.25">
      <c r="B26" s="9"/>
      <c r="C26" s="31" t="s">
        <v>164</v>
      </c>
      <c r="D26" s="31" t="s">
        <v>165</v>
      </c>
      <c r="E26" s="31" t="s">
        <v>179</v>
      </c>
      <c r="F26" s="9"/>
      <c r="G26" s="46">
        <f t="shared" si="4"/>
        <v>41.137285061242594</v>
      </c>
      <c r="H26" s="46">
        <f t="shared" si="4"/>
        <v>41.137285061242594</v>
      </c>
      <c r="I26" s="46">
        <f t="shared" si="4"/>
        <v>41.137285061242594</v>
      </c>
      <c r="J26" s="46">
        <f t="shared" si="4"/>
        <v>41.137285061242594</v>
      </c>
      <c r="K26" s="46">
        <f t="shared" si="4"/>
        <v>41.137285061242594</v>
      </c>
      <c r="L26" s="46"/>
      <c r="M26" s="125"/>
      <c r="N26" s="9"/>
      <c r="O26" s="9"/>
      <c r="P26" s="31" t="s">
        <v>164</v>
      </c>
      <c r="Q26" s="31" t="s">
        <v>165</v>
      </c>
      <c r="R26" s="31" t="s">
        <v>180</v>
      </c>
      <c r="S26" s="9"/>
      <c r="T26" s="25">
        <f t="shared" si="5"/>
        <v>70.694128884824025</v>
      </c>
      <c r="U26" s="25">
        <f t="shared" si="5"/>
        <v>70.694128884824025</v>
      </c>
      <c r="V26" s="25">
        <f t="shared" si="5"/>
        <v>70.694128884824025</v>
      </c>
      <c r="W26" s="25">
        <f t="shared" si="5"/>
        <v>70.694128884824025</v>
      </c>
      <c r="X26" s="25">
        <f t="shared" si="5"/>
        <v>70.694128884824025</v>
      </c>
      <c r="Y26" s="25"/>
      <c r="Z26" s="126"/>
      <c r="AA26" s="9"/>
      <c r="AB26" s="9"/>
      <c r="AC26" s="9"/>
      <c r="AD26" s="9"/>
      <c r="AE26" s="9"/>
    </row>
    <row r="27" spans="2:31" x14ac:dyDescent="0.25">
      <c r="B27" s="9"/>
      <c r="C27" s="31" t="s">
        <v>166</v>
      </c>
      <c r="D27" s="31" t="s">
        <v>167</v>
      </c>
      <c r="E27" s="31" t="s">
        <v>179</v>
      </c>
      <c r="F27" s="9"/>
      <c r="G27" s="46">
        <f>INDEX(collars_leakage,MATCH($C27,collar_company_leakage,0),MATCH(G$22,threshold_years_leakage,0))</f>
        <v>191.1</v>
      </c>
      <c r="H27" s="46">
        <f t="shared" si="4"/>
        <v>191.1</v>
      </c>
      <c r="I27" s="46">
        <f t="shared" si="4"/>
        <v>191.1</v>
      </c>
      <c r="J27" s="46">
        <f t="shared" si="4"/>
        <v>191.1</v>
      </c>
      <c r="K27" s="46">
        <f t="shared" si="4"/>
        <v>191.1</v>
      </c>
      <c r="L27" s="46"/>
      <c r="M27" s="125"/>
      <c r="N27" s="9"/>
      <c r="O27" s="9"/>
      <c r="P27" s="31" t="s">
        <v>166</v>
      </c>
      <c r="Q27" s="31" t="s">
        <v>167</v>
      </c>
      <c r="R27" s="31" t="s">
        <v>180</v>
      </c>
      <c r="S27" s="9"/>
      <c r="T27" s="25">
        <f t="shared" si="5"/>
        <v>59.382819015846522</v>
      </c>
      <c r="U27" s="25">
        <f t="shared" si="5"/>
        <v>59.382819015846522</v>
      </c>
      <c r="V27" s="25">
        <f t="shared" si="5"/>
        <v>59.382819015846522</v>
      </c>
      <c r="W27" s="25">
        <f t="shared" si="5"/>
        <v>59.382819015846522</v>
      </c>
      <c r="X27" s="25">
        <f t="shared" si="5"/>
        <v>59.382819015846522</v>
      </c>
      <c r="Y27" s="25"/>
      <c r="Z27" s="126"/>
      <c r="AA27" s="9"/>
      <c r="AB27" s="9"/>
      <c r="AC27" s="9"/>
      <c r="AD27" s="9"/>
      <c r="AE27" s="9"/>
    </row>
    <row r="28" spans="2:31" x14ac:dyDescent="0.25">
      <c r="B28" s="9"/>
      <c r="C28" s="31" t="s">
        <v>168</v>
      </c>
      <c r="D28" s="31" t="s">
        <v>169</v>
      </c>
      <c r="E28" s="31" t="s">
        <v>179</v>
      </c>
      <c r="F28" s="9"/>
      <c r="G28" s="46">
        <f t="shared" si="4"/>
        <v>114.29830135119637</v>
      </c>
      <c r="H28" s="46">
        <f t="shared" si="4"/>
        <v>114.29830135119637</v>
      </c>
      <c r="I28" s="46">
        <f t="shared" si="4"/>
        <v>114.29830135119637</v>
      </c>
      <c r="J28" s="46">
        <f t="shared" si="4"/>
        <v>114.29830135119637</v>
      </c>
      <c r="K28" s="46">
        <f t="shared" si="4"/>
        <v>114.29830135119637</v>
      </c>
      <c r="L28" s="46"/>
      <c r="M28" s="125"/>
      <c r="N28" s="9"/>
      <c r="O28" s="9"/>
      <c r="P28" s="31" t="s">
        <v>168</v>
      </c>
      <c r="Q28" s="31" t="s">
        <v>169</v>
      </c>
      <c r="R28" s="31" t="s">
        <v>180</v>
      </c>
      <c r="S28" s="9"/>
      <c r="T28" s="25">
        <f t="shared" si="5"/>
        <v>45.417686197450863</v>
      </c>
      <c r="U28" s="25">
        <f t="shared" si="5"/>
        <v>45.417686197450863</v>
      </c>
      <c r="V28" s="25">
        <f t="shared" si="5"/>
        <v>45.417686197450863</v>
      </c>
      <c r="W28" s="25">
        <f t="shared" si="5"/>
        <v>45.417686197450863</v>
      </c>
      <c r="X28" s="25">
        <f t="shared" si="5"/>
        <v>45.417686197450863</v>
      </c>
      <c r="Y28" s="25"/>
      <c r="Z28" s="126"/>
      <c r="AA28" s="9"/>
      <c r="AB28" s="9"/>
      <c r="AC28" s="9"/>
      <c r="AD28" s="9"/>
      <c r="AE28" s="9"/>
    </row>
    <row r="29" spans="2:31" x14ac:dyDescent="0.25">
      <c r="B29" s="9"/>
      <c r="C29" s="31" t="s">
        <v>170</v>
      </c>
      <c r="D29" s="31" t="s">
        <v>171</v>
      </c>
      <c r="E29" s="31" t="s">
        <v>179</v>
      </c>
      <c r="F29" s="9"/>
      <c r="G29" s="46">
        <f t="shared" si="4"/>
        <v>348.76805357173879</v>
      </c>
      <c r="H29" s="46">
        <f t="shared" si="4"/>
        <v>348.76805357173879</v>
      </c>
      <c r="I29" s="46">
        <f t="shared" si="4"/>
        <v>348.76805357173879</v>
      </c>
      <c r="J29" s="46">
        <f t="shared" si="4"/>
        <v>348.76805357173879</v>
      </c>
      <c r="K29" s="46">
        <f t="shared" si="4"/>
        <v>348.76805357173879</v>
      </c>
      <c r="L29" s="46"/>
      <c r="M29" s="125"/>
      <c r="N29" s="9"/>
      <c r="O29" s="9"/>
      <c r="P29" s="31" t="s">
        <v>170</v>
      </c>
      <c r="Q29" s="31" t="s">
        <v>171</v>
      </c>
      <c r="R29" s="31" t="s">
        <v>180</v>
      </c>
      <c r="S29" s="9"/>
      <c r="T29" s="25">
        <f t="shared" si="5"/>
        <v>19.975250626673137</v>
      </c>
      <c r="U29" s="25">
        <f t="shared" si="5"/>
        <v>19.975250626673137</v>
      </c>
      <c r="V29" s="25">
        <f t="shared" si="5"/>
        <v>19.975250626673137</v>
      </c>
      <c r="W29" s="25">
        <f t="shared" si="5"/>
        <v>19.975250626673137</v>
      </c>
      <c r="X29" s="25">
        <f t="shared" si="5"/>
        <v>19.975250626673137</v>
      </c>
      <c r="Y29" s="25"/>
      <c r="Z29" s="126"/>
      <c r="AA29" s="9"/>
      <c r="AB29" s="9"/>
      <c r="AC29" s="9"/>
      <c r="AD29" s="9"/>
      <c r="AE29" s="9"/>
    </row>
    <row r="30" spans="2:31" x14ac:dyDescent="0.25">
      <c r="B30" s="9"/>
      <c r="C30" s="9"/>
      <c r="D30" s="9"/>
      <c r="E30" s="9"/>
      <c r="F30" s="9"/>
      <c r="G30" s="9"/>
      <c r="H30" s="9"/>
      <c r="I30" s="9"/>
      <c r="J30" s="9"/>
      <c r="K30" s="9"/>
      <c r="M30" s="125"/>
      <c r="N30" s="9"/>
      <c r="O30" s="9"/>
      <c r="P30" s="9"/>
      <c r="Q30" s="9"/>
      <c r="R30" s="9"/>
      <c r="S30" s="9"/>
      <c r="T30" s="9"/>
      <c r="U30" s="9"/>
      <c r="V30" s="9"/>
      <c r="W30" s="9"/>
      <c r="X30" s="9"/>
      <c r="Z30" s="125"/>
      <c r="AA30" s="9"/>
      <c r="AB30" s="9"/>
      <c r="AC30" s="9"/>
      <c r="AD30" s="9"/>
      <c r="AE30" s="9"/>
    </row>
    <row r="31" spans="2:31" ht="15" x14ac:dyDescent="0.35">
      <c r="B31" s="51" t="s">
        <v>181</v>
      </c>
      <c r="C31" s="9"/>
      <c r="D31" s="9"/>
      <c r="E31" s="9"/>
      <c r="F31" s="9"/>
      <c r="G31" s="9"/>
      <c r="H31" s="9"/>
      <c r="I31" s="9"/>
      <c r="J31" s="9"/>
      <c r="K31" s="9"/>
      <c r="M31" s="125"/>
      <c r="N31" s="9"/>
      <c r="O31" s="51" t="s">
        <v>181</v>
      </c>
      <c r="P31" s="9"/>
      <c r="Q31" s="9"/>
      <c r="R31" s="9"/>
      <c r="S31" s="9"/>
      <c r="T31" s="9"/>
      <c r="U31" s="9"/>
      <c r="V31" s="9"/>
      <c r="W31" s="9"/>
      <c r="X31" s="9"/>
      <c r="Z31" s="125"/>
      <c r="AA31" s="9"/>
      <c r="AB31" s="9"/>
      <c r="AC31" s="9"/>
      <c r="AD31" s="9"/>
      <c r="AE31" s="9"/>
    </row>
    <row r="32" spans="2:31" x14ac:dyDescent="0.25">
      <c r="B32" s="9"/>
      <c r="C32" s="9"/>
      <c r="D32" s="9"/>
      <c r="E32" s="9"/>
      <c r="F32" s="9"/>
      <c r="G32" s="9"/>
      <c r="H32" s="9"/>
      <c r="I32" s="9"/>
      <c r="J32" s="9"/>
      <c r="K32" s="9"/>
      <c r="M32" s="125"/>
      <c r="N32" s="9"/>
      <c r="O32" s="9"/>
      <c r="P32" s="9"/>
      <c r="Q32" s="9"/>
      <c r="R32" s="9"/>
      <c r="S32" s="9"/>
      <c r="T32" s="9"/>
      <c r="U32" s="9"/>
      <c r="V32" s="9"/>
      <c r="W32" s="9"/>
      <c r="X32" s="9"/>
      <c r="Z32" s="125"/>
      <c r="AA32" s="9"/>
      <c r="AB32" s="9"/>
      <c r="AC32" s="9"/>
      <c r="AD32" s="9"/>
      <c r="AE32" s="9"/>
    </row>
    <row r="33" spans="1:31" x14ac:dyDescent="0.25">
      <c r="A33" s="9"/>
      <c r="B33" s="9"/>
      <c r="C33" s="9" t="s">
        <v>149</v>
      </c>
      <c r="D33" s="9" t="s">
        <v>150</v>
      </c>
      <c r="E33" s="21" t="s">
        <v>151</v>
      </c>
      <c r="F33" s="9"/>
      <c r="G33" s="9" t="s">
        <v>174</v>
      </c>
      <c r="H33" s="9" t="s">
        <v>175</v>
      </c>
      <c r="I33" s="9" t="s">
        <v>176</v>
      </c>
      <c r="J33" s="9" t="s">
        <v>177</v>
      </c>
      <c r="K33" s="9" t="s">
        <v>178</v>
      </c>
      <c r="M33" s="125"/>
      <c r="N33" s="9"/>
      <c r="O33" s="9"/>
      <c r="P33" s="9" t="s">
        <v>149</v>
      </c>
      <c r="Q33" s="9" t="s">
        <v>150</v>
      </c>
      <c r="R33" s="21" t="s">
        <v>151</v>
      </c>
      <c r="S33" s="9"/>
      <c r="T33" s="9" t="s">
        <v>174</v>
      </c>
      <c r="U33" s="9" t="s">
        <v>175</v>
      </c>
      <c r="V33" s="9" t="s">
        <v>176</v>
      </c>
      <c r="W33" s="9" t="s">
        <v>177</v>
      </c>
      <c r="X33" s="9" t="s">
        <v>178</v>
      </c>
      <c r="Z33" s="125"/>
      <c r="AA33" s="9"/>
      <c r="AB33" s="9"/>
      <c r="AC33" s="9"/>
      <c r="AD33" s="9"/>
      <c r="AE33" s="9"/>
    </row>
    <row r="34" spans="1:31" x14ac:dyDescent="0.25">
      <c r="A34" s="9"/>
      <c r="B34" s="9"/>
      <c r="C34" s="31" t="s">
        <v>156</v>
      </c>
      <c r="D34" s="31" t="s">
        <v>157</v>
      </c>
      <c r="E34" s="31" t="s">
        <v>179</v>
      </c>
      <c r="F34" s="9"/>
      <c r="G34" s="46">
        <f>INDEX(thresholds_under_leakage,MATCH($C34,threshold_under_company_leakage,0),MATCH(G$22,threshold_years_leakage,0))</f>
        <v>332.04010614780077</v>
      </c>
      <c r="H34" s="46">
        <f t="shared" ref="G34:K40" si="6">INDEX(thresholds_under_leakage,MATCH($C34,threshold_under_company_leakage,0),MATCH(H$22,threshold_years_leakage,0))</f>
        <v>332.04010614780077</v>
      </c>
      <c r="I34" s="46">
        <f t="shared" si="6"/>
        <v>332.04010614780077</v>
      </c>
      <c r="J34" s="46">
        <f t="shared" si="6"/>
        <v>332.04010614780077</v>
      </c>
      <c r="K34" s="46">
        <f t="shared" si="6"/>
        <v>332.04010614780077</v>
      </c>
      <c r="L34" s="46"/>
      <c r="M34" s="125"/>
      <c r="N34" s="9"/>
      <c r="O34" s="9"/>
      <c r="P34" s="31" t="s">
        <v>156</v>
      </c>
      <c r="Q34" s="31" t="s">
        <v>157</v>
      </c>
      <c r="R34" s="31" t="s">
        <v>180</v>
      </c>
      <c r="S34" s="9"/>
      <c r="T34" s="25">
        <f t="shared" ref="T34:X40" si="7">((G34-$AC12)/$AC12)*hundred</f>
        <v>80.849731017320693</v>
      </c>
      <c r="U34" s="25">
        <f t="shared" si="7"/>
        <v>80.849731017320693</v>
      </c>
      <c r="V34" s="25">
        <f t="shared" si="7"/>
        <v>80.849731017320693</v>
      </c>
      <c r="W34" s="25">
        <f t="shared" si="7"/>
        <v>80.849731017320693</v>
      </c>
      <c r="X34" s="25">
        <f t="shared" si="7"/>
        <v>80.849731017320693</v>
      </c>
      <c r="Y34" s="25"/>
      <c r="Z34" s="126"/>
      <c r="AA34" s="9"/>
      <c r="AB34" s="9"/>
      <c r="AC34" s="9"/>
      <c r="AD34" s="9"/>
      <c r="AE34" s="9"/>
    </row>
    <row r="35" spans="1:31" x14ac:dyDescent="0.25">
      <c r="A35" s="9"/>
      <c r="B35" s="9"/>
      <c r="C35" s="31" t="s">
        <v>160</v>
      </c>
      <c r="D35" s="31" t="s">
        <v>161</v>
      </c>
      <c r="E35" s="31" t="s">
        <v>179</v>
      </c>
      <c r="F35" s="9"/>
      <c r="G35" s="46">
        <f t="shared" si="6"/>
        <v>162.52469111300695</v>
      </c>
      <c r="H35" s="46">
        <f t="shared" si="6"/>
        <v>162.52469111300695</v>
      </c>
      <c r="I35" s="46">
        <f t="shared" si="6"/>
        <v>162.52469111300695</v>
      </c>
      <c r="J35" s="46">
        <f t="shared" si="6"/>
        <v>162.52469111300695</v>
      </c>
      <c r="K35" s="46">
        <f t="shared" si="6"/>
        <v>162.52469111300695</v>
      </c>
      <c r="L35" s="46"/>
      <c r="M35" s="125"/>
      <c r="N35" s="9"/>
      <c r="O35" s="9"/>
      <c r="P35" s="31" t="s">
        <v>160</v>
      </c>
      <c r="Q35" s="31" t="s">
        <v>161</v>
      </c>
      <c r="R35" s="31" t="s">
        <v>180</v>
      </c>
      <c r="S35" s="9"/>
      <c r="T35" s="25">
        <f t="shared" si="7"/>
        <v>20.210570349857225</v>
      </c>
      <c r="U35" s="25">
        <f t="shared" si="7"/>
        <v>20.210570349857225</v>
      </c>
      <c r="V35" s="25">
        <f t="shared" si="7"/>
        <v>20.210570349857225</v>
      </c>
      <c r="W35" s="25">
        <f t="shared" si="7"/>
        <v>20.210570349857225</v>
      </c>
      <c r="X35" s="25">
        <f t="shared" si="7"/>
        <v>20.210570349857225</v>
      </c>
      <c r="Y35" s="25"/>
      <c r="Z35" s="126"/>
      <c r="AA35" s="9"/>
      <c r="AB35" s="9"/>
      <c r="AC35" s="9"/>
      <c r="AD35" s="9"/>
      <c r="AE35" s="9"/>
    </row>
    <row r="36" spans="1:31" x14ac:dyDescent="0.25">
      <c r="A36" s="9"/>
      <c r="B36" s="9"/>
      <c r="C36" s="31" t="s">
        <v>162</v>
      </c>
      <c r="D36" s="31" t="s">
        <v>163</v>
      </c>
      <c r="E36" s="31" t="s">
        <v>179</v>
      </c>
      <c r="F36" s="9"/>
      <c r="G36" s="46">
        <f t="shared" si="6"/>
        <v>97.105695319538825</v>
      </c>
      <c r="H36" s="46">
        <f t="shared" si="6"/>
        <v>97.105695319538825</v>
      </c>
      <c r="I36" s="46">
        <f t="shared" si="6"/>
        <v>97.105695319538825</v>
      </c>
      <c r="J36" s="46">
        <f t="shared" si="6"/>
        <v>97.105695319538825</v>
      </c>
      <c r="K36" s="46">
        <f t="shared" si="6"/>
        <v>97.105695319538825</v>
      </c>
      <c r="L36" s="46"/>
      <c r="M36" s="125"/>
      <c r="N36" s="9"/>
      <c r="O36" s="9"/>
      <c r="P36" s="31" t="s">
        <v>162</v>
      </c>
      <c r="Q36" s="31" t="s">
        <v>163</v>
      </c>
      <c r="R36" s="31" t="s">
        <v>180</v>
      </c>
      <c r="S36" s="9"/>
      <c r="T36" s="25">
        <f t="shared" si="7"/>
        <v>56.622089225062624</v>
      </c>
      <c r="U36" s="25">
        <f t="shared" si="7"/>
        <v>56.622089225062624</v>
      </c>
      <c r="V36" s="25">
        <f t="shared" si="7"/>
        <v>56.622089225062624</v>
      </c>
      <c r="W36" s="25">
        <f t="shared" si="7"/>
        <v>56.622089225062624</v>
      </c>
      <c r="X36" s="25">
        <f t="shared" si="7"/>
        <v>56.622089225062624</v>
      </c>
      <c r="Y36" s="25"/>
      <c r="Z36" s="126"/>
      <c r="AA36" s="9"/>
      <c r="AB36" s="9"/>
      <c r="AC36" s="9"/>
      <c r="AD36" s="9"/>
      <c r="AE36" s="9"/>
    </row>
    <row r="37" spans="1:31" x14ac:dyDescent="0.25">
      <c r="A37" s="9"/>
      <c r="B37" s="9"/>
      <c r="C37" s="31" t="s">
        <v>164</v>
      </c>
      <c r="D37" s="31" t="s">
        <v>165</v>
      </c>
      <c r="E37" s="31" t="s">
        <v>179</v>
      </c>
      <c r="F37" s="9"/>
      <c r="G37" s="46">
        <f t="shared" si="6"/>
        <v>36.142935290316458</v>
      </c>
      <c r="H37" s="46">
        <f t="shared" si="6"/>
        <v>36.142935290316458</v>
      </c>
      <c r="I37" s="46">
        <f t="shared" si="6"/>
        <v>36.142935290316458</v>
      </c>
      <c r="J37" s="46">
        <f t="shared" si="6"/>
        <v>36.142935290316458</v>
      </c>
      <c r="K37" s="46">
        <f t="shared" si="6"/>
        <v>36.142935290316458</v>
      </c>
      <c r="L37" s="46"/>
      <c r="M37" s="125"/>
      <c r="N37" s="9"/>
      <c r="O37" s="9"/>
      <c r="P37" s="31" t="s">
        <v>164</v>
      </c>
      <c r="Q37" s="31" t="s">
        <v>165</v>
      </c>
      <c r="R37" s="31" t="s">
        <v>180</v>
      </c>
      <c r="S37" s="9"/>
      <c r="T37" s="25">
        <f t="shared" si="7"/>
        <v>49.970685851935507</v>
      </c>
      <c r="U37" s="25">
        <f t="shared" si="7"/>
        <v>49.970685851935507</v>
      </c>
      <c r="V37" s="25">
        <f t="shared" si="7"/>
        <v>49.970685851935507</v>
      </c>
      <c r="W37" s="25">
        <f t="shared" si="7"/>
        <v>49.970685851935507</v>
      </c>
      <c r="X37" s="25">
        <f t="shared" si="7"/>
        <v>49.970685851935507</v>
      </c>
      <c r="Y37" s="25"/>
      <c r="Z37" s="126"/>
      <c r="AA37" s="9"/>
      <c r="AB37" s="9"/>
      <c r="AC37" s="9"/>
      <c r="AD37" s="9"/>
      <c r="AE37" s="9"/>
    </row>
    <row r="38" spans="1:31" x14ac:dyDescent="0.25">
      <c r="A38" s="9"/>
      <c r="B38" s="9"/>
      <c r="C38" s="31" t="s">
        <v>166</v>
      </c>
      <c r="D38" s="31" t="s">
        <v>167</v>
      </c>
      <c r="E38" s="31" t="s">
        <v>179</v>
      </c>
      <c r="F38" s="9"/>
      <c r="G38" s="46">
        <f t="shared" si="6"/>
        <v>156.56949686266606</v>
      </c>
      <c r="H38" s="46">
        <f t="shared" si="6"/>
        <v>156.56949686266606</v>
      </c>
      <c r="I38" s="46">
        <f t="shared" si="6"/>
        <v>156.56949686266606</v>
      </c>
      <c r="J38" s="46">
        <f t="shared" si="6"/>
        <v>156.56949686266606</v>
      </c>
      <c r="K38" s="46">
        <f t="shared" si="6"/>
        <v>156.56949686266606</v>
      </c>
      <c r="L38" s="46"/>
      <c r="M38" s="125"/>
      <c r="N38" s="9"/>
      <c r="O38" s="9"/>
      <c r="P38" s="31" t="s">
        <v>166</v>
      </c>
      <c r="Q38" s="31" t="s">
        <v>167</v>
      </c>
      <c r="R38" s="31" t="s">
        <v>180</v>
      </c>
      <c r="S38" s="9"/>
      <c r="T38" s="25">
        <f t="shared" si="7"/>
        <v>30.583400219070931</v>
      </c>
      <c r="U38" s="25">
        <f t="shared" si="7"/>
        <v>30.583400219070931</v>
      </c>
      <c r="V38" s="25">
        <f t="shared" si="7"/>
        <v>30.583400219070931</v>
      </c>
      <c r="W38" s="25">
        <f t="shared" si="7"/>
        <v>30.583400219070931</v>
      </c>
      <c r="X38" s="25">
        <f t="shared" si="7"/>
        <v>30.583400219070931</v>
      </c>
      <c r="Y38" s="25"/>
      <c r="Z38" s="126"/>
      <c r="AA38" s="9"/>
      <c r="AB38" s="9"/>
      <c r="AC38" s="9"/>
      <c r="AD38" s="9"/>
      <c r="AE38" s="9"/>
    </row>
    <row r="39" spans="1:31" x14ac:dyDescent="0.25">
      <c r="A39" s="9"/>
      <c r="B39" s="9"/>
      <c r="C39" s="31" t="s">
        <v>168</v>
      </c>
      <c r="D39" s="31" t="s">
        <v>169</v>
      </c>
      <c r="E39" s="31" t="s">
        <v>179</v>
      </c>
      <c r="F39" s="9"/>
      <c r="G39" s="46">
        <f t="shared" si="6"/>
        <v>98.244809016801227</v>
      </c>
      <c r="H39" s="46">
        <f t="shared" si="6"/>
        <v>98.244809016801227</v>
      </c>
      <c r="I39" s="46">
        <f t="shared" si="6"/>
        <v>98.244809016801227</v>
      </c>
      <c r="J39" s="46">
        <f t="shared" si="6"/>
        <v>98.244809016801227</v>
      </c>
      <c r="K39" s="46">
        <f t="shared" si="6"/>
        <v>98.244809016801227</v>
      </c>
      <c r="L39" s="46"/>
      <c r="M39" s="125"/>
      <c r="N39" s="9"/>
      <c r="O39" s="9"/>
      <c r="P39" s="31" t="s">
        <v>168</v>
      </c>
      <c r="Q39" s="31" t="s">
        <v>169</v>
      </c>
      <c r="R39" s="31" t="s">
        <v>180</v>
      </c>
      <c r="S39" s="9"/>
      <c r="T39" s="25">
        <f t="shared" si="7"/>
        <v>24.993395695675872</v>
      </c>
      <c r="U39" s="25">
        <f t="shared" si="7"/>
        <v>24.993395695675872</v>
      </c>
      <c r="V39" s="25">
        <f t="shared" si="7"/>
        <v>24.993395695675872</v>
      </c>
      <c r="W39" s="25">
        <f t="shared" si="7"/>
        <v>24.993395695675872</v>
      </c>
      <c r="X39" s="25">
        <f t="shared" si="7"/>
        <v>24.993395695675872</v>
      </c>
      <c r="Y39" s="25"/>
      <c r="Z39" s="126"/>
      <c r="AA39" s="9"/>
      <c r="AB39" s="9"/>
      <c r="AC39" s="9"/>
      <c r="AD39" s="9"/>
      <c r="AE39" s="9"/>
    </row>
    <row r="40" spans="1:31" x14ac:dyDescent="0.25">
      <c r="A40" s="9"/>
      <c r="B40" s="9"/>
      <c r="C40" s="31" t="s">
        <v>170</v>
      </c>
      <c r="D40" s="31" t="s">
        <v>171</v>
      </c>
      <c r="E40" s="31" t="s">
        <v>179</v>
      </c>
      <c r="F40" s="9"/>
      <c r="G40" s="46">
        <f t="shared" si="6"/>
        <v>304.32319893941417</v>
      </c>
      <c r="H40" s="46">
        <f t="shared" si="6"/>
        <v>304.32319893941417</v>
      </c>
      <c r="I40" s="46">
        <f t="shared" si="6"/>
        <v>304.32319893941417</v>
      </c>
      <c r="J40" s="46">
        <f t="shared" si="6"/>
        <v>304.32319893941417</v>
      </c>
      <c r="K40" s="46">
        <f t="shared" si="6"/>
        <v>304.32319893941417</v>
      </c>
      <c r="L40" s="46"/>
      <c r="M40" s="125"/>
      <c r="N40" s="9"/>
      <c r="O40" s="9"/>
      <c r="P40" s="31" t="s">
        <v>170</v>
      </c>
      <c r="Q40" s="31" t="s">
        <v>171</v>
      </c>
      <c r="R40" s="31" t="s">
        <v>180</v>
      </c>
      <c r="S40" s="9"/>
      <c r="T40" s="25">
        <f t="shared" si="7"/>
        <v>4.6863429444149229</v>
      </c>
      <c r="U40" s="25">
        <f t="shared" si="7"/>
        <v>4.6863429444149229</v>
      </c>
      <c r="V40" s="25">
        <f t="shared" si="7"/>
        <v>4.6863429444149229</v>
      </c>
      <c r="W40" s="25">
        <f t="shared" si="7"/>
        <v>4.6863429444149229</v>
      </c>
      <c r="X40" s="25">
        <f t="shared" si="7"/>
        <v>4.6863429444149229</v>
      </c>
      <c r="Y40" s="25"/>
      <c r="Z40" s="126"/>
      <c r="AA40" s="9"/>
      <c r="AB40" s="9"/>
      <c r="AC40" s="9"/>
      <c r="AD40" s="9"/>
      <c r="AE40" s="9"/>
    </row>
    <row r="41" spans="1:31" x14ac:dyDescent="0.25">
      <c r="A41" s="9"/>
      <c r="B41" s="9"/>
      <c r="C41" s="9"/>
      <c r="D41" s="9"/>
      <c r="E41" s="9"/>
      <c r="F41" s="9"/>
      <c r="G41" s="9"/>
      <c r="H41" s="9"/>
      <c r="I41" s="9"/>
      <c r="J41" s="9"/>
      <c r="K41" s="9"/>
      <c r="M41" s="125"/>
      <c r="N41" s="9"/>
      <c r="O41" s="9"/>
      <c r="P41" s="9"/>
      <c r="Q41" s="9"/>
      <c r="R41" s="9"/>
      <c r="S41" s="9"/>
      <c r="T41" s="9"/>
      <c r="U41" s="9"/>
      <c r="V41" s="9"/>
      <c r="W41" s="9"/>
      <c r="X41" s="9"/>
      <c r="Z41" s="125"/>
      <c r="AA41" s="9"/>
      <c r="AB41" s="9"/>
      <c r="AC41" s="9"/>
      <c r="AD41" s="9"/>
      <c r="AE41" s="9"/>
    </row>
    <row r="42" spans="1:31" ht="15" x14ac:dyDescent="0.35">
      <c r="A42" s="9"/>
      <c r="B42" s="51" t="s">
        <v>182</v>
      </c>
      <c r="C42" s="9"/>
      <c r="D42" s="9"/>
      <c r="E42" s="9"/>
      <c r="F42" s="9"/>
      <c r="G42" s="9"/>
      <c r="H42" s="9"/>
      <c r="I42" s="9"/>
      <c r="J42" s="9"/>
      <c r="K42" s="9"/>
      <c r="M42" s="125"/>
      <c r="N42" s="9"/>
      <c r="O42" s="51" t="s">
        <v>182</v>
      </c>
      <c r="P42" s="9"/>
      <c r="Q42" s="9"/>
      <c r="R42" s="9"/>
      <c r="S42" s="9"/>
      <c r="T42" s="9"/>
      <c r="U42" s="9"/>
      <c r="V42" s="9"/>
      <c r="W42" s="9"/>
      <c r="X42" s="9"/>
      <c r="Z42" s="125"/>
      <c r="AA42" s="9"/>
      <c r="AB42" s="9"/>
      <c r="AC42" s="9"/>
      <c r="AD42" s="9"/>
      <c r="AE42" s="9"/>
    </row>
    <row r="43" spans="1:31" x14ac:dyDescent="0.25">
      <c r="A43" s="9"/>
      <c r="B43" s="9"/>
      <c r="C43" s="9"/>
      <c r="D43" s="9"/>
      <c r="E43" s="9"/>
      <c r="F43" s="9"/>
      <c r="G43" s="9"/>
      <c r="H43" s="9"/>
      <c r="I43" s="9"/>
      <c r="J43" s="9"/>
      <c r="K43" s="9"/>
      <c r="M43" s="125"/>
      <c r="N43" s="9"/>
      <c r="O43" s="9"/>
      <c r="P43" s="9"/>
      <c r="Q43" s="9"/>
      <c r="R43" s="9"/>
      <c r="S43" s="9"/>
      <c r="T43" s="9"/>
      <c r="U43" s="9"/>
      <c r="V43" s="9"/>
      <c r="W43" s="9"/>
      <c r="X43" s="9"/>
      <c r="Z43" s="125"/>
      <c r="AA43" s="9"/>
      <c r="AB43" s="9"/>
      <c r="AC43" s="9"/>
      <c r="AD43" s="9"/>
      <c r="AE43" s="9"/>
    </row>
    <row r="44" spans="1:31" x14ac:dyDescent="0.25">
      <c r="A44" s="9"/>
      <c r="B44" s="9"/>
      <c r="C44" s="9" t="s">
        <v>149</v>
      </c>
      <c r="D44" s="9" t="s">
        <v>150</v>
      </c>
      <c r="E44" s="21" t="s">
        <v>151</v>
      </c>
      <c r="F44" s="9"/>
      <c r="G44" s="9" t="s">
        <v>174</v>
      </c>
      <c r="H44" s="9" t="s">
        <v>175</v>
      </c>
      <c r="I44" s="9" t="s">
        <v>176</v>
      </c>
      <c r="J44" s="9" t="s">
        <v>177</v>
      </c>
      <c r="K44" s="9" t="s">
        <v>178</v>
      </c>
      <c r="M44" s="125"/>
      <c r="N44" s="9"/>
      <c r="O44" s="9"/>
      <c r="P44" s="9" t="s">
        <v>149</v>
      </c>
      <c r="Q44" s="9" t="s">
        <v>150</v>
      </c>
      <c r="R44" s="21" t="s">
        <v>151</v>
      </c>
      <c r="S44" s="9"/>
      <c r="T44" s="9" t="s">
        <v>174</v>
      </c>
      <c r="U44" s="9" t="s">
        <v>175</v>
      </c>
      <c r="V44" s="9" t="s">
        <v>176</v>
      </c>
      <c r="W44" s="9" t="s">
        <v>177</v>
      </c>
      <c r="X44" s="9" t="s">
        <v>178</v>
      </c>
      <c r="Z44" s="125"/>
      <c r="AA44" s="9"/>
      <c r="AB44" s="9"/>
      <c r="AC44" s="9"/>
      <c r="AD44" s="9"/>
      <c r="AE44" s="9"/>
    </row>
    <row r="45" spans="1:31" x14ac:dyDescent="0.25">
      <c r="A45" s="9"/>
      <c r="B45" s="9"/>
      <c r="C45" s="31" t="s">
        <v>156</v>
      </c>
      <c r="D45" s="31" t="s">
        <v>157</v>
      </c>
      <c r="E45" s="31" t="s">
        <v>179</v>
      </c>
      <c r="F45" s="9"/>
      <c r="G45" s="124">
        <f t="shared" ref="G45:K51" si="8">INDEX(threshold_out_leakage,MATCH($C45,threshold_out_company_leakage,0),MATCH(G$22,threshold_years_leakage,0))</f>
        <v>171.39902145708368</v>
      </c>
      <c r="H45" s="124">
        <f t="shared" si="8"/>
        <v>168.5</v>
      </c>
      <c r="I45" s="124">
        <f t="shared" si="8"/>
        <v>163.30000000000001</v>
      </c>
      <c r="J45" s="124">
        <f t="shared" si="8"/>
        <v>156.30000000000001</v>
      </c>
      <c r="K45" s="124">
        <f t="shared" si="8"/>
        <v>149.19999999999999</v>
      </c>
      <c r="L45" s="124"/>
      <c r="M45" s="125"/>
      <c r="N45" s="9"/>
      <c r="O45" s="9"/>
      <c r="P45" s="31" t="s">
        <v>156</v>
      </c>
      <c r="Q45" s="31" t="s">
        <v>157</v>
      </c>
      <c r="R45" s="31" t="s">
        <v>180</v>
      </c>
      <c r="S45" s="9"/>
      <c r="T45" s="25">
        <f t="shared" ref="T45:X51" si="9">((G45-$AC12)/$AC12)*hundred</f>
        <v>-6.6454131497365569</v>
      </c>
      <c r="U45" s="25">
        <f t="shared" si="9"/>
        <v>-8.2244008714596912</v>
      </c>
      <c r="V45" s="25">
        <f t="shared" si="9"/>
        <v>-11.056644880174284</v>
      </c>
      <c r="W45" s="25">
        <f t="shared" si="9"/>
        <v>-14.869281045751626</v>
      </c>
      <c r="X45" s="25">
        <f t="shared" si="9"/>
        <v>-18.736383442265801</v>
      </c>
      <c r="Y45" s="25"/>
      <c r="Z45" s="126"/>
      <c r="AA45" s="9"/>
      <c r="AB45" s="9"/>
      <c r="AC45" s="9"/>
      <c r="AD45" s="9"/>
      <c r="AE45" s="9"/>
    </row>
    <row r="46" spans="1:31" x14ac:dyDescent="0.25">
      <c r="A46" s="9"/>
      <c r="B46" s="9"/>
      <c r="C46" s="31" t="s">
        <v>160</v>
      </c>
      <c r="D46" s="31" t="s">
        <v>161</v>
      </c>
      <c r="E46" s="31" t="s">
        <v>179</v>
      </c>
      <c r="F46" s="9"/>
      <c r="G46" s="124">
        <f t="shared" si="8"/>
        <v>84.283171753165064</v>
      </c>
      <c r="H46" s="124">
        <f t="shared" si="8"/>
        <v>83.418463630219179</v>
      </c>
      <c r="I46" s="124">
        <f t="shared" si="8"/>
        <v>82.19127049639917</v>
      </c>
      <c r="J46" s="124">
        <f t="shared" si="8"/>
        <v>80.683650286227504</v>
      </c>
      <c r="K46" s="124">
        <f t="shared" si="8"/>
        <v>78.099999999999994</v>
      </c>
      <c r="L46" s="124"/>
      <c r="M46" s="125"/>
      <c r="N46" s="9"/>
      <c r="O46" s="9"/>
      <c r="P46" s="31" t="s">
        <v>160</v>
      </c>
      <c r="Q46" s="31" t="s">
        <v>161</v>
      </c>
      <c r="R46" s="31" t="s">
        <v>180</v>
      </c>
      <c r="S46" s="9"/>
      <c r="T46" s="25">
        <f t="shared" si="9"/>
        <v>-37.660375922215181</v>
      </c>
      <c r="U46" s="25">
        <f t="shared" si="9"/>
        <v>-38.299952936228415</v>
      </c>
      <c r="V46" s="25">
        <f t="shared" si="9"/>
        <v>-39.207640165385229</v>
      </c>
      <c r="W46" s="25">
        <f t="shared" si="9"/>
        <v>-40.322743871133497</v>
      </c>
      <c r="X46" s="25">
        <f t="shared" si="9"/>
        <v>-42.23372781065089</v>
      </c>
      <c r="Y46" s="25"/>
      <c r="Z46" s="126"/>
      <c r="AA46" s="9"/>
      <c r="AB46" s="9"/>
      <c r="AC46" s="9"/>
      <c r="AD46" s="9"/>
      <c r="AE46" s="9"/>
    </row>
    <row r="47" spans="1:31" x14ac:dyDescent="0.25">
      <c r="A47" s="9"/>
      <c r="B47" s="9"/>
      <c r="C47" s="31" t="s">
        <v>162</v>
      </c>
      <c r="D47" s="31" t="s">
        <v>163</v>
      </c>
      <c r="E47" s="31" t="s">
        <v>179</v>
      </c>
      <c r="F47" s="9"/>
      <c r="G47" s="124">
        <f t="shared" si="8"/>
        <v>50.720956176015477</v>
      </c>
      <c r="H47" s="124">
        <f t="shared" si="8"/>
        <v>50.017993684642136</v>
      </c>
      <c r="I47" s="124">
        <f t="shared" si="8"/>
        <v>49.068744642769872</v>
      </c>
      <c r="J47" s="124">
        <f t="shared" si="8"/>
        <v>47.915191541690177</v>
      </c>
      <c r="K47" s="124">
        <f t="shared" si="8"/>
        <v>46.578181413444227</v>
      </c>
      <c r="L47" s="124"/>
      <c r="M47" s="125"/>
      <c r="N47" s="9"/>
      <c r="O47" s="9"/>
      <c r="P47" s="31" t="s">
        <v>162</v>
      </c>
      <c r="Q47" s="31" t="s">
        <v>163</v>
      </c>
      <c r="R47" s="31" t="s">
        <v>180</v>
      </c>
      <c r="S47" s="9"/>
      <c r="T47" s="25">
        <f t="shared" si="9"/>
        <v>-18.192006167716972</v>
      </c>
      <c r="U47" s="25">
        <f t="shared" si="9"/>
        <v>-19.325816637673977</v>
      </c>
      <c r="V47" s="25">
        <f t="shared" si="9"/>
        <v>-20.856863479403433</v>
      </c>
      <c r="W47" s="25">
        <f t="shared" si="9"/>
        <v>-22.717432997273907</v>
      </c>
      <c r="X47" s="25">
        <f t="shared" si="9"/>
        <v>-24.873900946057699</v>
      </c>
      <c r="Y47" s="25"/>
      <c r="Z47" s="126"/>
      <c r="AA47" s="9"/>
      <c r="AB47" s="9"/>
      <c r="AC47" s="9"/>
      <c r="AD47" s="9"/>
      <c r="AE47" s="9"/>
    </row>
    <row r="48" spans="1:31" x14ac:dyDescent="0.25">
      <c r="A48" s="9"/>
      <c r="B48" s="9"/>
      <c r="C48" s="31" t="s">
        <v>164</v>
      </c>
      <c r="D48" s="31" t="s">
        <v>165</v>
      </c>
      <c r="E48" s="31" t="s">
        <v>179</v>
      </c>
      <c r="F48" s="9"/>
      <c r="G48" s="124">
        <f t="shared" si="8"/>
        <v>18.825258704498768</v>
      </c>
      <c r="H48" s="124">
        <f t="shared" si="8"/>
        <v>18.566576991776692</v>
      </c>
      <c r="I48" s="124">
        <f t="shared" si="8"/>
        <v>18.229499756930728</v>
      </c>
      <c r="J48" s="124">
        <f t="shared" si="8"/>
        <v>17.814129605262934</v>
      </c>
      <c r="K48" s="124">
        <f t="shared" si="8"/>
        <v>17.332410843737442</v>
      </c>
      <c r="L48" s="124"/>
      <c r="M48" s="125"/>
      <c r="N48" s="9"/>
      <c r="O48" s="9"/>
      <c r="P48" s="31" t="s">
        <v>164</v>
      </c>
      <c r="Q48" s="31" t="s">
        <v>165</v>
      </c>
      <c r="R48" s="31" t="s">
        <v>180</v>
      </c>
      <c r="S48" s="9"/>
      <c r="T48" s="25">
        <f t="shared" si="9"/>
        <v>-21.886893342328769</v>
      </c>
      <c r="U48" s="25">
        <f t="shared" si="9"/>
        <v>-22.960261444909996</v>
      </c>
      <c r="V48" s="25">
        <f t="shared" si="9"/>
        <v>-24.358922170411919</v>
      </c>
      <c r="W48" s="25">
        <f t="shared" si="9"/>
        <v>-26.082449770693223</v>
      </c>
      <c r="X48" s="25">
        <f t="shared" si="9"/>
        <v>-28.081282806068707</v>
      </c>
      <c r="Y48" s="25"/>
      <c r="Z48" s="126"/>
      <c r="AA48" s="9"/>
      <c r="AB48" s="9"/>
      <c r="AC48" s="9"/>
      <c r="AD48" s="9"/>
      <c r="AE48" s="9"/>
    </row>
    <row r="49" spans="1:31" x14ac:dyDescent="0.25">
      <c r="A49" s="9"/>
      <c r="B49" s="9"/>
      <c r="C49" s="31" t="s">
        <v>166</v>
      </c>
      <c r="D49" s="31" t="s">
        <v>167</v>
      </c>
      <c r="E49" s="31" t="s">
        <v>179</v>
      </c>
      <c r="F49" s="9"/>
      <c r="G49" s="124">
        <f t="shared" si="8"/>
        <v>80.829725359530357</v>
      </c>
      <c r="H49" s="124">
        <f t="shared" si="8"/>
        <v>79.957077150284675</v>
      </c>
      <c r="I49" s="124">
        <f t="shared" si="8"/>
        <v>76.599999999999994</v>
      </c>
      <c r="J49" s="124">
        <f t="shared" si="8"/>
        <v>72.900000000000006</v>
      </c>
      <c r="K49" s="124">
        <f t="shared" si="8"/>
        <v>69.2</v>
      </c>
      <c r="L49" s="124"/>
      <c r="M49" s="125"/>
      <c r="N49" s="9"/>
      <c r="O49" s="9"/>
      <c r="P49" s="31" t="s">
        <v>166</v>
      </c>
      <c r="Q49" s="31" t="s">
        <v>167</v>
      </c>
      <c r="R49" s="31" t="s">
        <v>180</v>
      </c>
      <c r="S49" s="9"/>
      <c r="T49" s="25">
        <f t="shared" si="9"/>
        <v>-32.58571696452848</v>
      </c>
      <c r="U49" s="25">
        <f t="shared" si="9"/>
        <v>-33.313530316693353</v>
      </c>
      <c r="V49" s="25">
        <f t="shared" si="9"/>
        <v>-36.113427856547133</v>
      </c>
      <c r="W49" s="25">
        <f t="shared" si="9"/>
        <v>-39.199332777314424</v>
      </c>
      <c r="X49" s="25">
        <f t="shared" si="9"/>
        <v>-42.285237698081737</v>
      </c>
      <c r="Y49" s="25"/>
      <c r="Z49" s="126"/>
      <c r="AA49" s="9"/>
      <c r="AB49" s="9"/>
      <c r="AC49" s="9"/>
      <c r="AD49" s="9"/>
      <c r="AE49" s="9"/>
    </row>
    <row r="50" spans="1:31" x14ac:dyDescent="0.25">
      <c r="A50" s="9"/>
      <c r="B50" s="9"/>
      <c r="C50" s="31" t="s">
        <v>168</v>
      </c>
      <c r="D50" s="31" t="s">
        <v>169</v>
      </c>
      <c r="E50" s="31" t="s">
        <v>179</v>
      </c>
      <c r="F50" s="9"/>
      <c r="G50" s="124">
        <f t="shared" si="8"/>
        <v>50.598442586528776</v>
      </c>
      <c r="H50" s="124">
        <f t="shared" si="8"/>
        <v>50.117364219307831</v>
      </c>
      <c r="I50" s="124">
        <f t="shared" si="8"/>
        <v>49.454913792407403</v>
      </c>
      <c r="J50" s="124">
        <f t="shared" si="8"/>
        <v>48.635708370735259</v>
      </c>
      <c r="K50" s="124">
        <f t="shared" si="8"/>
        <v>47.675391745764799</v>
      </c>
      <c r="L50" s="124"/>
      <c r="M50" s="125"/>
      <c r="N50" s="9"/>
      <c r="O50" s="9"/>
      <c r="P50" s="31" t="s">
        <v>168</v>
      </c>
      <c r="Q50" s="31" t="s">
        <v>169</v>
      </c>
      <c r="R50" s="31" t="s">
        <v>180</v>
      </c>
      <c r="S50" s="9"/>
      <c r="T50" s="25">
        <f t="shared" si="9"/>
        <v>-35.62539111128654</v>
      </c>
      <c r="U50" s="25">
        <f t="shared" si="9"/>
        <v>-36.237450102661789</v>
      </c>
      <c r="V50" s="25">
        <f t="shared" si="9"/>
        <v>-37.080262350626711</v>
      </c>
      <c r="W50" s="25">
        <f t="shared" si="9"/>
        <v>-38.122508434179053</v>
      </c>
      <c r="X50" s="25">
        <f t="shared" si="9"/>
        <v>-39.344285310731806</v>
      </c>
      <c r="Y50" s="25"/>
      <c r="Z50" s="126"/>
      <c r="AA50" s="9"/>
      <c r="AB50" s="9"/>
      <c r="AC50" s="9"/>
      <c r="AD50" s="9"/>
      <c r="AE50" s="9"/>
    </row>
    <row r="51" spans="1:31" x14ac:dyDescent="0.25">
      <c r="A51" s="9"/>
      <c r="B51" s="9"/>
      <c r="C51" s="31" t="s">
        <v>170</v>
      </c>
      <c r="D51" s="31" t="s">
        <v>171</v>
      </c>
      <c r="E51" s="31" t="s">
        <v>179</v>
      </c>
      <c r="F51" s="9"/>
      <c r="G51" s="124">
        <f t="shared" si="8"/>
        <v>152</v>
      </c>
      <c r="H51" s="124">
        <f t="shared" si="8"/>
        <v>152</v>
      </c>
      <c r="I51" s="124">
        <f t="shared" si="8"/>
        <v>152</v>
      </c>
      <c r="J51" s="124">
        <f t="shared" si="8"/>
        <v>150.31677189112105</v>
      </c>
      <c r="K51" s="124">
        <f t="shared" si="8"/>
        <v>146.63952688495792</v>
      </c>
      <c r="L51" s="124"/>
      <c r="M51" s="125"/>
      <c r="N51" s="9"/>
      <c r="O51" s="9"/>
      <c r="P51" s="31" t="s">
        <v>170</v>
      </c>
      <c r="Q51" s="31" t="s">
        <v>171</v>
      </c>
      <c r="R51" s="31" t="s">
        <v>180</v>
      </c>
      <c r="S51" s="9"/>
      <c r="T51" s="25">
        <f t="shared" si="9"/>
        <v>-47.712418300653589</v>
      </c>
      <c r="U51" s="25">
        <f t="shared" si="9"/>
        <v>-47.712418300653589</v>
      </c>
      <c r="V51" s="25">
        <f t="shared" si="9"/>
        <v>-47.712418300653589</v>
      </c>
      <c r="W51" s="25">
        <f t="shared" si="9"/>
        <v>-48.291444137901252</v>
      </c>
      <c r="X51" s="25">
        <f t="shared" si="9"/>
        <v>-49.55640630032407</v>
      </c>
      <c r="Y51" s="25"/>
      <c r="Z51" s="126"/>
      <c r="AA51" s="9"/>
      <c r="AB51" s="9"/>
      <c r="AC51" s="9"/>
      <c r="AD51" s="9"/>
      <c r="AE51" s="9"/>
    </row>
    <row r="52" spans="1:31" x14ac:dyDescent="0.25">
      <c r="A52" s="9"/>
      <c r="B52" s="9"/>
      <c r="C52" s="9"/>
      <c r="D52" s="9"/>
      <c r="E52" s="9"/>
      <c r="F52" s="9"/>
      <c r="G52" s="9"/>
      <c r="H52" s="9"/>
      <c r="I52" s="9"/>
      <c r="J52" s="9"/>
      <c r="K52" s="9"/>
      <c r="M52" s="125"/>
      <c r="N52" s="9"/>
      <c r="O52" s="9"/>
      <c r="P52" s="9"/>
      <c r="Q52" s="9"/>
      <c r="R52" s="9"/>
      <c r="S52" s="9"/>
      <c r="T52" s="9"/>
      <c r="U52" s="9"/>
      <c r="V52" s="9"/>
      <c r="W52" s="9"/>
      <c r="X52" s="9"/>
      <c r="Z52" s="125"/>
      <c r="AA52" s="9"/>
      <c r="AB52" s="9"/>
      <c r="AC52" s="9"/>
      <c r="AD52" s="9"/>
      <c r="AE52" s="9"/>
    </row>
    <row r="53" spans="1:31" ht="13.8" x14ac:dyDescent="0.3">
      <c r="A53" s="8" t="s">
        <v>183</v>
      </c>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row>
    <row r="54" spans="1:31" x14ac:dyDescent="0.25">
      <c r="A54" s="9"/>
      <c r="B54" s="9"/>
      <c r="C54" s="9"/>
      <c r="D54" s="9"/>
      <c r="E54" s="9"/>
      <c r="F54" s="9"/>
      <c r="G54" s="9"/>
      <c r="H54" s="9"/>
      <c r="I54" s="9"/>
      <c r="J54" s="9"/>
      <c r="K54" s="9"/>
      <c r="M54" s="125"/>
      <c r="N54" s="9"/>
      <c r="O54" s="9"/>
      <c r="P54" s="9"/>
      <c r="Q54" s="9"/>
      <c r="R54" s="9"/>
      <c r="S54" s="9"/>
      <c r="T54" s="9"/>
      <c r="U54" s="9"/>
      <c r="V54" s="9"/>
      <c r="W54" s="9"/>
      <c r="X54" s="9"/>
      <c r="Z54" s="125"/>
      <c r="AA54" s="9"/>
      <c r="AB54" s="9"/>
      <c r="AC54" s="9"/>
      <c r="AD54" s="9"/>
      <c r="AE54" s="9"/>
    </row>
    <row r="55" spans="1:31" ht="15" x14ac:dyDescent="0.35">
      <c r="A55" s="9"/>
      <c r="B55" s="1" t="s">
        <v>6</v>
      </c>
      <c r="C55" s="9"/>
      <c r="D55" s="9"/>
      <c r="E55" s="9"/>
      <c r="F55" s="9"/>
      <c r="G55" s="9"/>
      <c r="H55" s="9"/>
      <c r="I55" s="9"/>
      <c r="J55" s="9"/>
      <c r="K55" s="9"/>
      <c r="M55" s="125"/>
      <c r="N55" s="9"/>
      <c r="O55" s="1" t="s">
        <v>6</v>
      </c>
      <c r="P55" s="9"/>
      <c r="Q55" s="9"/>
      <c r="R55" s="9"/>
      <c r="S55" s="9"/>
      <c r="T55" s="9"/>
      <c r="U55" s="9"/>
      <c r="V55" s="9"/>
      <c r="W55" s="9"/>
      <c r="X55" s="9"/>
      <c r="Z55" s="125"/>
      <c r="AA55" s="9"/>
      <c r="AB55" s="1" t="s">
        <v>148</v>
      </c>
      <c r="AC55" s="9"/>
      <c r="AD55" s="9"/>
      <c r="AE55" s="9"/>
    </row>
    <row r="56" spans="1:31" x14ac:dyDescent="0.25">
      <c r="A56" s="9"/>
      <c r="B56" s="9"/>
      <c r="C56" s="9"/>
      <c r="D56" s="9"/>
      <c r="E56" s="9"/>
      <c r="F56" s="9"/>
      <c r="G56" s="9"/>
      <c r="H56" s="9"/>
      <c r="I56" s="9"/>
      <c r="J56" s="9"/>
      <c r="K56" s="9"/>
      <c r="M56" s="125"/>
      <c r="N56" s="9"/>
      <c r="O56" s="9"/>
      <c r="P56" s="9"/>
      <c r="Q56" s="9"/>
      <c r="R56" s="9"/>
      <c r="S56" s="9"/>
      <c r="T56" s="9"/>
      <c r="U56" s="9"/>
      <c r="V56" s="9"/>
      <c r="W56" s="9"/>
      <c r="X56" s="9"/>
      <c r="Z56" s="125"/>
      <c r="AA56" s="9"/>
      <c r="AB56" s="9"/>
      <c r="AC56" s="9" t="s">
        <v>176</v>
      </c>
      <c r="AD56" s="9"/>
      <c r="AE56" s="9"/>
    </row>
    <row r="57" spans="1:31" x14ac:dyDescent="0.25">
      <c r="A57" s="9"/>
      <c r="B57" s="9"/>
      <c r="C57" s="9" t="s">
        <v>149</v>
      </c>
      <c r="D57" s="9" t="s">
        <v>150</v>
      </c>
      <c r="E57" s="21" t="s">
        <v>151</v>
      </c>
      <c r="F57" s="9"/>
      <c r="G57" s="9" t="s">
        <v>152</v>
      </c>
      <c r="H57" s="9" t="s">
        <v>153</v>
      </c>
      <c r="I57" s="9"/>
      <c r="J57" s="9"/>
      <c r="K57" s="9"/>
      <c r="M57" s="125"/>
      <c r="N57" s="9"/>
      <c r="O57" s="9"/>
      <c r="P57" s="9" t="s">
        <v>149</v>
      </c>
      <c r="Q57" s="9" t="s">
        <v>150</v>
      </c>
      <c r="R57" s="21" t="s">
        <v>151</v>
      </c>
      <c r="S57" s="9"/>
      <c r="T57" s="9" t="s">
        <v>152</v>
      </c>
      <c r="U57" s="9" t="s">
        <v>153</v>
      </c>
      <c r="V57" s="9"/>
      <c r="W57" s="9"/>
      <c r="X57" s="9"/>
      <c r="Z57" s="125"/>
      <c r="AA57" s="9"/>
      <c r="AB57" s="9"/>
      <c r="AC57" s="9" t="s">
        <v>184</v>
      </c>
      <c r="AD57" s="9"/>
      <c r="AE57" s="9"/>
    </row>
    <row r="58" spans="1:31" x14ac:dyDescent="0.25">
      <c r="A58" s="9"/>
      <c r="B58" s="9"/>
      <c r="C58" s="31" t="s">
        <v>185</v>
      </c>
      <c r="D58" s="31" t="s">
        <v>186</v>
      </c>
      <c r="E58" s="21" t="s">
        <v>187</v>
      </c>
      <c r="F58" s="9"/>
      <c r="G58" s="38">
        <f>INDEX(Pollution_under,MATCH($C58,Pollution_ID,0))</f>
        <v>-0.87378136977115628</v>
      </c>
      <c r="H58" s="38">
        <f>INDEX(Pollution_out,MATCH($C58,Pollution_ID,0))</f>
        <v>0.87378136977115628</v>
      </c>
      <c r="I58" s="9"/>
      <c r="J58" s="9"/>
      <c r="K58" s="9"/>
      <c r="M58" s="125"/>
      <c r="N58" s="9"/>
      <c r="O58" s="9"/>
      <c r="P58" s="31" t="s">
        <v>185</v>
      </c>
      <c r="Q58" s="31" t="s">
        <v>186</v>
      </c>
      <c r="R58" s="21" t="s">
        <v>188</v>
      </c>
      <c r="S58" s="9"/>
      <c r="T58" s="23">
        <f t="shared" ref="T58:U61" si="10">G58/($AC58/tenk)</f>
        <v>-0.28934116022754275</v>
      </c>
      <c r="U58" s="23">
        <f t="shared" si="10"/>
        <v>0.28934116022754275</v>
      </c>
      <c r="V58" s="9"/>
      <c r="W58" s="9"/>
      <c r="X58" s="9"/>
      <c r="Z58" s="125"/>
      <c r="AA58" s="9"/>
      <c r="AB58" s="31" t="s">
        <v>186</v>
      </c>
      <c r="AC58" s="129">
        <v>30199</v>
      </c>
      <c r="AD58" s="9"/>
      <c r="AE58" s="9"/>
    </row>
    <row r="59" spans="1:31" x14ac:dyDescent="0.25">
      <c r="A59" s="9"/>
      <c r="B59" s="9"/>
      <c r="C59" s="31" t="s">
        <v>189</v>
      </c>
      <c r="D59" s="31" t="s">
        <v>190</v>
      </c>
      <c r="E59" s="21" t="s">
        <v>187</v>
      </c>
      <c r="F59" s="9"/>
      <c r="G59" s="38">
        <f>INDEX(Pollution_under,MATCH($C59,Pollution_ID,0))</f>
        <v>-1.52</v>
      </c>
      <c r="H59" s="38">
        <f>INDEX(Pollution_out,MATCH($C59,Pollution_ID,0))</f>
        <v>1.52</v>
      </c>
      <c r="I59" s="9"/>
      <c r="J59" s="9"/>
      <c r="K59" s="9"/>
      <c r="M59" s="125"/>
      <c r="N59" s="9"/>
      <c r="O59" s="9"/>
      <c r="P59" s="31" t="s">
        <v>189</v>
      </c>
      <c r="Q59" s="31" t="s">
        <v>190</v>
      </c>
      <c r="R59" s="21" t="s">
        <v>188</v>
      </c>
      <c r="S59" s="9"/>
      <c r="T59" s="23">
        <f t="shared" si="10"/>
        <v>-0.19510767504816723</v>
      </c>
      <c r="U59" s="23">
        <f t="shared" si="10"/>
        <v>0.19510767504816723</v>
      </c>
      <c r="V59" s="9"/>
      <c r="W59" s="9"/>
      <c r="X59" s="9"/>
      <c r="Z59" s="125"/>
      <c r="AA59" s="9"/>
      <c r="AB59" s="31" t="s">
        <v>190</v>
      </c>
      <c r="AC59" s="129">
        <v>77905.7</v>
      </c>
      <c r="AD59" s="9"/>
      <c r="AE59" s="9"/>
    </row>
    <row r="60" spans="1:31" x14ac:dyDescent="0.25">
      <c r="A60" s="9"/>
      <c r="B60" s="9"/>
      <c r="C60" s="31" t="s">
        <v>191</v>
      </c>
      <c r="D60" s="31" t="s">
        <v>169</v>
      </c>
      <c r="E60" s="21" t="s">
        <v>187</v>
      </c>
      <c r="F60" s="9"/>
      <c r="G60" s="38">
        <f>INDEX(Pollution_under,MATCH($C60,Pollution_ID,0))</f>
        <v>-0.85418713118460732</v>
      </c>
      <c r="H60" s="38">
        <f>INDEX(Pollution_out,MATCH($C60,Pollution_ID,0))</f>
        <v>0.85418713118460732</v>
      </c>
      <c r="I60" s="9"/>
      <c r="J60" s="9"/>
      <c r="K60" s="9"/>
      <c r="M60" s="125"/>
      <c r="N60" s="9"/>
      <c r="O60" s="9"/>
      <c r="P60" s="31" t="s">
        <v>191</v>
      </c>
      <c r="Q60" s="31" t="s">
        <v>169</v>
      </c>
      <c r="R60" s="21" t="s">
        <v>188</v>
      </c>
      <c r="S60" s="9"/>
      <c r="T60" s="23">
        <f t="shared" si="10"/>
        <v>-0.23866975822087688</v>
      </c>
      <c r="U60" s="23">
        <f t="shared" si="10"/>
        <v>0.23866975822087688</v>
      </c>
      <c r="V60" s="9"/>
      <c r="W60" s="9"/>
      <c r="X60" s="9"/>
      <c r="Z60" s="125"/>
      <c r="AA60" s="9"/>
      <c r="AB60" s="31" t="s">
        <v>169</v>
      </c>
      <c r="AC60" s="129">
        <v>35789.5</v>
      </c>
      <c r="AD60" s="9"/>
      <c r="AE60" s="9"/>
    </row>
    <row r="61" spans="1:31" x14ac:dyDescent="0.25">
      <c r="A61" s="9"/>
      <c r="B61" s="9"/>
      <c r="C61" s="31" t="s">
        <v>192</v>
      </c>
      <c r="D61" s="31" t="s">
        <v>171</v>
      </c>
      <c r="E61" s="21" t="s">
        <v>187</v>
      </c>
      <c r="F61" s="9"/>
      <c r="G61" s="38">
        <f>INDEX(Pollution_under,MATCH($C61,Pollution_ID,0))</f>
        <v>-1.195465</v>
      </c>
      <c r="H61" s="38">
        <f>INDEX(Pollution_out,MATCH($C61,Pollution_ID,0))</f>
        <v>0.59977100000000005</v>
      </c>
      <c r="I61" s="9"/>
      <c r="J61" s="9"/>
      <c r="K61" s="9"/>
      <c r="M61" s="125"/>
      <c r="N61" s="9"/>
      <c r="O61" s="9"/>
      <c r="P61" s="31" t="s">
        <v>192</v>
      </c>
      <c r="Q61" s="31" t="s">
        <v>171</v>
      </c>
      <c r="R61" s="21" t="s">
        <v>188</v>
      </c>
      <c r="S61" s="9"/>
      <c r="T61" s="23">
        <f t="shared" si="10"/>
        <v>-0.22347646465024115</v>
      </c>
      <c r="U61" s="23">
        <f t="shared" si="10"/>
        <v>0.11211930309941302</v>
      </c>
      <c r="V61" s="9"/>
      <c r="W61" s="9"/>
      <c r="X61" s="9"/>
      <c r="Z61" s="125"/>
      <c r="AA61" s="9"/>
      <c r="AB61" s="31" t="s">
        <v>171</v>
      </c>
      <c r="AC61" s="129">
        <v>53494</v>
      </c>
      <c r="AD61" s="9"/>
      <c r="AE61" s="9"/>
    </row>
    <row r="62" spans="1:31" x14ac:dyDescent="0.25">
      <c r="A62" s="9"/>
      <c r="B62" s="9"/>
      <c r="C62" s="9"/>
      <c r="D62" s="9"/>
      <c r="E62" s="9"/>
      <c r="F62" s="9"/>
      <c r="G62" s="9"/>
      <c r="H62" s="9"/>
      <c r="I62" s="9"/>
      <c r="J62" s="9"/>
      <c r="K62" s="9"/>
      <c r="M62" s="125"/>
      <c r="N62" s="9"/>
      <c r="O62" s="9"/>
      <c r="P62" s="9"/>
      <c r="Q62" s="9"/>
      <c r="R62" s="9"/>
      <c r="S62" s="9"/>
      <c r="T62" s="9"/>
      <c r="U62" s="9"/>
      <c r="V62" s="9"/>
      <c r="W62" s="9"/>
      <c r="X62" s="9"/>
      <c r="Z62" s="125"/>
      <c r="AA62" s="9"/>
      <c r="AB62" s="9"/>
      <c r="AC62" s="9"/>
      <c r="AD62" s="9"/>
      <c r="AE62" s="9"/>
    </row>
    <row r="63" spans="1:31" ht="15" x14ac:dyDescent="0.35">
      <c r="A63" s="9"/>
      <c r="B63" s="51" t="s">
        <v>172</v>
      </c>
      <c r="C63" s="9"/>
      <c r="D63" s="9"/>
      <c r="E63" s="9"/>
      <c r="F63" s="9"/>
      <c r="G63" s="9"/>
      <c r="H63" s="9"/>
      <c r="I63" s="9"/>
      <c r="J63" s="9"/>
      <c r="K63" s="9"/>
      <c r="M63" s="125"/>
      <c r="N63" s="9"/>
      <c r="O63" s="51" t="s">
        <v>172</v>
      </c>
      <c r="P63" s="9"/>
      <c r="Q63" s="9"/>
      <c r="R63" s="9"/>
      <c r="S63" s="9"/>
      <c r="T63" s="9"/>
      <c r="U63" s="9"/>
      <c r="V63" s="9"/>
      <c r="W63" s="9"/>
      <c r="X63" s="9"/>
      <c r="Z63" s="125"/>
      <c r="AA63" s="9"/>
      <c r="AB63" s="4" t="s">
        <v>193</v>
      </c>
      <c r="AC63" s="9"/>
      <c r="AD63" s="9"/>
      <c r="AE63" s="9"/>
    </row>
    <row r="64" spans="1:31" x14ac:dyDescent="0.25">
      <c r="A64" s="9"/>
      <c r="B64" s="9"/>
      <c r="C64" s="9"/>
      <c r="D64" s="9"/>
      <c r="E64" s="9"/>
      <c r="F64" s="9"/>
      <c r="G64" s="9"/>
      <c r="H64" s="9"/>
      <c r="I64" s="9"/>
      <c r="J64" s="9"/>
      <c r="K64" s="9"/>
      <c r="M64" s="125"/>
      <c r="N64" s="9"/>
      <c r="O64" s="9"/>
      <c r="P64" s="9"/>
      <c r="Q64" s="9"/>
      <c r="R64" s="9"/>
      <c r="S64" s="9"/>
      <c r="T64" s="9"/>
      <c r="U64" s="9"/>
      <c r="V64" s="9"/>
      <c r="W64" s="9"/>
      <c r="X64" s="9"/>
      <c r="Z64" s="125"/>
      <c r="AA64" s="9"/>
      <c r="AB64" s="9"/>
      <c r="AC64" s="9"/>
      <c r="AD64" s="9"/>
      <c r="AE64" s="9"/>
    </row>
    <row r="65" spans="1:31" x14ac:dyDescent="0.25">
      <c r="A65" s="9"/>
      <c r="B65" s="9"/>
      <c r="C65" s="9" t="s">
        <v>149</v>
      </c>
      <c r="D65" s="9" t="s">
        <v>150</v>
      </c>
      <c r="E65" s="21" t="s">
        <v>151</v>
      </c>
      <c r="F65" s="9"/>
      <c r="G65" s="9" t="s">
        <v>174</v>
      </c>
      <c r="H65" s="9" t="s">
        <v>175</v>
      </c>
      <c r="I65" s="9" t="s">
        <v>176</v>
      </c>
      <c r="J65" s="9" t="s">
        <v>177</v>
      </c>
      <c r="K65" s="9" t="s">
        <v>178</v>
      </c>
      <c r="M65" s="125"/>
      <c r="N65" s="9"/>
      <c r="O65" s="9"/>
      <c r="P65" s="9" t="s">
        <v>149</v>
      </c>
      <c r="Q65" s="9" t="s">
        <v>150</v>
      </c>
      <c r="R65" s="21" t="s">
        <v>151</v>
      </c>
      <c r="S65" s="9"/>
      <c r="T65" s="9" t="s">
        <v>174</v>
      </c>
      <c r="U65" s="9" t="s">
        <v>175</v>
      </c>
      <c r="V65" s="9" t="s">
        <v>176</v>
      </c>
      <c r="W65" s="9" t="s">
        <v>177</v>
      </c>
      <c r="X65" s="9" t="s">
        <v>178</v>
      </c>
      <c r="Z65" s="125"/>
      <c r="AA65" s="9"/>
      <c r="AB65" s="9"/>
      <c r="AC65" s="9"/>
      <c r="AD65" s="9"/>
      <c r="AE65" s="9"/>
    </row>
    <row r="66" spans="1:31" x14ac:dyDescent="0.25">
      <c r="A66" s="9"/>
      <c r="B66" s="9"/>
      <c r="C66" s="31" t="s">
        <v>185</v>
      </c>
      <c r="D66" s="31" t="s">
        <v>186</v>
      </c>
      <c r="E66" s="21" t="s">
        <v>194</v>
      </c>
      <c r="F66" s="9"/>
      <c r="G66" s="46">
        <f t="shared" ref="G66:K69" si="11">collar_pollution</f>
        <v>98</v>
      </c>
      <c r="H66" s="46">
        <f t="shared" si="11"/>
        <v>98</v>
      </c>
      <c r="I66" s="46">
        <f t="shared" si="11"/>
        <v>98</v>
      </c>
      <c r="J66" s="46">
        <f t="shared" si="11"/>
        <v>98</v>
      </c>
      <c r="K66" s="46">
        <f t="shared" si="11"/>
        <v>98</v>
      </c>
      <c r="L66" s="46"/>
      <c r="M66" s="125"/>
      <c r="N66" s="9"/>
      <c r="O66" s="9"/>
      <c r="P66" s="31" t="s">
        <v>185</v>
      </c>
      <c r="Q66" s="31" t="s">
        <v>186</v>
      </c>
      <c r="R66" s="21" t="s">
        <v>195</v>
      </c>
      <c r="S66" s="9"/>
      <c r="T66" s="23">
        <f t="shared" ref="T66:X69" si="12">G66*($AC58/tenk)</f>
        <v>295.9502</v>
      </c>
      <c r="U66" s="23">
        <f t="shared" si="12"/>
        <v>295.9502</v>
      </c>
      <c r="V66" s="23">
        <f t="shared" si="12"/>
        <v>295.9502</v>
      </c>
      <c r="W66" s="23">
        <f t="shared" si="12"/>
        <v>295.9502</v>
      </c>
      <c r="X66" s="23">
        <f t="shared" si="12"/>
        <v>295.9502</v>
      </c>
      <c r="Y66" s="25"/>
      <c r="Z66" s="126"/>
      <c r="AA66" s="9"/>
      <c r="AB66" s="9"/>
      <c r="AC66" s="9"/>
      <c r="AD66" s="9"/>
      <c r="AE66" s="9"/>
    </row>
    <row r="67" spans="1:31" x14ac:dyDescent="0.25">
      <c r="A67" s="9"/>
      <c r="B67" s="9"/>
      <c r="C67" s="31" t="s">
        <v>189</v>
      </c>
      <c r="D67" s="31" t="s">
        <v>190</v>
      </c>
      <c r="E67" s="21" t="s">
        <v>194</v>
      </c>
      <c r="F67" s="9"/>
      <c r="G67" s="46">
        <f t="shared" si="11"/>
        <v>98</v>
      </c>
      <c r="H67" s="46">
        <f t="shared" si="11"/>
        <v>98</v>
      </c>
      <c r="I67" s="46">
        <f t="shared" si="11"/>
        <v>98</v>
      </c>
      <c r="J67" s="46">
        <f t="shared" si="11"/>
        <v>98</v>
      </c>
      <c r="K67" s="46">
        <f t="shared" si="11"/>
        <v>98</v>
      </c>
      <c r="L67" s="46"/>
      <c r="M67" s="125"/>
      <c r="N67" s="9"/>
      <c r="O67" s="9"/>
      <c r="P67" s="31" t="s">
        <v>189</v>
      </c>
      <c r="Q67" s="31" t="s">
        <v>190</v>
      </c>
      <c r="R67" s="21" t="s">
        <v>195</v>
      </c>
      <c r="S67" s="9"/>
      <c r="T67" s="23">
        <f t="shared" si="12"/>
        <v>763.47586000000001</v>
      </c>
      <c r="U67" s="23">
        <f t="shared" si="12"/>
        <v>763.47586000000001</v>
      </c>
      <c r="V67" s="23">
        <f t="shared" si="12"/>
        <v>763.47586000000001</v>
      </c>
      <c r="W67" s="23">
        <f t="shared" si="12"/>
        <v>763.47586000000001</v>
      </c>
      <c r="X67" s="23">
        <f t="shared" si="12"/>
        <v>763.47586000000001</v>
      </c>
      <c r="Y67" s="25"/>
      <c r="Z67" s="126"/>
      <c r="AA67" s="9"/>
      <c r="AB67" s="9"/>
      <c r="AC67" s="9"/>
      <c r="AD67" s="9"/>
      <c r="AE67" s="9"/>
    </row>
    <row r="68" spans="1:31" x14ac:dyDescent="0.25">
      <c r="A68" s="9"/>
      <c r="B68" s="9"/>
      <c r="C68" s="31" t="s">
        <v>191</v>
      </c>
      <c r="D68" s="31" t="s">
        <v>169</v>
      </c>
      <c r="E68" s="21" t="s">
        <v>194</v>
      </c>
      <c r="F68" s="9"/>
      <c r="G68" s="46">
        <f t="shared" si="11"/>
        <v>98</v>
      </c>
      <c r="H68" s="46">
        <f t="shared" si="11"/>
        <v>98</v>
      </c>
      <c r="I68" s="46">
        <f t="shared" si="11"/>
        <v>98</v>
      </c>
      <c r="J68" s="46">
        <f t="shared" si="11"/>
        <v>98</v>
      </c>
      <c r="K68" s="46">
        <f t="shared" si="11"/>
        <v>98</v>
      </c>
      <c r="L68" s="46"/>
      <c r="M68" s="125"/>
      <c r="N68" s="9"/>
      <c r="O68" s="9"/>
      <c r="P68" s="31" t="s">
        <v>191</v>
      </c>
      <c r="Q68" s="31" t="s">
        <v>169</v>
      </c>
      <c r="R68" s="21" t="s">
        <v>195</v>
      </c>
      <c r="S68" s="9"/>
      <c r="T68" s="23">
        <f t="shared" si="12"/>
        <v>350.7371</v>
      </c>
      <c r="U68" s="23">
        <f t="shared" si="12"/>
        <v>350.7371</v>
      </c>
      <c r="V68" s="23">
        <f t="shared" si="12"/>
        <v>350.7371</v>
      </c>
      <c r="W68" s="23">
        <f t="shared" si="12"/>
        <v>350.7371</v>
      </c>
      <c r="X68" s="23">
        <f t="shared" si="12"/>
        <v>350.7371</v>
      </c>
      <c r="Y68" s="25"/>
      <c r="Z68" s="126"/>
      <c r="AA68" s="9"/>
      <c r="AB68" s="9"/>
      <c r="AC68" s="9"/>
      <c r="AD68" s="9"/>
      <c r="AE68" s="9"/>
    </row>
    <row r="69" spans="1:31" x14ac:dyDescent="0.25">
      <c r="A69" s="9"/>
      <c r="B69" s="9"/>
      <c r="C69" s="31" t="s">
        <v>192</v>
      </c>
      <c r="D69" s="31" t="s">
        <v>171</v>
      </c>
      <c r="E69" s="21" t="s">
        <v>194</v>
      </c>
      <c r="F69" s="9"/>
      <c r="G69" s="46">
        <f t="shared" si="11"/>
        <v>98</v>
      </c>
      <c r="H69" s="46">
        <f t="shared" si="11"/>
        <v>98</v>
      </c>
      <c r="I69" s="46">
        <f t="shared" si="11"/>
        <v>98</v>
      </c>
      <c r="J69" s="46">
        <f t="shared" si="11"/>
        <v>98</v>
      </c>
      <c r="K69" s="46">
        <f t="shared" si="11"/>
        <v>98</v>
      </c>
      <c r="L69" s="46"/>
      <c r="M69" s="125"/>
      <c r="N69" s="9"/>
      <c r="O69" s="9"/>
      <c r="P69" s="31" t="s">
        <v>192</v>
      </c>
      <c r="Q69" s="31" t="s">
        <v>171</v>
      </c>
      <c r="R69" s="21" t="s">
        <v>195</v>
      </c>
      <c r="S69" s="9"/>
      <c r="T69" s="23">
        <f t="shared" si="12"/>
        <v>524.24120000000005</v>
      </c>
      <c r="U69" s="23">
        <f t="shared" si="12"/>
        <v>524.24120000000005</v>
      </c>
      <c r="V69" s="23">
        <f t="shared" si="12"/>
        <v>524.24120000000005</v>
      </c>
      <c r="W69" s="23">
        <f t="shared" si="12"/>
        <v>524.24120000000005</v>
      </c>
      <c r="X69" s="23">
        <f t="shared" si="12"/>
        <v>524.24120000000005</v>
      </c>
      <c r="Y69" s="25"/>
      <c r="Z69" s="126"/>
      <c r="AA69" s="9"/>
      <c r="AB69" s="9"/>
      <c r="AC69" s="9"/>
      <c r="AD69" s="9"/>
      <c r="AE69" s="9"/>
    </row>
    <row r="70" spans="1:31" x14ac:dyDescent="0.25">
      <c r="A70" s="9"/>
      <c r="B70" s="9"/>
      <c r="C70" s="9"/>
      <c r="D70" s="9"/>
      <c r="E70" s="9"/>
      <c r="F70" s="9"/>
      <c r="G70" s="9"/>
      <c r="H70" s="9"/>
      <c r="I70" s="9"/>
      <c r="J70" s="9"/>
      <c r="K70" s="9"/>
      <c r="M70" s="125"/>
      <c r="N70" s="9"/>
      <c r="O70" s="9"/>
      <c r="P70" s="9"/>
      <c r="Q70" s="9"/>
      <c r="R70" s="9"/>
      <c r="S70" s="9"/>
      <c r="T70" s="9"/>
      <c r="U70" s="9"/>
      <c r="V70" s="9"/>
      <c r="W70" s="9"/>
      <c r="X70" s="9"/>
      <c r="Z70" s="125"/>
      <c r="AA70" s="9"/>
      <c r="AB70" s="9"/>
      <c r="AC70" s="9"/>
      <c r="AD70" s="9"/>
      <c r="AE70" s="9"/>
    </row>
    <row r="71" spans="1:31" ht="15" x14ac:dyDescent="0.35">
      <c r="A71" s="9"/>
      <c r="B71" s="51" t="s">
        <v>181</v>
      </c>
      <c r="C71" s="9"/>
      <c r="D71" s="9"/>
      <c r="E71" s="9"/>
      <c r="F71" s="9"/>
      <c r="G71" s="9"/>
      <c r="H71" s="9"/>
      <c r="I71" s="9"/>
      <c r="J71" s="9"/>
      <c r="K71" s="9"/>
      <c r="M71" s="125"/>
      <c r="N71" s="9"/>
      <c r="O71" s="51" t="s">
        <v>181</v>
      </c>
      <c r="P71" s="9"/>
      <c r="Q71" s="9"/>
      <c r="R71" s="9"/>
      <c r="S71" s="9"/>
      <c r="T71" s="9"/>
      <c r="U71" s="9"/>
      <c r="V71" s="9"/>
      <c r="W71" s="9"/>
      <c r="X71" s="9"/>
      <c r="Z71" s="125"/>
      <c r="AA71" s="9"/>
      <c r="AB71" s="9"/>
      <c r="AC71" s="9"/>
      <c r="AD71" s="9"/>
      <c r="AE71" s="9"/>
    </row>
    <row r="72" spans="1:31" x14ac:dyDescent="0.25">
      <c r="A72" s="9"/>
      <c r="B72" s="9"/>
      <c r="C72" s="9"/>
      <c r="D72" s="9"/>
      <c r="E72" s="9"/>
      <c r="F72" s="9"/>
      <c r="G72" s="9"/>
      <c r="H72" s="9"/>
      <c r="I72" s="9"/>
      <c r="J72" s="9"/>
      <c r="K72" s="9"/>
      <c r="M72" s="125"/>
      <c r="N72" s="9"/>
      <c r="O72" s="9"/>
      <c r="P72" s="9"/>
      <c r="Q72" s="9"/>
      <c r="R72" s="9"/>
      <c r="S72" s="9"/>
      <c r="T72" s="9"/>
      <c r="U72" s="9"/>
      <c r="V72" s="9"/>
      <c r="W72" s="9"/>
      <c r="X72" s="9"/>
      <c r="Z72" s="125"/>
      <c r="AA72" s="9"/>
      <c r="AB72" s="9"/>
      <c r="AC72" s="9"/>
      <c r="AD72" s="9"/>
      <c r="AE72" s="9"/>
    </row>
    <row r="73" spans="1:31" x14ac:dyDescent="0.25">
      <c r="A73" s="9"/>
      <c r="B73" s="9"/>
      <c r="C73" s="9" t="s">
        <v>149</v>
      </c>
      <c r="D73" s="9" t="s">
        <v>150</v>
      </c>
      <c r="E73" s="21" t="s">
        <v>151</v>
      </c>
      <c r="F73" s="9"/>
      <c r="G73" s="9" t="s">
        <v>174</v>
      </c>
      <c r="H73" s="9" t="s">
        <v>175</v>
      </c>
      <c r="I73" s="9" t="s">
        <v>176</v>
      </c>
      <c r="J73" s="9" t="s">
        <v>177</v>
      </c>
      <c r="K73" s="9" t="s">
        <v>178</v>
      </c>
      <c r="M73" s="125"/>
      <c r="N73" s="9"/>
      <c r="O73" s="9"/>
      <c r="P73" s="9" t="s">
        <v>149</v>
      </c>
      <c r="Q73" s="9" t="s">
        <v>150</v>
      </c>
      <c r="R73" s="21" t="s">
        <v>151</v>
      </c>
      <c r="S73" s="9"/>
      <c r="T73" s="9" t="s">
        <v>174</v>
      </c>
      <c r="U73" s="9" t="s">
        <v>175</v>
      </c>
      <c r="V73" s="9" t="s">
        <v>176</v>
      </c>
      <c r="W73" s="9" t="s">
        <v>177</v>
      </c>
      <c r="X73" s="9" t="s">
        <v>178</v>
      </c>
      <c r="Z73" s="125"/>
      <c r="AA73" s="9"/>
      <c r="AB73" s="9"/>
      <c r="AC73" s="9"/>
      <c r="AD73" s="9"/>
      <c r="AE73" s="9"/>
    </row>
    <row r="74" spans="1:31" x14ac:dyDescent="0.25">
      <c r="A74" s="9"/>
      <c r="B74" s="9"/>
      <c r="C74" s="31" t="s">
        <v>185</v>
      </c>
      <c r="D74" s="31" t="s">
        <v>186</v>
      </c>
      <c r="E74" s="21" t="s">
        <v>194</v>
      </c>
      <c r="F74" s="9"/>
      <c r="G74" s="46">
        <f t="shared" ref="G74:K77" si="13">INDEX(threshold_under_pollution,MATCH($C74,threshold_under_company_pollution,0),MATCH(G$22,threshold_year_pollution,0))</f>
        <v>41.596262849457197</v>
      </c>
      <c r="H74" s="46">
        <f t="shared" si="13"/>
        <v>41.596262849457197</v>
      </c>
      <c r="I74" s="46">
        <f t="shared" si="13"/>
        <v>41.596262849457197</v>
      </c>
      <c r="J74" s="46">
        <f t="shared" si="13"/>
        <v>41.596262849457197</v>
      </c>
      <c r="K74" s="46">
        <f t="shared" si="13"/>
        <v>41.596262849457197</v>
      </c>
      <c r="L74" s="46"/>
      <c r="M74" s="125"/>
      <c r="N74" s="9"/>
      <c r="O74" s="9"/>
      <c r="P74" s="31" t="s">
        <v>185</v>
      </c>
      <c r="Q74" s="31" t="s">
        <v>186</v>
      </c>
      <c r="R74" s="21" t="s">
        <v>195</v>
      </c>
      <c r="S74" s="9"/>
      <c r="T74" s="23">
        <f t="shared" ref="T74:X77" si="14">G74*($AC58/tenk)</f>
        <v>125.61655417907578</v>
      </c>
      <c r="U74" s="23">
        <f t="shared" si="14"/>
        <v>125.61655417907578</v>
      </c>
      <c r="V74" s="23">
        <f t="shared" si="14"/>
        <v>125.61655417907578</v>
      </c>
      <c r="W74" s="23">
        <f t="shared" si="14"/>
        <v>125.61655417907578</v>
      </c>
      <c r="X74" s="23">
        <f t="shared" si="14"/>
        <v>125.61655417907578</v>
      </c>
      <c r="Y74" s="25"/>
      <c r="Z74" s="126"/>
      <c r="AA74" s="9"/>
      <c r="AB74" s="9"/>
      <c r="AC74" s="9"/>
      <c r="AD74" s="9"/>
      <c r="AE74" s="9"/>
    </row>
    <row r="75" spans="1:31" x14ac:dyDescent="0.25">
      <c r="A75" s="9"/>
      <c r="B75" s="9"/>
      <c r="C75" s="31" t="s">
        <v>189</v>
      </c>
      <c r="D75" s="31" t="s">
        <v>190</v>
      </c>
      <c r="E75" s="21" t="s">
        <v>194</v>
      </c>
      <c r="F75" s="9"/>
      <c r="G75" s="46">
        <f t="shared" si="13"/>
        <v>41.596262849457197</v>
      </c>
      <c r="H75" s="46">
        <f t="shared" si="13"/>
        <v>41.596262849457197</v>
      </c>
      <c r="I75" s="46">
        <f t="shared" si="13"/>
        <v>41.596262849457197</v>
      </c>
      <c r="J75" s="46">
        <f t="shared" si="13"/>
        <v>41.596262849457197</v>
      </c>
      <c r="K75" s="46">
        <f t="shared" si="13"/>
        <v>41.596262849457197</v>
      </c>
      <c r="L75" s="46"/>
      <c r="M75" s="125"/>
      <c r="N75" s="9"/>
      <c r="O75" s="9"/>
      <c r="P75" s="31" t="s">
        <v>189</v>
      </c>
      <c r="Q75" s="31" t="s">
        <v>190</v>
      </c>
      <c r="R75" s="21" t="s">
        <v>195</v>
      </c>
      <c r="S75" s="9"/>
      <c r="T75" s="23">
        <f t="shared" si="14"/>
        <v>324.05859746709575</v>
      </c>
      <c r="U75" s="23">
        <f t="shared" si="14"/>
        <v>324.05859746709575</v>
      </c>
      <c r="V75" s="23">
        <f t="shared" si="14"/>
        <v>324.05859746709575</v>
      </c>
      <c r="W75" s="23">
        <f t="shared" si="14"/>
        <v>324.05859746709575</v>
      </c>
      <c r="X75" s="23">
        <f t="shared" si="14"/>
        <v>324.05859746709575</v>
      </c>
      <c r="Y75" s="25"/>
      <c r="Z75" s="126"/>
      <c r="AA75" s="9"/>
      <c r="AB75" s="9"/>
      <c r="AC75" s="9"/>
      <c r="AD75" s="9"/>
      <c r="AE75" s="9"/>
    </row>
    <row r="76" spans="1:31" x14ac:dyDescent="0.25">
      <c r="A76" s="9"/>
      <c r="B76" s="9"/>
      <c r="C76" s="31" t="s">
        <v>191</v>
      </c>
      <c r="D76" s="31" t="s">
        <v>169</v>
      </c>
      <c r="E76" s="21" t="s">
        <v>194</v>
      </c>
      <c r="F76" s="9"/>
      <c r="G76" s="46">
        <f t="shared" si="13"/>
        <v>41.596262849457197</v>
      </c>
      <c r="H76" s="46">
        <f t="shared" si="13"/>
        <v>41.596262849457197</v>
      </c>
      <c r="I76" s="46">
        <f t="shared" si="13"/>
        <v>41.596262849457197</v>
      </c>
      <c r="J76" s="46">
        <f t="shared" si="13"/>
        <v>41.596262849457197</v>
      </c>
      <c r="K76" s="46">
        <f t="shared" si="13"/>
        <v>41.596262849457197</v>
      </c>
      <c r="L76" s="46"/>
      <c r="M76" s="125"/>
      <c r="N76" s="9"/>
      <c r="O76" s="9"/>
      <c r="P76" s="31" t="s">
        <v>191</v>
      </c>
      <c r="Q76" s="31" t="s">
        <v>169</v>
      </c>
      <c r="R76" s="21" t="s">
        <v>195</v>
      </c>
      <c r="S76" s="9"/>
      <c r="T76" s="23">
        <f t="shared" si="14"/>
        <v>148.87094492506483</v>
      </c>
      <c r="U76" s="23">
        <f t="shared" si="14"/>
        <v>148.87094492506483</v>
      </c>
      <c r="V76" s="23">
        <f t="shared" si="14"/>
        <v>148.87094492506483</v>
      </c>
      <c r="W76" s="23">
        <f t="shared" si="14"/>
        <v>148.87094492506483</v>
      </c>
      <c r="X76" s="23">
        <f t="shared" si="14"/>
        <v>148.87094492506483</v>
      </c>
      <c r="Y76" s="25"/>
      <c r="Z76" s="126"/>
      <c r="AA76" s="9"/>
      <c r="AB76" s="9"/>
      <c r="AC76" s="9"/>
      <c r="AD76" s="9"/>
      <c r="AE76" s="9"/>
    </row>
    <row r="77" spans="1:31" x14ac:dyDescent="0.25">
      <c r="A77" s="9"/>
      <c r="B77" s="9"/>
      <c r="C77" s="31" t="s">
        <v>192</v>
      </c>
      <c r="D77" s="31" t="s">
        <v>171</v>
      </c>
      <c r="E77" s="21" t="s">
        <v>194</v>
      </c>
      <c r="F77" s="9"/>
      <c r="G77" s="46">
        <f t="shared" si="13"/>
        <v>41.596262849457197</v>
      </c>
      <c r="H77" s="46">
        <f t="shared" si="13"/>
        <v>41.596262849457197</v>
      </c>
      <c r="I77" s="46">
        <f t="shared" si="13"/>
        <v>41.596262849457197</v>
      </c>
      <c r="J77" s="46">
        <f t="shared" si="13"/>
        <v>41.596262849457197</v>
      </c>
      <c r="K77" s="46">
        <f t="shared" si="13"/>
        <v>41.596262849457197</v>
      </c>
      <c r="L77" s="46"/>
      <c r="M77" s="125"/>
      <c r="N77" s="9"/>
      <c r="O77" s="9"/>
      <c r="P77" s="31" t="s">
        <v>192</v>
      </c>
      <c r="Q77" s="31" t="s">
        <v>171</v>
      </c>
      <c r="R77" s="21" t="s">
        <v>195</v>
      </c>
      <c r="S77" s="9"/>
      <c r="T77" s="23">
        <f t="shared" si="14"/>
        <v>222.51504848688634</v>
      </c>
      <c r="U77" s="23">
        <f t="shared" si="14"/>
        <v>222.51504848688634</v>
      </c>
      <c r="V77" s="23">
        <f t="shared" si="14"/>
        <v>222.51504848688634</v>
      </c>
      <c r="W77" s="23">
        <f t="shared" si="14"/>
        <v>222.51504848688634</v>
      </c>
      <c r="X77" s="23">
        <f t="shared" si="14"/>
        <v>222.51504848688634</v>
      </c>
      <c r="Y77" s="25"/>
      <c r="Z77" s="126"/>
      <c r="AA77" s="9"/>
      <c r="AB77" s="9"/>
      <c r="AC77" s="9"/>
      <c r="AD77" s="9"/>
      <c r="AE77" s="9"/>
    </row>
    <row r="78" spans="1:31" x14ac:dyDescent="0.25">
      <c r="A78" s="9"/>
      <c r="B78" s="9"/>
      <c r="C78" s="9"/>
      <c r="D78" s="9"/>
      <c r="E78" s="9"/>
      <c r="F78" s="9"/>
      <c r="G78" s="9"/>
      <c r="H78" s="9"/>
      <c r="I78" s="9"/>
      <c r="J78" s="9"/>
      <c r="K78" s="9"/>
      <c r="M78" s="125"/>
      <c r="N78" s="9"/>
      <c r="O78" s="9"/>
      <c r="P78" s="9"/>
      <c r="Q78" s="9"/>
      <c r="R78" s="9"/>
      <c r="S78" s="9"/>
      <c r="T78" s="9"/>
      <c r="U78" s="9"/>
      <c r="V78" s="9"/>
      <c r="W78" s="9"/>
      <c r="X78" s="9"/>
      <c r="Z78" s="125"/>
      <c r="AA78" s="9"/>
      <c r="AB78" s="9"/>
      <c r="AC78" s="9"/>
      <c r="AD78" s="9"/>
      <c r="AE78" s="9"/>
    </row>
    <row r="79" spans="1:31" ht="15" x14ac:dyDescent="0.35">
      <c r="A79" s="9"/>
      <c r="B79" s="51" t="s">
        <v>182</v>
      </c>
      <c r="C79" s="9"/>
      <c r="D79" s="9"/>
      <c r="E79" s="9"/>
      <c r="F79" s="9"/>
      <c r="G79" s="9"/>
      <c r="H79" s="9"/>
      <c r="I79" s="9"/>
      <c r="J79" s="9"/>
      <c r="K79" s="9"/>
      <c r="M79" s="125"/>
      <c r="N79" s="9"/>
      <c r="O79" s="51" t="s">
        <v>182</v>
      </c>
      <c r="P79" s="9"/>
      <c r="Q79" s="9"/>
      <c r="R79" s="9"/>
      <c r="S79" s="9"/>
      <c r="T79" s="9"/>
      <c r="U79" s="9"/>
      <c r="V79" s="9"/>
      <c r="W79" s="9"/>
      <c r="X79" s="9"/>
      <c r="Z79" s="125"/>
      <c r="AA79" s="9"/>
      <c r="AB79" s="9"/>
      <c r="AC79" s="9"/>
      <c r="AD79" s="9"/>
      <c r="AE79" s="9"/>
    </row>
    <row r="80" spans="1:31" x14ac:dyDescent="0.25">
      <c r="A80" s="9"/>
      <c r="B80" s="9"/>
      <c r="C80" s="9"/>
      <c r="D80" s="9"/>
      <c r="E80" s="9"/>
      <c r="F80" s="9"/>
      <c r="G80" s="9"/>
      <c r="H80" s="9"/>
      <c r="I80" s="9"/>
      <c r="J80" s="9"/>
      <c r="K80" s="9"/>
      <c r="M80" s="125"/>
      <c r="N80" s="9"/>
      <c r="O80" s="9"/>
      <c r="P80" s="9"/>
      <c r="Q80" s="9"/>
      <c r="R80" s="9"/>
      <c r="S80" s="9"/>
      <c r="T80" s="9"/>
      <c r="U80" s="9"/>
      <c r="V80" s="9"/>
      <c r="W80" s="9"/>
      <c r="X80" s="9"/>
      <c r="Z80" s="125"/>
      <c r="AA80" s="9"/>
      <c r="AB80" s="9"/>
      <c r="AC80" s="9"/>
      <c r="AD80" s="9"/>
      <c r="AE80" s="9"/>
    </row>
    <row r="81" spans="1:31" x14ac:dyDescent="0.25">
      <c r="A81" s="9"/>
      <c r="B81" s="9"/>
      <c r="C81" s="9" t="s">
        <v>149</v>
      </c>
      <c r="D81" s="9" t="s">
        <v>150</v>
      </c>
      <c r="E81" s="21" t="s">
        <v>151</v>
      </c>
      <c r="F81" s="9"/>
      <c r="G81" s="9" t="s">
        <v>174</v>
      </c>
      <c r="H81" s="9" t="s">
        <v>175</v>
      </c>
      <c r="I81" s="9" t="s">
        <v>176</v>
      </c>
      <c r="J81" s="9" t="s">
        <v>177</v>
      </c>
      <c r="K81" s="9" t="s">
        <v>178</v>
      </c>
      <c r="M81" s="125"/>
      <c r="N81" s="9"/>
      <c r="O81" s="9"/>
      <c r="P81" s="9" t="s">
        <v>149</v>
      </c>
      <c r="Q81" s="9" t="s">
        <v>150</v>
      </c>
      <c r="R81" s="21" t="s">
        <v>151</v>
      </c>
      <c r="S81" s="9"/>
      <c r="T81" s="9" t="s">
        <v>174</v>
      </c>
      <c r="U81" s="9" t="s">
        <v>175</v>
      </c>
      <c r="V81" s="9" t="s">
        <v>176</v>
      </c>
      <c r="W81" s="9" t="s">
        <v>177</v>
      </c>
      <c r="X81" s="9" t="s">
        <v>178</v>
      </c>
      <c r="Z81" s="125"/>
      <c r="AA81" s="9"/>
      <c r="AB81" s="9"/>
      <c r="AC81" s="9"/>
      <c r="AD81" s="9"/>
      <c r="AE81" s="9"/>
    </row>
    <row r="82" spans="1:31" x14ac:dyDescent="0.25">
      <c r="A82" s="9"/>
      <c r="B82" s="9"/>
      <c r="C82" s="31" t="s">
        <v>185</v>
      </c>
      <c r="D82" s="31" t="s">
        <v>186</v>
      </c>
      <c r="E82" s="21" t="s">
        <v>194</v>
      </c>
      <c r="F82" s="9"/>
      <c r="G82" s="124">
        <f t="shared" ref="G82:K85" si="15">INDEX(threshold_out_pollution,MATCH($C82,threshold_out_company_pollution,0),MATCH(G$22,threshold_year_pollution,0))</f>
        <v>11.834571990864323</v>
      </c>
      <c r="H82" s="124">
        <f t="shared" si="15"/>
        <v>11.463187136305063</v>
      </c>
      <c r="I82" s="124">
        <f t="shared" si="15"/>
        <v>11.10773947316382</v>
      </c>
      <c r="J82" s="124">
        <f t="shared" si="15"/>
        <v>10.817972356472589</v>
      </c>
      <c r="K82" s="124">
        <f t="shared" si="15"/>
        <v>9.4174312924649772</v>
      </c>
      <c r="L82" s="124"/>
      <c r="M82" s="125"/>
      <c r="N82" s="9"/>
      <c r="O82" s="9"/>
      <c r="P82" s="31" t="s">
        <v>185</v>
      </c>
      <c r="Q82" s="31" t="s">
        <v>186</v>
      </c>
      <c r="R82" s="21" t="s">
        <v>195</v>
      </c>
      <c r="S82" s="9"/>
      <c r="T82" s="23">
        <f t="shared" ref="T82:X85" si="16">G82*($AC58/tenk)</f>
        <v>35.739223955211166</v>
      </c>
      <c r="U82" s="23">
        <f t="shared" si="16"/>
        <v>34.617678832927659</v>
      </c>
      <c r="V82" s="23">
        <f t="shared" si="16"/>
        <v>33.544262435007418</v>
      </c>
      <c r="W82" s="23">
        <f t="shared" si="16"/>
        <v>32.669194719311569</v>
      </c>
      <c r="X82" s="23">
        <f t="shared" si="16"/>
        <v>28.439700760114984</v>
      </c>
      <c r="Y82" s="25"/>
      <c r="Z82" s="126"/>
      <c r="AA82" s="9"/>
      <c r="AB82" s="9"/>
      <c r="AC82" s="9"/>
      <c r="AD82" s="9"/>
      <c r="AE82" s="9"/>
    </row>
    <row r="83" spans="1:31" x14ac:dyDescent="0.25">
      <c r="A83" s="9"/>
      <c r="B83" s="9"/>
      <c r="C83" s="31" t="s">
        <v>189</v>
      </c>
      <c r="D83" s="31" t="s">
        <v>190</v>
      </c>
      <c r="E83" s="21" t="s">
        <v>194</v>
      </c>
      <c r="F83" s="9"/>
      <c r="G83" s="124">
        <f t="shared" si="15"/>
        <v>11.834571990864323</v>
      </c>
      <c r="H83" s="124">
        <f t="shared" si="15"/>
        <v>11.463187136305063</v>
      </c>
      <c r="I83" s="124">
        <f t="shared" si="15"/>
        <v>11.10773947316382</v>
      </c>
      <c r="J83" s="124">
        <f t="shared" si="15"/>
        <v>10.817972356472589</v>
      </c>
      <c r="K83" s="124">
        <f t="shared" si="15"/>
        <v>9.4174312924649772</v>
      </c>
      <c r="L83" s="124"/>
      <c r="M83" s="125"/>
      <c r="N83" s="9"/>
      <c r="O83" s="9"/>
      <c r="P83" s="31" t="s">
        <v>189</v>
      </c>
      <c r="Q83" s="31" t="s">
        <v>190</v>
      </c>
      <c r="R83" s="21" t="s">
        <v>195</v>
      </c>
      <c r="S83" s="9"/>
      <c r="T83" s="23">
        <f t="shared" si="16"/>
        <v>92.19806151486786</v>
      </c>
      <c r="U83" s="23">
        <f t="shared" si="16"/>
        <v>89.30476180848413</v>
      </c>
      <c r="V83" s="23">
        <f t="shared" si="16"/>
        <v>86.535621907445858</v>
      </c>
      <c r="W83" s="23">
        <f t="shared" si="16"/>
        <v>84.278170901164657</v>
      </c>
      <c r="X83" s="23">
        <f t="shared" si="16"/>
        <v>73.367157704138876</v>
      </c>
      <c r="Y83" s="25"/>
      <c r="Z83" s="126"/>
      <c r="AA83" s="9"/>
      <c r="AB83" s="9"/>
      <c r="AC83" s="9"/>
      <c r="AD83" s="9"/>
      <c r="AE83" s="9"/>
    </row>
    <row r="84" spans="1:31" x14ac:dyDescent="0.25">
      <c r="A84" s="9"/>
      <c r="B84" s="9"/>
      <c r="C84" s="31" t="s">
        <v>191</v>
      </c>
      <c r="D84" s="31" t="s">
        <v>169</v>
      </c>
      <c r="E84" s="21" t="s">
        <v>194</v>
      </c>
      <c r="F84" s="9"/>
      <c r="G84" s="124">
        <f t="shared" si="15"/>
        <v>11.834571990864323</v>
      </c>
      <c r="H84" s="124">
        <f t="shared" si="15"/>
        <v>11.463187136305063</v>
      </c>
      <c r="I84" s="124">
        <f t="shared" si="15"/>
        <v>11.10773947316382</v>
      </c>
      <c r="J84" s="124">
        <f t="shared" si="15"/>
        <v>10.817972356472589</v>
      </c>
      <c r="K84" s="124">
        <f t="shared" si="15"/>
        <v>9.4174312924649772</v>
      </c>
      <c r="L84" s="124"/>
      <c r="M84" s="125"/>
      <c r="N84" s="9"/>
      <c r="O84" s="9"/>
      <c r="P84" s="31" t="s">
        <v>191</v>
      </c>
      <c r="Q84" s="31" t="s">
        <v>169</v>
      </c>
      <c r="R84" s="21" t="s">
        <v>195</v>
      </c>
      <c r="S84" s="9"/>
      <c r="T84" s="23">
        <f t="shared" si="16"/>
        <v>42.355341426703866</v>
      </c>
      <c r="U84" s="23">
        <f t="shared" si="16"/>
        <v>41.026173601479002</v>
      </c>
      <c r="V84" s="23">
        <f t="shared" si="16"/>
        <v>39.75404418747965</v>
      </c>
      <c r="W84" s="23">
        <f t="shared" si="16"/>
        <v>38.716982165197571</v>
      </c>
      <c r="X84" s="23">
        <f t="shared" si="16"/>
        <v>33.704515724167528</v>
      </c>
      <c r="Y84" s="25"/>
      <c r="Z84" s="126"/>
      <c r="AA84" s="9"/>
      <c r="AB84" s="9"/>
      <c r="AC84" s="9"/>
      <c r="AD84" s="9"/>
      <c r="AE84" s="9"/>
    </row>
    <row r="85" spans="1:31" x14ac:dyDescent="0.25">
      <c r="A85" s="9"/>
      <c r="B85" s="9"/>
      <c r="C85" s="31" t="s">
        <v>192</v>
      </c>
      <c r="D85" s="31" t="s">
        <v>171</v>
      </c>
      <c r="E85" s="21" t="s">
        <v>194</v>
      </c>
      <c r="F85" s="9"/>
      <c r="G85" s="124">
        <f t="shared" si="15"/>
        <v>11.834571990864323</v>
      </c>
      <c r="H85" s="124">
        <f t="shared" si="15"/>
        <v>11.463187136305063</v>
      </c>
      <c r="I85" s="124">
        <f t="shared" si="15"/>
        <v>11.10773947316382</v>
      </c>
      <c r="J85" s="124">
        <f t="shared" si="15"/>
        <v>10.817972356472589</v>
      </c>
      <c r="K85" s="124">
        <f t="shared" si="15"/>
        <v>9.4174312924649772</v>
      </c>
      <c r="L85" s="124"/>
      <c r="M85" s="125"/>
      <c r="N85" s="9"/>
      <c r="O85" s="9"/>
      <c r="P85" s="31" t="s">
        <v>192</v>
      </c>
      <c r="Q85" s="31" t="s">
        <v>171</v>
      </c>
      <c r="R85" s="21" t="s">
        <v>195</v>
      </c>
      <c r="S85" s="9"/>
      <c r="T85" s="23">
        <f t="shared" si="16"/>
        <v>63.307859407929605</v>
      </c>
      <c r="U85" s="23">
        <f t="shared" si="16"/>
        <v>61.321173266950304</v>
      </c>
      <c r="V85" s="23">
        <f t="shared" si="16"/>
        <v>59.419741537742539</v>
      </c>
      <c r="W85" s="23">
        <f t="shared" si="16"/>
        <v>57.869661323714475</v>
      </c>
      <c r="X85" s="23">
        <f t="shared" si="16"/>
        <v>50.37760695591215</v>
      </c>
      <c r="Y85" s="25"/>
      <c r="Z85" s="126"/>
      <c r="AA85" s="9"/>
      <c r="AB85" s="9"/>
      <c r="AC85" s="9"/>
      <c r="AD85" s="9"/>
      <c r="AE85" s="9"/>
    </row>
    <row r="86" spans="1:31" x14ac:dyDescent="0.25">
      <c r="A86" s="9"/>
      <c r="B86" s="9"/>
      <c r="C86" s="9"/>
      <c r="D86" s="9"/>
      <c r="E86" s="9"/>
      <c r="F86" s="9"/>
      <c r="G86" s="9"/>
      <c r="H86" s="9"/>
      <c r="I86" s="9"/>
      <c r="J86" s="9"/>
      <c r="K86" s="9"/>
      <c r="M86" s="125"/>
      <c r="N86" s="9"/>
      <c r="O86" s="9"/>
      <c r="P86" s="9"/>
      <c r="Q86" s="9"/>
      <c r="R86" s="9"/>
      <c r="S86" s="9"/>
      <c r="T86" s="9"/>
      <c r="U86" s="9"/>
      <c r="V86" s="9"/>
      <c r="W86" s="9"/>
      <c r="X86" s="9"/>
      <c r="Z86" s="125"/>
      <c r="AA86" s="9"/>
      <c r="AB86" s="9"/>
      <c r="AC86" s="9"/>
      <c r="AD86" s="9"/>
      <c r="AE86" s="9"/>
    </row>
    <row r="87" spans="1:31" ht="13.8" x14ac:dyDescent="0.3">
      <c r="A87" s="8" t="s">
        <v>196</v>
      </c>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row>
    <row r="88" spans="1:31" x14ac:dyDescent="0.25">
      <c r="A88" s="9"/>
      <c r="B88" s="9"/>
      <c r="C88" s="9"/>
      <c r="D88" s="9"/>
      <c r="E88" s="9"/>
      <c r="F88" s="9"/>
      <c r="G88" s="9"/>
      <c r="H88" s="9"/>
      <c r="I88" s="9"/>
      <c r="J88" s="9"/>
      <c r="K88" s="9"/>
      <c r="M88" s="125"/>
      <c r="N88" s="9"/>
      <c r="O88" s="9"/>
      <c r="P88" s="9"/>
      <c r="Q88" s="9"/>
      <c r="R88" s="9"/>
      <c r="S88" s="9"/>
      <c r="T88" s="9"/>
      <c r="U88" s="9"/>
      <c r="V88" s="9"/>
      <c r="W88" s="9"/>
      <c r="X88" s="9"/>
      <c r="Z88" s="125"/>
      <c r="AA88" s="9"/>
      <c r="AB88" s="9"/>
      <c r="AC88" s="9"/>
      <c r="AD88" s="9"/>
      <c r="AE88" s="9"/>
    </row>
    <row r="89" spans="1:31" ht="15" x14ac:dyDescent="0.35">
      <c r="A89" s="9"/>
      <c r="B89" s="1" t="s">
        <v>6</v>
      </c>
      <c r="C89" s="9"/>
      <c r="D89" s="9"/>
      <c r="E89" s="9"/>
      <c r="F89" s="9"/>
      <c r="G89" s="9"/>
      <c r="H89" s="9"/>
      <c r="I89" s="9"/>
      <c r="J89" s="9"/>
      <c r="K89" s="9"/>
      <c r="M89" s="125"/>
      <c r="N89" s="1"/>
      <c r="O89" s="9"/>
      <c r="P89" s="9"/>
      <c r="Q89" s="9"/>
      <c r="R89" s="9"/>
      <c r="S89" s="9"/>
      <c r="T89" s="9"/>
      <c r="U89" s="9"/>
      <c r="V89" s="9"/>
      <c r="W89" s="9"/>
      <c r="X89" s="9"/>
      <c r="Z89" s="125"/>
      <c r="AA89" s="9"/>
      <c r="AB89" s="1"/>
      <c r="AC89" s="9"/>
      <c r="AD89" s="9"/>
      <c r="AE89" s="9"/>
    </row>
    <row r="90" spans="1:31" x14ac:dyDescent="0.25">
      <c r="A90" s="9"/>
      <c r="B90" s="9"/>
      <c r="C90" s="9"/>
      <c r="D90" s="9"/>
      <c r="E90" s="9"/>
      <c r="F90" s="9"/>
      <c r="G90" s="9"/>
      <c r="H90" s="9"/>
      <c r="I90" s="9"/>
      <c r="J90" s="9"/>
      <c r="K90" s="9"/>
      <c r="M90" s="125"/>
      <c r="N90" s="9"/>
      <c r="O90" s="9"/>
      <c r="P90" s="9"/>
      <c r="Q90" s="9"/>
      <c r="R90" s="9"/>
      <c r="S90" s="9"/>
      <c r="T90" s="9"/>
      <c r="U90" s="9"/>
      <c r="V90" s="9"/>
      <c r="W90" s="9"/>
      <c r="X90" s="9"/>
      <c r="Z90" s="125"/>
      <c r="AA90" s="9"/>
      <c r="AB90" s="9"/>
      <c r="AC90" s="9"/>
      <c r="AD90" s="9"/>
      <c r="AE90" s="9"/>
    </row>
    <row r="91" spans="1:31" x14ac:dyDescent="0.25">
      <c r="A91" s="9"/>
      <c r="B91" s="9"/>
      <c r="C91" s="9" t="s">
        <v>149</v>
      </c>
      <c r="D91" s="9" t="s">
        <v>150</v>
      </c>
      <c r="E91" s="21" t="s">
        <v>151</v>
      </c>
      <c r="F91" s="9"/>
      <c r="G91" s="9" t="s">
        <v>152</v>
      </c>
      <c r="H91" s="9" t="s">
        <v>153</v>
      </c>
      <c r="I91" s="9"/>
      <c r="J91" s="9"/>
      <c r="K91" s="9"/>
      <c r="M91" s="125"/>
      <c r="N91" s="9"/>
      <c r="O91" s="9"/>
      <c r="P91" s="9"/>
      <c r="Q91" s="9"/>
      <c r="R91" s="21"/>
      <c r="S91" s="9"/>
      <c r="T91" s="9"/>
      <c r="U91" s="9"/>
      <c r="V91" s="9"/>
      <c r="W91" s="9"/>
      <c r="X91" s="9"/>
      <c r="Z91" s="125"/>
      <c r="AA91" s="9"/>
      <c r="AB91" s="9"/>
      <c r="AC91" s="9"/>
      <c r="AD91" s="9"/>
      <c r="AE91" s="9"/>
    </row>
    <row r="92" spans="1:31" x14ac:dyDescent="0.25">
      <c r="A92" s="9"/>
      <c r="B92" s="9"/>
      <c r="C92" s="31" t="s">
        <v>197</v>
      </c>
      <c r="D92" s="31" t="s">
        <v>198</v>
      </c>
      <c r="E92" s="9" t="s">
        <v>199</v>
      </c>
      <c r="F92" s="9"/>
      <c r="G92" s="38">
        <f>INDEX(ISF_under,MATCH($C92,ISF_ID,0))</f>
        <v>-33.903727000000003</v>
      </c>
      <c r="H92" s="38">
        <f>INDEX(ISF_out,MATCH($C92,ISF_ID,0))</f>
        <v>28.08</v>
      </c>
      <c r="I92" s="9"/>
      <c r="J92" s="9"/>
      <c r="K92" s="9"/>
      <c r="M92" s="125"/>
      <c r="N92" s="9"/>
      <c r="O92" s="9"/>
      <c r="P92" s="31"/>
      <c r="Q92" s="31"/>
      <c r="R92" s="31"/>
      <c r="S92" s="9"/>
      <c r="T92" s="25"/>
      <c r="U92" s="25"/>
      <c r="V92" s="9"/>
      <c r="W92" s="9"/>
      <c r="X92" s="9"/>
      <c r="Z92" s="125"/>
      <c r="AA92" s="9"/>
      <c r="AB92" s="31"/>
      <c r="AC92" s="9"/>
      <c r="AD92" s="9"/>
      <c r="AE92" s="9"/>
    </row>
    <row r="93" spans="1:31" x14ac:dyDescent="0.25">
      <c r="A93" s="9"/>
      <c r="B93" s="9"/>
      <c r="C93" s="31" t="s">
        <v>200</v>
      </c>
      <c r="D93" s="31" t="s">
        <v>167</v>
      </c>
      <c r="E93" s="9" t="s">
        <v>199</v>
      </c>
      <c r="F93" s="9"/>
      <c r="G93" s="38">
        <f>INDEX(ISF_under,MATCH($C93,ISF_ID,0))</f>
        <v>-19.024132999999999</v>
      </c>
      <c r="H93" s="38">
        <f>INDEX(ISF_out,MATCH($C93,ISF_ID,0))</f>
        <v>7.04</v>
      </c>
      <c r="I93" s="9"/>
      <c r="J93" s="9"/>
      <c r="K93" s="9"/>
      <c r="M93" s="125"/>
      <c r="N93" s="9"/>
      <c r="O93" s="9"/>
      <c r="P93" s="31"/>
      <c r="Q93" s="31"/>
      <c r="R93" s="31"/>
      <c r="S93" s="9"/>
      <c r="T93" s="25"/>
      <c r="U93" s="25"/>
      <c r="V93" s="9"/>
      <c r="W93" s="9"/>
      <c r="X93" s="9"/>
      <c r="Z93" s="125"/>
      <c r="AA93" s="9"/>
      <c r="AB93" s="31"/>
      <c r="AC93" s="9"/>
      <c r="AD93" s="9"/>
      <c r="AE93" s="9"/>
    </row>
    <row r="94" spans="1:31" x14ac:dyDescent="0.25">
      <c r="A94" s="9"/>
      <c r="B94" s="9"/>
      <c r="C94" s="31" t="s">
        <v>201</v>
      </c>
      <c r="D94" s="31" t="s">
        <v>169</v>
      </c>
      <c r="E94" s="9" t="s">
        <v>199</v>
      </c>
      <c r="F94" s="9"/>
      <c r="G94" s="38">
        <f>INDEX(ISF_under,MATCH($C94,ISF_ID,0))</f>
        <v>-18.177104481811249</v>
      </c>
      <c r="H94" s="38">
        <f>INDEX(ISF_out,MATCH($C94,ISF_ID,0))</f>
        <v>18.177104481811249</v>
      </c>
      <c r="I94" s="9"/>
      <c r="J94" s="9"/>
      <c r="K94" s="9"/>
      <c r="M94" s="125"/>
      <c r="N94" s="9"/>
      <c r="O94" s="9"/>
      <c r="P94" s="31"/>
      <c r="Q94" s="31"/>
      <c r="R94" s="31"/>
      <c r="S94" s="9"/>
      <c r="T94" s="25"/>
      <c r="U94" s="25"/>
      <c r="V94" s="9"/>
      <c r="W94" s="9"/>
      <c r="X94" s="9"/>
      <c r="Z94" s="125"/>
      <c r="AA94" s="9"/>
      <c r="AB94" s="31"/>
      <c r="AC94" s="9"/>
      <c r="AD94" s="9"/>
      <c r="AE94" s="9"/>
    </row>
    <row r="95" spans="1:31" x14ac:dyDescent="0.25">
      <c r="A95" s="9"/>
      <c r="B95" s="9"/>
      <c r="C95" s="9"/>
      <c r="D95" s="9"/>
      <c r="E95" s="9"/>
      <c r="F95" s="9"/>
      <c r="G95" s="9"/>
      <c r="H95" s="9"/>
      <c r="I95" s="9"/>
      <c r="J95" s="9"/>
      <c r="K95" s="9"/>
      <c r="M95" s="125"/>
      <c r="N95" s="9"/>
      <c r="O95" s="9"/>
      <c r="P95" s="9"/>
      <c r="Q95" s="9"/>
      <c r="R95" s="9"/>
      <c r="S95" s="9"/>
      <c r="T95" s="9"/>
      <c r="U95" s="9"/>
      <c r="V95" s="9"/>
      <c r="W95" s="9"/>
      <c r="X95" s="9"/>
      <c r="Z95" s="125"/>
      <c r="AA95" s="9"/>
      <c r="AB95" s="9"/>
      <c r="AC95" s="9"/>
      <c r="AD95" s="9"/>
      <c r="AE95" s="9"/>
    </row>
    <row r="96" spans="1:31" ht="15" x14ac:dyDescent="0.35">
      <c r="A96" s="9"/>
      <c r="B96" s="51" t="s">
        <v>172</v>
      </c>
      <c r="C96" s="9"/>
      <c r="D96" s="9"/>
      <c r="E96" s="9"/>
      <c r="F96" s="9"/>
      <c r="G96" s="9"/>
      <c r="H96" s="9"/>
      <c r="I96" s="9"/>
      <c r="J96" s="9"/>
      <c r="K96" s="9"/>
      <c r="M96" s="125"/>
      <c r="N96" s="51"/>
      <c r="O96" s="9"/>
      <c r="P96" s="9"/>
      <c r="Q96" s="9"/>
      <c r="R96" s="9"/>
      <c r="S96" s="9"/>
      <c r="T96" s="9"/>
      <c r="U96" s="9"/>
      <c r="V96" s="9"/>
      <c r="W96" s="9"/>
      <c r="X96" s="9"/>
      <c r="Z96" s="125"/>
      <c r="AA96" s="9"/>
      <c r="AB96" s="9"/>
      <c r="AC96" s="9"/>
      <c r="AD96" s="9"/>
      <c r="AE96" s="9"/>
    </row>
    <row r="97" spans="1:31" x14ac:dyDescent="0.25">
      <c r="A97" s="9"/>
      <c r="B97" s="9"/>
      <c r="C97" s="9"/>
      <c r="D97" s="9"/>
      <c r="E97" s="9"/>
      <c r="F97" s="9"/>
      <c r="G97" s="9"/>
      <c r="H97" s="9"/>
      <c r="I97" s="9"/>
      <c r="J97" s="9"/>
      <c r="K97" s="9"/>
      <c r="M97" s="125"/>
      <c r="N97" s="9"/>
      <c r="O97" s="9"/>
      <c r="P97" s="9"/>
      <c r="Q97" s="9"/>
      <c r="R97" s="9"/>
      <c r="S97" s="9"/>
      <c r="T97" s="9"/>
      <c r="U97" s="9"/>
      <c r="V97" s="9"/>
      <c r="W97" s="9"/>
      <c r="X97" s="9"/>
      <c r="Z97" s="125"/>
      <c r="AA97" s="9"/>
      <c r="AB97" s="9"/>
      <c r="AC97" s="9"/>
      <c r="AD97" s="9"/>
      <c r="AE97" s="9"/>
    </row>
    <row r="98" spans="1:31" x14ac:dyDescent="0.25">
      <c r="A98" s="9"/>
      <c r="B98" s="9"/>
      <c r="C98" s="9" t="s">
        <v>149</v>
      </c>
      <c r="D98" s="9" t="s">
        <v>150</v>
      </c>
      <c r="E98" s="21" t="s">
        <v>151</v>
      </c>
      <c r="F98" s="9"/>
      <c r="G98" s="9" t="s">
        <v>174</v>
      </c>
      <c r="H98" s="9" t="s">
        <v>175</v>
      </c>
      <c r="I98" s="9" t="s">
        <v>176</v>
      </c>
      <c r="J98" s="9" t="s">
        <v>177</v>
      </c>
      <c r="K98" s="9" t="s">
        <v>178</v>
      </c>
      <c r="M98" s="125"/>
      <c r="N98" s="9"/>
      <c r="O98" s="9"/>
      <c r="P98" s="9"/>
      <c r="Q98" s="9"/>
      <c r="R98" s="21"/>
      <c r="S98" s="9"/>
      <c r="T98" s="9"/>
      <c r="U98" s="9"/>
      <c r="V98" s="9"/>
      <c r="W98" s="9"/>
      <c r="X98" s="9"/>
      <c r="Z98" s="125"/>
      <c r="AA98" s="9"/>
      <c r="AB98" s="9"/>
      <c r="AC98" s="9"/>
      <c r="AD98" s="9"/>
      <c r="AE98" s="9"/>
    </row>
    <row r="99" spans="1:31" x14ac:dyDescent="0.25">
      <c r="A99" s="9"/>
      <c r="B99" s="9"/>
      <c r="C99" s="31" t="s">
        <v>197</v>
      </c>
      <c r="D99" s="31" t="s">
        <v>198</v>
      </c>
      <c r="E99" s="9" t="s">
        <v>202</v>
      </c>
      <c r="F99" s="9"/>
      <c r="G99" s="46">
        <f>Thresholds_ISF!K70</f>
        <v>2.35</v>
      </c>
      <c r="H99" s="46">
        <f>Thresholds_ISF!L70</f>
        <v>2.35</v>
      </c>
      <c r="I99" s="46">
        <f>Thresholds_ISF!M70</f>
        <v>2.35</v>
      </c>
      <c r="J99" s="46">
        <f>Thresholds_ISF!N70</f>
        <v>2.35</v>
      </c>
      <c r="K99" s="46">
        <f>Thresholds_ISF!O70</f>
        <v>2.35</v>
      </c>
      <c r="L99" s="46"/>
      <c r="M99" s="125"/>
      <c r="N99" s="9"/>
      <c r="O99" s="9"/>
      <c r="P99" s="31"/>
      <c r="Q99" s="31"/>
      <c r="R99" s="31"/>
      <c r="S99" s="9"/>
      <c r="T99" s="25"/>
      <c r="U99" s="25"/>
      <c r="V99" s="25"/>
      <c r="W99" s="25"/>
      <c r="X99" s="25"/>
      <c r="Y99" s="25"/>
      <c r="Z99" s="126"/>
      <c r="AA99" s="9"/>
      <c r="AB99" s="9"/>
      <c r="AC99" s="9"/>
      <c r="AD99" s="9"/>
      <c r="AE99" s="9"/>
    </row>
    <row r="100" spans="1:31" x14ac:dyDescent="0.25">
      <c r="A100" s="9"/>
      <c r="B100" s="9"/>
      <c r="C100" s="31" t="s">
        <v>200</v>
      </c>
      <c r="D100" s="31" t="s">
        <v>167</v>
      </c>
      <c r="E100" s="9" t="s">
        <v>202</v>
      </c>
      <c r="F100" s="9"/>
      <c r="G100" s="46">
        <f>Thresholds_ISF!K71</f>
        <v>8.4700000000000006</v>
      </c>
      <c r="H100" s="46">
        <f>Thresholds_ISF!L71</f>
        <v>8.4700000000000006</v>
      </c>
      <c r="I100" s="46">
        <f>Thresholds_ISF!M71</f>
        <v>8.4700000000000006</v>
      </c>
      <c r="J100" s="46">
        <f>Thresholds_ISF!N71</f>
        <v>8.4700000000000006</v>
      </c>
      <c r="K100" s="46">
        <f>Thresholds_ISF!O71</f>
        <v>8.4700000000000006</v>
      </c>
      <c r="L100" s="46"/>
      <c r="M100" s="125"/>
      <c r="N100" s="9"/>
      <c r="O100" s="9"/>
      <c r="P100" s="31"/>
      <c r="Q100" s="31"/>
      <c r="R100" s="31"/>
      <c r="S100" s="9"/>
      <c r="T100" s="25"/>
      <c r="U100" s="25"/>
      <c r="V100" s="25"/>
      <c r="W100" s="25"/>
      <c r="X100" s="25"/>
      <c r="Y100" s="25"/>
      <c r="Z100" s="126"/>
      <c r="AA100" s="9"/>
      <c r="AB100" s="9"/>
      <c r="AC100" s="9"/>
      <c r="AD100" s="9"/>
      <c r="AE100" s="9"/>
    </row>
    <row r="101" spans="1:31" x14ac:dyDescent="0.25">
      <c r="A101" s="9"/>
      <c r="B101" s="9"/>
      <c r="C101" s="31" t="s">
        <v>201</v>
      </c>
      <c r="D101" s="31" t="s">
        <v>169</v>
      </c>
      <c r="E101" s="9" t="s">
        <v>202</v>
      </c>
      <c r="F101" s="9"/>
      <c r="G101" s="46">
        <f>collar_ISF</f>
        <v>4.0901542787206759</v>
      </c>
      <c r="H101" s="46">
        <f>collar_ISF</f>
        <v>4.0901542787206759</v>
      </c>
      <c r="I101" s="46">
        <f>collar_ISF</f>
        <v>4.0901542787206759</v>
      </c>
      <c r="J101" s="46">
        <f>collar_ISF</f>
        <v>4.0901542787206759</v>
      </c>
      <c r="K101" s="46">
        <f>collar_ISF</f>
        <v>4.0901542787206759</v>
      </c>
      <c r="L101" s="46"/>
      <c r="M101" s="125"/>
      <c r="N101" s="9"/>
      <c r="O101" s="9"/>
      <c r="P101" s="31"/>
      <c r="Q101" s="31"/>
      <c r="R101" s="31"/>
      <c r="S101" s="9"/>
      <c r="T101" s="25"/>
      <c r="U101" s="25"/>
      <c r="V101" s="25"/>
      <c r="W101" s="25"/>
      <c r="X101" s="25"/>
      <c r="Y101" s="25"/>
      <c r="Z101" s="126"/>
      <c r="AA101" s="9"/>
      <c r="AB101" s="9"/>
      <c r="AC101" s="9"/>
      <c r="AD101" s="9"/>
      <c r="AE101" s="9"/>
    </row>
    <row r="102" spans="1:31" x14ac:dyDescent="0.25">
      <c r="A102" s="9"/>
      <c r="B102" s="9"/>
      <c r="C102" s="9"/>
      <c r="D102" s="9"/>
      <c r="E102" s="9"/>
      <c r="F102" s="9"/>
      <c r="G102" s="9"/>
      <c r="H102" s="9"/>
      <c r="I102" s="9"/>
      <c r="J102" s="9"/>
      <c r="K102" s="9"/>
      <c r="M102" s="125"/>
      <c r="N102" s="9"/>
      <c r="O102" s="9"/>
      <c r="P102" s="9"/>
      <c r="Q102" s="9"/>
      <c r="R102" s="9"/>
      <c r="S102" s="9"/>
      <c r="T102" s="9"/>
      <c r="U102" s="9"/>
      <c r="V102" s="9"/>
      <c r="W102" s="9"/>
      <c r="X102" s="9"/>
      <c r="Z102" s="125"/>
      <c r="AA102" s="9"/>
      <c r="AB102" s="9"/>
      <c r="AC102" s="9"/>
      <c r="AD102" s="9"/>
      <c r="AE102" s="9"/>
    </row>
    <row r="103" spans="1:31" ht="15" x14ac:dyDescent="0.35">
      <c r="A103" s="9"/>
      <c r="B103" s="51" t="s">
        <v>181</v>
      </c>
      <c r="C103" s="9"/>
      <c r="D103" s="9"/>
      <c r="E103" s="9"/>
      <c r="F103" s="9"/>
      <c r="G103" s="9"/>
      <c r="H103" s="9"/>
      <c r="I103" s="9"/>
      <c r="J103" s="9"/>
      <c r="K103" s="9"/>
      <c r="M103" s="125"/>
      <c r="N103" s="51"/>
      <c r="O103" s="9"/>
      <c r="P103" s="9"/>
      <c r="Q103" s="9"/>
      <c r="R103" s="9"/>
      <c r="S103" s="9"/>
      <c r="T103" s="9"/>
      <c r="U103" s="9"/>
      <c r="V103" s="9"/>
      <c r="W103" s="9"/>
      <c r="X103" s="9"/>
      <c r="Z103" s="125"/>
      <c r="AA103" s="9"/>
      <c r="AB103" s="9"/>
      <c r="AC103" s="9"/>
      <c r="AD103" s="9"/>
      <c r="AE103" s="9"/>
    </row>
    <row r="104" spans="1:31" x14ac:dyDescent="0.25">
      <c r="A104" s="9"/>
      <c r="B104" s="9"/>
      <c r="C104" s="9"/>
      <c r="D104" s="9"/>
      <c r="E104" s="9"/>
      <c r="F104" s="9"/>
      <c r="G104" s="9"/>
      <c r="H104" s="9"/>
      <c r="I104" s="9"/>
      <c r="J104" s="9"/>
      <c r="K104" s="9"/>
      <c r="M104" s="125"/>
      <c r="N104" s="9"/>
      <c r="O104" s="9"/>
      <c r="P104" s="9"/>
      <c r="Q104" s="9"/>
      <c r="R104" s="9"/>
      <c r="S104" s="9"/>
      <c r="T104" s="9"/>
      <c r="U104" s="9"/>
      <c r="V104" s="9"/>
      <c r="W104" s="9"/>
      <c r="X104" s="9"/>
      <c r="Z104" s="125"/>
      <c r="AA104" s="9"/>
      <c r="AB104" s="9"/>
      <c r="AC104" s="9"/>
      <c r="AD104" s="9"/>
      <c r="AE104" s="9"/>
    </row>
    <row r="105" spans="1:31" x14ac:dyDescent="0.25">
      <c r="A105" s="9"/>
      <c r="B105" s="9"/>
      <c r="C105" s="9" t="s">
        <v>149</v>
      </c>
      <c r="D105" s="9" t="s">
        <v>150</v>
      </c>
      <c r="E105" s="21" t="s">
        <v>151</v>
      </c>
      <c r="F105" s="9"/>
      <c r="G105" s="9" t="s">
        <v>174</v>
      </c>
      <c r="H105" s="9" t="s">
        <v>175</v>
      </c>
      <c r="I105" s="9" t="s">
        <v>176</v>
      </c>
      <c r="J105" s="9" t="s">
        <v>177</v>
      </c>
      <c r="K105" s="9" t="s">
        <v>178</v>
      </c>
      <c r="M105" s="125"/>
      <c r="N105" s="9"/>
      <c r="O105" s="9"/>
      <c r="P105" s="9"/>
      <c r="Q105" s="9"/>
      <c r="R105" s="21"/>
      <c r="S105" s="9"/>
      <c r="T105" s="9"/>
      <c r="U105" s="9"/>
      <c r="V105" s="9"/>
      <c r="W105" s="9"/>
      <c r="X105" s="9"/>
      <c r="Z105" s="125"/>
      <c r="AA105" s="9"/>
      <c r="AB105" s="9"/>
      <c r="AC105" s="9"/>
      <c r="AD105" s="9"/>
      <c r="AE105" s="9"/>
    </row>
    <row r="106" spans="1:31" x14ac:dyDescent="0.25">
      <c r="A106" s="9"/>
      <c r="B106" s="9"/>
      <c r="C106" s="31" t="s">
        <v>197</v>
      </c>
      <c r="D106" s="31" t="s">
        <v>198</v>
      </c>
      <c r="E106" s="9" t="s">
        <v>202</v>
      </c>
      <c r="F106" s="9"/>
      <c r="G106" s="46">
        <f t="shared" ref="G106:K108" si="17">INDEX(threshold_under_ISF,MATCH($C106,threshold_under_company_ISF,0),MATCH(G$22,threshold_years_ISF,0))</f>
        <v>2.5618331862126937</v>
      </c>
      <c r="H106" s="46">
        <f t="shared" si="17"/>
        <v>2.5618331862126937</v>
      </c>
      <c r="I106" s="46">
        <f t="shared" si="17"/>
        <v>2.5618331862126937</v>
      </c>
      <c r="J106" s="46">
        <f t="shared" si="17"/>
        <v>2.5618331862126937</v>
      </c>
      <c r="K106" s="46">
        <f t="shared" si="17"/>
        <v>2.5618331862126937</v>
      </c>
      <c r="L106" s="46"/>
      <c r="M106" s="125"/>
      <c r="N106" s="9"/>
      <c r="O106" s="9"/>
      <c r="P106" s="31"/>
      <c r="Q106" s="31"/>
      <c r="R106" s="31"/>
      <c r="S106" s="9"/>
      <c r="T106" s="25"/>
      <c r="U106" s="25"/>
      <c r="V106" s="25"/>
      <c r="W106" s="25"/>
      <c r="X106" s="25"/>
      <c r="Y106" s="25"/>
      <c r="Z106" s="126"/>
      <c r="AA106" s="9"/>
      <c r="AB106" s="9"/>
      <c r="AC106" s="9"/>
      <c r="AD106" s="9"/>
      <c r="AE106" s="9"/>
    </row>
    <row r="107" spans="1:31" x14ac:dyDescent="0.25">
      <c r="A107" s="9"/>
      <c r="B107" s="9"/>
      <c r="C107" s="31" t="s">
        <v>200</v>
      </c>
      <c r="D107" s="31" t="s">
        <v>167</v>
      </c>
      <c r="E107" s="9" t="s">
        <v>202</v>
      </c>
      <c r="F107" s="9"/>
      <c r="G107" s="46">
        <f t="shared" si="17"/>
        <v>2.5618331862126937</v>
      </c>
      <c r="H107" s="46">
        <f t="shared" si="17"/>
        <v>2.5618331862126937</v>
      </c>
      <c r="I107" s="46">
        <f t="shared" si="17"/>
        <v>2.5618331862126937</v>
      </c>
      <c r="J107" s="46">
        <f t="shared" si="17"/>
        <v>2.5618331862126937</v>
      </c>
      <c r="K107" s="46">
        <f t="shared" si="17"/>
        <v>2.5618331862126937</v>
      </c>
      <c r="L107" s="46"/>
      <c r="M107" s="125"/>
      <c r="N107" s="9"/>
      <c r="O107" s="9"/>
      <c r="P107" s="31"/>
      <c r="Q107" s="31"/>
      <c r="R107" s="31"/>
      <c r="S107" s="9"/>
      <c r="T107" s="25"/>
      <c r="U107" s="25"/>
      <c r="V107" s="25"/>
      <c r="W107" s="25"/>
      <c r="X107" s="25"/>
      <c r="Y107" s="25"/>
      <c r="Z107" s="126"/>
      <c r="AA107" s="9"/>
      <c r="AB107" s="9"/>
      <c r="AC107" s="9"/>
      <c r="AD107" s="9"/>
      <c r="AE107" s="9"/>
    </row>
    <row r="108" spans="1:31" x14ac:dyDescent="0.25">
      <c r="A108" s="9"/>
      <c r="B108" s="9"/>
      <c r="C108" s="31" t="s">
        <v>201</v>
      </c>
      <c r="D108" s="31" t="s">
        <v>169</v>
      </c>
      <c r="E108" s="9" t="s">
        <v>202</v>
      </c>
      <c r="F108" s="9"/>
      <c r="G108" s="46">
        <f>INDEX(threshold_under_ISF,MATCH($C108,threshold_under_company_ISF,0),MATCH(G$22,threshold_years_ISF,0))</f>
        <v>2.5618331862126937</v>
      </c>
      <c r="H108" s="46">
        <f t="shared" si="17"/>
        <v>2.5618331862126937</v>
      </c>
      <c r="I108" s="46">
        <f t="shared" si="17"/>
        <v>2.5618331862126937</v>
      </c>
      <c r="J108" s="46">
        <f t="shared" si="17"/>
        <v>2.5618331862126937</v>
      </c>
      <c r="K108" s="46">
        <f t="shared" si="17"/>
        <v>2.5618331862126937</v>
      </c>
      <c r="L108" s="46"/>
      <c r="M108" s="125"/>
      <c r="N108" s="9"/>
      <c r="O108" s="9"/>
      <c r="P108" s="31"/>
      <c r="Q108" s="31"/>
      <c r="R108" s="31"/>
      <c r="S108" s="9"/>
      <c r="T108" s="25"/>
      <c r="U108" s="25"/>
      <c r="V108" s="25"/>
      <c r="W108" s="25"/>
      <c r="X108" s="25"/>
      <c r="Y108" s="25"/>
      <c r="Z108" s="126"/>
      <c r="AA108" s="9"/>
      <c r="AB108" s="9"/>
      <c r="AC108" s="9"/>
      <c r="AD108" s="9"/>
      <c r="AE108" s="9"/>
    </row>
    <row r="109" spans="1:31" x14ac:dyDescent="0.25">
      <c r="A109" s="9"/>
      <c r="B109" s="9"/>
      <c r="C109" s="9"/>
      <c r="D109" s="9"/>
      <c r="E109" s="9"/>
      <c r="F109" s="9"/>
      <c r="G109" s="9"/>
      <c r="H109" s="9"/>
      <c r="I109" s="9"/>
      <c r="J109" s="9"/>
      <c r="K109" s="9"/>
      <c r="M109" s="125"/>
      <c r="N109" s="9"/>
      <c r="O109" s="9"/>
      <c r="P109" s="9"/>
      <c r="Q109" s="9"/>
      <c r="R109" s="9"/>
      <c r="S109" s="9"/>
      <c r="T109" s="9"/>
      <c r="U109" s="9"/>
      <c r="V109" s="9"/>
      <c r="W109" s="9"/>
      <c r="X109" s="9"/>
      <c r="Z109" s="125"/>
      <c r="AA109" s="9"/>
      <c r="AB109" s="9"/>
      <c r="AC109" s="9"/>
      <c r="AD109" s="9"/>
      <c r="AE109" s="9"/>
    </row>
    <row r="110" spans="1:31" ht="15" x14ac:dyDescent="0.35">
      <c r="A110" s="9"/>
      <c r="B110" s="51" t="s">
        <v>182</v>
      </c>
      <c r="C110" s="9"/>
      <c r="D110" s="9"/>
      <c r="E110" s="9"/>
      <c r="F110" s="9"/>
      <c r="G110" s="9"/>
      <c r="H110" s="9"/>
      <c r="I110" s="9"/>
      <c r="J110" s="9"/>
      <c r="K110" s="9"/>
      <c r="M110" s="125"/>
      <c r="N110" s="51"/>
      <c r="O110" s="9"/>
      <c r="P110" s="9"/>
      <c r="Q110" s="9"/>
      <c r="R110" s="9"/>
      <c r="S110" s="9"/>
      <c r="T110" s="9"/>
      <c r="U110" s="9"/>
      <c r="V110" s="9"/>
      <c r="W110" s="9"/>
      <c r="X110" s="9"/>
      <c r="Z110" s="125"/>
      <c r="AA110" s="9"/>
      <c r="AB110" s="9"/>
      <c r="AC110" s="9"/>
      <c r="AD110" s="9"/>
      <c r="AE110" s="9"/>
    </row>
    <row r="111" spans="1:31" x14ac:dyDescent="0.25">
      <c r="A111" s="9"/>
      <c r="B111" s="9"/>
      <c r="C111" s="9"/>
      <c r="D111" s="9"/>
      <c r="E111" s="9"/>
      <c r="F111" s="9"/>
      <c r="G111" s="9"/>
      <c r="H111" s="9"/>
      <c r="I111" s="9"/>
      <c r="J111" s="9"/>
      <c r="K111" s="9"/>
      <c r="M111" s="125"/>
      <c r="N111" s="9"/>
      <c r="O111" s="9"/>
      <c r="P111" s="9"/>
      <c r="Q111" s="9"/>
      <c r="R111" s="9"/>
      <c r="S111" s="9"/>
      <c r="T111" s="9"/>
      <c r="U111" s="9"/>
      <c r="V111" s="9"/>
      <c r="W111" s="9"/>
      <c r="X111" s="9"/>
      <c r="Z111" s="125"/>
      <c r="AA111" s="9"/>
      <c r="AB111" s="9"/>
      <c r="AC111" s="9"/>
      <c r="AD111" s="9"/>
      <c r="AE111" s="9"/>
    </row>
    <row r="112" spans="1:31" x14ac:dyDescent="0.25">
      <c r="A112" s="9"/>
      <c r="B112" s="9"/>
      <c r="C112" s="9" t="s">
        <v>149</v>
      </c>
      <c r="D112" s="9" t="s">
        <v>150</v>
      </c>
      <c r="E112" s="21" t="s">
        <v>151</v>
      </c>
      <c r="F112" s="9"/>
      <c r="G112" s="9" t="s">
        <v>174</v>
      </c>
      <c r="H112" s="9" t="s">
        <v>175</v>
      </c>
      <c r="I112" s="9" t="s">
        <v>176</v>
      </c>
      <c r="J112" s="9" t="s">
        <v>177</v>
      </c>
      <c r="K112" s="9" t="s">
        <v>178</v>
      </c>
      <c r="M112" s="125"/>
      <c r="N112" s="9"/>
      <c r="O112" s="9"/>
      <c r="P112" s="9"/>
      <c r="Q112" s="9"/>
      <c r="R112" s="21"/>
      <c r="S112" s="9"/>
      <c r="T112" s="9"/>
      <c r="U112" s="9"/>
      <c r="V112" s="9"/>
      <c r="W112" s="9"/>
      <c r="X112" s="9"/>
      <c r="Z112" s="125"/>
      <c r="AA112" s="9"/>
      <c r="AB112" s="9"/>
      <c r="AC112" s="9"/>
      <c r="AD112" s="9"/>
      <c r="AE112" s="9"/>
    </row>
    <row r="113" spans="1:31" x14ac:dyDescent="0.25">
      <c r="A113" s="9"/>
      <c r="B113" s="9"/>
      <c r="C113" s="31" t="s">
        <v>197</v>
      </c>
      <c r="D113" s="31" t="s">
        <v>198</v>
      </c>
      <c r="E113" s="9" t="s">
        <v>202</v>
      </c>
      <c r="F113" s="9"/>
      <c r="G113" s="124">
        <f t="shared" ref="G113:K115" si="18">INDEX(threshold_out_ISF,MATCH($C113,threshold_out_company_ISF,0),MATCH(G$22,threshold_years_ISF,0))</f>
        <v>0.93029906507313864</v>
      </c>
      <c r="H113" s="124">
        <f t="shared" si="18"/>
        <v>0.90530595586221851</v>
      </c>
      <c r="I113" s="124">
        <f t="shared" si="18"/>
        <v>0.87475882238220515</v>
      </c>
      <c r="J113" s="124">
        <f t="shared" si="18"/>
        <v>0.79977949474944454</v>
      </c>
      <c r="K113" s="124">
        <f t="shared" si="18"/>
        <v>0.74423925205851105</v>
      </c>
      <c r="L113" s="124"/>
      <c r="M113" s="125"/>
      <c r="N113" s="9"/>
      <c r="O113" s="9"/>
      <c r="P113" s="31"/>
      <c r="Q113" s="31"/>
      <c r="R113" s="31"/>
      <c r="S113" s="9"/>
      <c r="T113" s="25"/>
      <c r="U113" s="25"/>
      <c r="V113" s="25"/>
      <c r="W113" s="25"/>
      <c r="X113" s="25"/>
      <c r="Y113" s="25"/>
      <c r="Z113" s="126"/>
      <c r="AA113" s="9"/>
      <c r="AB113" s="9"/>
      <c r="AC113" s="9"/>
      <c r="AD113" s="9"/>
      <c r="AE113" s="9"/>
    </row>
    <row r="114" spans="1:31" x14ac:dyDescent="0.25">
      <c r="A114" s="9"/>
      <c r="B114" s="9"/>
      <c r="C114" s="31" t="s">
        <v>200</v>
      </c>
      <c r="D114" s="31" t="s">
        <v>167</v>
      </c>
      <c r="E114" s="9" t="s">
        <v>202</v>
      </c>
      <c r="F114" s="9"/>
      <c r="G114" s="124">
        <f t="shared" si="18"/>
        <v>0.93029906507313864</v>
      </c>
      <c r="H114" s="124">
        <f t="shared" si="18"/>
        <v>0.90530595586221851</v>
      </c>
      <c r="I114" s="124">
        <f t="shared" si="18"/>
        <v>0.87475882238220515</v>
      </c>
      <c r="J114" s="124">
        <f t="shared" si="18"/>
        <v>0.79977949474944454</v>
      </c>
      <c r="K114" s="124">
        <f t="shared" si="18"/>
        <v>0.74423925205851105</v>
      </c>
      <c r="L114" s="124"/>
      <c r="M114" s="125"/>
      <c r="N114" s="9"/>
      <c r="O114" s="9"/>
      <c r="P114" s="31"/>
      <c r="Q114" s="31"/>
      <c r="R114" s="31"/>
      <c r="S114" s="9"/>
      <c r="T114" s="25"/>
      <c r="U114" s="25"/>
      <c r="V114" s="25"/>
      <c r="W114" s="25"/>
      <c r="X114" s="25"/>
      <c r="Y114" s="25"/>
      <c r="Z114" s="126"/>
      <c r="AA114" s="9"/>
      <c r="AB114" s="9"/>
      <c r="AC114" s="9"/>
      <c r="AD114" s="9"/>
      <c r="AE114" s="9"/>
    </row>
    <row r="115" spans="1:31" x14ac:dyDescent="0.25">
      <c r="A115" s="9"/>
      <c r="B115" s="9"/>
      <c r="C115" s="31" t="s">
        <v>201</v>
      </c>
      <c r="D115" s="31" t="s">
        <v>169</v>
      </c>
      <c r="E115" s="9" t="s">
        <v>202</v>
      </c>
      <c r="F115" s="9"/>
      <c r="G115" s="124">
        <f t="shared" si="18"/>
        <v>0.93029906507313864</v>
      </c>
      <c r="H115" s="124">
        <f t="shared" si="18"/>
        <v>0.90530595586221851</v>
      </c>
      <c r="I115" s="124">
        <f t="shared" si="18"/>
        <v>0.87475882238220515</v>
      </c>
      <c r="J115" s="124">
        <f t="shared" si="18"/>
        <v>0.79977949474944454</v>
      </c>
      <c r="K115" s="124">
        <f t="shared" si="18"/>
        <v>0.74423925205851105</v>
      </c>
      <c r="L115" s="124"/>
      <c r="M115" s="125"/>
      <c r="N115" s="9"/>
      <c r="O115" s="9"/>
      <c r="P115" s="31"/>
      <c r="Q115" s="31"/>
      <c r="R115" s="31"/>
      <c r="S115" s="9"/>
      <c r="T115" s="25"/>
      <c r="U115" s="25"/>
      <c r="V115" s="25"/>
      <c r="W115" s="25"/>
      <c r="X115" s="25"/>
      <c r="Y115" s="25"/>
      <c r="Z115" s="126"/>
      <c r="AA115" s="9"/>
      <c r="AB115" s="9"/>
      <c r="AC115" s="9"/>
      <c r="AD115" s="9"/>
      <c r="AE115" s="9"/>
    </row>
    <row r="116" spans="1:31" x14ac:dyDescent="0.25">
      <c r="A116" s="9"/>
      <c r="B116" s="9"/>
      <c r="C116" s="9"/>
      <c r="D116" s="9"/>
      <c r="E116" s="9"/>
      <c r="F116" s="9"/>
      <c r="G116" s="9"/>
      <c r="H116" s="9"/>
      <c r="I116" s="9"/>
      <c r="J116" s="9"/>
      <c r="K116" s="9"/>
      <c r="M116" s="125"/>
      <c r="N116" s="9"/>
      <c r="O116" s="9"/>
      <c r="P116" s="9"/>
      <c r="Q116" s="9"/>
      <c r="R116" s="9"/>
      <c r="S116" s="9"/>
      <c r="T116" s="9"/>
      <c r="U116" s="9"/>
      <c r="V116" s="9"/>
      <c r="W116" s="9"/>
      <c r="X116" s="9"/>
      <c r="Z116" s="125"/>
      <c r="AA116" s="9"/>
      <c r="AB116" s="9"/>
      <c r="AC116" s="9"/>
      <c r="AD116" s="9"/>
      <c r="AE116" s="9"/>
    </row>
    <row r="117" spans="1:31" ht="13.8" x14ac:dyDescent="0.3">
      <c r="A117" s="8" t="s">
        <v>203</v>
      </c>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row>
    <row r="118" spans="1:31" x14ac:dyDescent="0.25">
      <c r="A118" s="9"/>
      <c r="B118" s="9"/>
      <c r="C118" s="9"/>
      <c r="D118" s="9"/>
      <c r="E118" s="9"/>
      <c r="F118" s="9"/>
      <c r="G118" s="9"/>
      <c r="H118" s="9"/>
      <c r="I118" s="9"/>
      <c r="J118" s="9"/>
      <c r="K118" s="9"/>
      <c r="M118" s="125"/>
      <c r="N118" s="9"/>
      <c r="O118" s="9"/>
      <c r="P118" s="9"/>
      <c r="Q118" s="9"/>
      <c r="R118" s="9"/>
      <c r="S118" s="9"/>
      <c r="T118" s="9"/>
      <c r="U118" s="9"/>
      <c r="V118" s="9"/>
      <c r="W118" s="9"/>
      <c r="X118" s="9"/>
      <c r="Z118" s="125"/>
      <c r="AA118" s="9"/>
      <c r="AB118" s="9"/>
      <c r="AC118" s="9"/>
      <c r="AD118" s="9"/>
      <c r="AE118" s="9"/>
    </row>
    <row r="119" spans="1:31" ht="15" x14ac:dyDescent="0.35">
      <c r="A119" s="9"/>
      <c r="B119" s="1" t="s">
        <v>6</v>
      </c>
      <c r="C119" s="9"/>
      <c r="D119" s="9"/>
      <c r="E119" s="9"/>
      <c r="F119" s="9"/>
      <c r="G119" s="9"/>
      <c r="H119" s="9"/>
      <c r="I119" s="9"/>
      <c r="J119" s="9"/>
      <c r="K119" s="9"/>
      <c r="M119" s="125"/>
      <c r="N119" s="9"/>
      <c r="O119" s="1" t="s">
        <v>6</v>
      </c>
      <c r="P119" s="9"/>
      <c r="Q119" s="9"/>
      <c r="R119" s="9"/>
      <c r="S119" s="9"/>
      <c r="T119" s="9"/>
      <c r="U119" s="9"/>
      <c r="V119" s="9"/>
      <c r="W119" s="9"/>
      <c r="X119" s="9"/>
      <c r="Z119" s="125"/>
      <c r="AA119" s="9"/>
      <c r="AB119" s="1" t="s">
        <v>148</v>
      </c>
      <c r="AC119" s="9"/>
      <c r="AD119" s="9"/>
      <c r="AE119" s="9"/>
    </row>
    <row r="120" spans="1:31" x14ac:dyDescent="0.25">
      <c r="A120" s="9"/>
      <c r="B120" s="9"/>
      <c r="C120" s="9"/>
      <c r="D120" s="9"/>
      <c r="E120" s="9"/>
      <c r="F120" s="9"/>
      <c r="G120" s="9"/>
      <c r="H120" s="9"/>
      <c r="I120" s="9"/>
      <c r="J120" s="9"/>
      <c r="K120" s="9"/>
      <c r="M120" s="125"/>
      <c r="N120" s="9"/>
      <c r="O120" s="9"/>
      <c r="P120" s="9"/>
      <c r="Q120" s="9"/>
      <c r="R120" s="9"/>
      <c r="S120" s="9"/>
      <c r="T120" s="9"/>
      <c r="U120" s="9"/>
      <c r="V120" s="9"/>
      <c r="W120" s="9"/>
      <c r="X120" s="9"/>
      <c r="Z120" s="125"/>
      <c r="AA120" s="9"/>
      <c r="AB120" s="9"/>
      <c r="AC120" s="9"/>
      <c r="AD120" s="9"/>
      <c r="AE120" s="9"/>
    </row>
    <row r="121" spans="1:31" x14ac:dyDescent="0.25">
      <c r="A121" s="9"/>
      <c r="B121" s="9"/>
      <c r="C121" s="9" t="s">
        <v>149</v>
      </c>
      <c r="D121" s="9" t="s">
        <v>150</v>
      </c>
      <c r="E121" s="21" t="s">
        <v>151</v>
      </c>
      <c r="F121" s="9"/>
      <c r="G121" s="9" t="s">
        <v>152</v>
      </c>
      <c r="H121" s="9" t="s">
        <v>153</v>
      </c>
      <c r="I121" s="9"/>
      <c r="J121" s="9"/>
      <c r="K121" s="9"/>
      <c r="M121" s="125"/>
      <c r="N121" s="9"/>
      <c r="O121" s="9"/>
      <c r="P121" s="9" t="s">
        <v>149</v>
      </c>
      <c r="Q121" s="9" t="s">
        <v>150</v>
      </c>
      <c r="R121" s="21" t="s">
        <v>151</v>
      </c>
      <c r="S121" s="9"/>
      <c r="T121" s="9" t="s">
        <v>152</v>
      </c>
      <c r="U121" s="9" t="s">
        <v>153</v>
      </c>
      <c r="V121" s="9"/>
      <c r="W121" s="9"/>
      <c r="X121" s="9"/>
      <c r="Z121" s="125"/>
      <c r="AA121" s="9"/>
      <c r="AB121" s="9"/>
      <c r="AC121" s="9" t="s">
        <v>154</v>
      </c>
      <c r="AD121" s="9"/>
      <c r="AE121" s="9"/>
    </row>
    <row r="122" spans="1:31" x14ac:dyDescent="0.25">
      <c r="A122" s="9"/>
      <c r="B122" s="9"/>
      <c r="C122" s="31" t="s">
        <v>204</v>
      </c>
      <c r="D122" s="31" t="s">
        <v>205</v>
      </c>
      <c r="E122" s="31" t="s">
        <v>206</v>
      </c>
      <c r="F122" s="9"/>
      <c r="G122" s="38">
        <f>IFERROR(INDEX(PCC_under,MATCH($C122,PCC_ID,0)),"")</f>
        <v>-0.35603099999999999</v>
      </c>
      <c r="H122" s="38">
        <f>IFERROR(INDEX(Out_PCC,MATCH($C122,PCC_ID,0)),"")</f>
        <v>0.35603099999999999</v>
      </c>
      <c r="I122" s="9"/>
      <c r="J122" s="9"/>
      <c r="K122" s="9"/>
      <c r="M122" s="125"/>
      <c r="N122" s="9"/>
      <c r="O122" s="9"/>
      <c r="P122" s="31" t="s">
        <v>204</v>
      </c>
      <c r="Q122" s="31" t="s">
        <v>205</v>
      </c>
      <c r="R122" s="31" t="s">
        <v>159</v>
      </c>
      <c r="S122" s="9"/>
      <c r="T122" s="25">
        <f t="shared" ref="T122:U124" si="19">IFERROR(((G122-$AC122)/$AC122)*hundred,"")</f>
        <v>-100.27296710879399</v>
      </c>
      <c r="U122" s="25">
        <f t="shared" si="19"/>
        <v>-99.727032891206008</v>
      </c>
      <c r="V122" s="9"/>
      <c r="W122" s="9"/>
      <c r="X122" s="9"/>
      <c r="Z122" s="125"/>
      <c r="AA122" s="9"/>
      <c r="AB122" s="31" t="s">
        <v>205</v>
      </c>
      <c r="AC122" s="83">
        <v>130.43</v>
      </c>
      <c r="AD122" s="9"/>
      <c r="AE122" s="9"/>
    </row>
    <row r="123" spans="1:31" x14ac:dyDescent="0.25">
      <c r="A123" s="9"/>
      <c r="B123" s="9"/>
      <c r="C123" s="31" t="s">
        <v>207</v>
      </c>
      <c r="D123" s="31" t="s">
        <v>169</v>
      </c>
      <c r="E123" s="31" t="s">
        <v>206</v>
      </c>
      <c r="F123" s="9"/>
      <c r="G123" s="38" t="str">
        <f>IFERROR(INDEX(PCC_under,MATCH($C123,PCC_ID,0)),"")</f>
        <v/>
      </c>
      <c r="H123" s="38" t="str">
        <f>IFERROR(INDEX(Out_PCC,MATCH($C123,PCC_ID,0)),"")</f>
        <v/>
      </c>
      <c r="I123" s="9"/>
      <c r="J123" s="9"/>
      <c r="K123" s="9"/>
      <c r="M123" s="125"/>
      <c r="N123" s="9"/>
      <c r="O123" s="9"/>
      <c r="P123" s="31" t="s">
        <v>207</v>
      </c>
      <c r="Q123" s="31" t="s">
        <v>169</v>
      </c>
      <c r="R123" s="31" t="s">
        <v>159</v>
      </c>
      <c r="S123" s="9"/>
      <c r="T123" s="25" t="str">
        <f t="shared" si="19"/>
        <v/>
      </c>
      <c r="U123" s="25" t="str">
        <f t="shared" si="19"/>
        <v/>
      </c>
      <c r="V123" s="9"/>
      <c r="W123" s="9"/>
      <c r="X123" s="9"/>
      <c r="Z123" s="125"/>
      <c r="AA123" s="9"/>
      <c r="AB123" s="31" t="s">
        <v>169</v>
      </c>
      <c r="AC123" s="83">
        <v>129</v>
      </c>
      <c r="AD123" s="9"/>
      <c r="AE123" s="9"/>
    </row>
    <row r="124" spans="1:31" x14ac:dyDescent="0.25">
      <c r="A124" s="9"/>
      <c r="B124" s="9"/>
      <c r="C124" s="31" t="s">
        <v>208</v>
      </c>
      <c r="D124" s="31" t="s">
        <v>171</v>
      </c>
      <c r="E124" s="31" t="s">
        <v>206</v>
      </c>
      <c r="F124" s="9"/>
      <c r="G124" s="38">
        <f>IFERROR(INDEX(PCC_under,MATCH($C124,PCC_ID,0)),"")</f>
        <v>-0.78745877767321082</v>
      </c>
      <c r="H124" s="38">
        <f>IFERROR(INDEX(Out_PCC,MATCH($C124,PCC_ID,0)),"")</f>
        <v>0.78745877767321082</v>
      </c>
      <c r="I124" s="9"/>
      <c r="J124" s="9"/>
      <c r="K124" s="9"/>
      <c r="M124" s="125"/>
      <c r="N124" s="9"/>
      <c r="O124" s="9"/>
      <c r="P124" s="31" t="s">
        <v>208</v>
      </c>
      <c r="Q124" s="31" t="s">
        <v>171</v>
      </c>
      <c r="R124" s="31" t="s">
        <v>159</v>
      </c>
      <c r="S124" s="9"/>
      <c r="T124" s="25">
        <f t="shared" si="19"/>
        <v>-100.60019723908017</v>
      </c>
      <c r="U124" s="25">
        <f t="shared" si="19"/>
        <v>-99.399802760919812</v>
      </c>
      <c r="V124" s="9"/>
      <c r="W124" s="9"/>
      <c r="X124" s="9"/>
      <c r="Z124" s="125"/>
      <c r="AA124" s="9"/>
      <c r="AB124" s="31" t="s">
        <v>171</v>
      </c>
      <c r="AC124" s="83">
        <v>131.19999999999999</v>
      </c>
      <c r="AD124" s="9"/>
      <c r="AE124" s="9"/>
    </row>
    <row r="125" spans="1:31" x14ac:dyDescent="0.25">
      <c r="A125" s="9"/>
      <c r="B125" s="9"/>
      <c r="C125" s="9"/>
      <c r="D125" s="9"/>
      <c r="E125" s="9"/>
      <c r="F125" s="9"/>
      <c r="G125" s="9"/>
      <c r="H125" s="9"/>
      <c r="I125" s="9"/>
      <c r="J125" s="9"/>
      <c r="K125" s="9"/>
      <c r="M125" s="125"/>
      <c r="N125" s="9"/>
      <c r="O125" s="9"/>
      <c r="P125" s="9"/>
      <c r="Q125" s="9"/>
      <c r="R125" s="9"/>
      <c r="S125" s="9"/>
      <c r="T125" s="9"/>
      <c r="U125" s="9"/>
      <c r="V125" s="9"/>
      <c r="W125" s="9"/>
      <c r="X125" s="9"/>
      <c r="Z125" s="125"/>
      <c r="AA125" s="9"/>
      <c r="AB125" s="31"/>
      <c r="AC125" s="9"/>
      <c r="AD125" s="9"/>
      <c r="AE125" s="9"/>
    </row>
    <row r="126" spans="1:31" ht="15" x14ac:dyDescent="0.35">
      <c r="A126" s="9"/>
      <c r="B126" s="51" t="s">
        <v>172</v>
      </c>
      <c r="C126" s="9"/>
      <c r="D126" s="9"/>
      <c r="E126" s="9"/>
      <c r="F126" s="9"/>
      <c r="G126" s="9"/>
      <c r="H126" s="9"/>
      <c r="I126" s="9"/>
      <c r="J126" s="9"/>
      <c r="K126" s="9"/>
      <c r="M126" s="125"/>
      <c r="N126" s="9"/>
      <c r="O126" s="51" t="s">
        <v>172</v>
      </c>
      <c r="P126" s="9"/>
      <c r="Q126" s="9"/>
      <c r="R126" s="9"/>
      <c r="S126" s="9"/>
      <c r="T126" s="9"/>
      <c r="U126" s="9"/>
      <c r="V126" s="9"/>
      <c r="W126" s="9"/>
      <c r="X126" s="9"/>
      <c r="Z126" s="125"/>
      <c r="AA126" s="9"/>
      <c r="AB126" s="102" t="s">
        <v>209</v>
      </c>
      <c r="AC126" s="9"/>
      <c r="AD126" s="9"/>
      <c r="AE126" s="9"/>
    </row>
    <row r="127" spans="1:31" x14ac:dyDescent="0.25">
      <c r="A127" s="9"/>
      <c r="B127" s="9"/>
      <c r="C127" s="9"/>
      <c r="D127" s="9"/>
      <c r="E127" s="9"/>
      <c r="F127" s="9"/>
      <c r="G127" s="9"/>
      <c r="H127" s="9"/>
      <c r="I127" s="9"/>
      <c r="J127" s="9"/>
      <c r="K127" s="9"/>
      <c r="M127" s="125"/>
      <c r="N127" s="9"/>
      <c r="O127" s="9"/>
      <c r="P127" s="9"/>
      <c r="Q127" s="9"/>
      <c r="R127" s="9"/>
      <c r="S127" s="9"/>
      <c r="T127" s="9"/>
      <c r="U127" s="9"/>
      <c r="V127" s="9"/>
      <c r="W127" s="9"/>
      <c r="X127" s="9"/>
      <c r="Z127" s="125"/>
      <c r="AA127" s="9"/>
      <c r="AB127" s="9"/>
      <c r="AC127" s="9"/>
      <c r="AD127" s="9"/>
      <c r="AE127" s="9"/>
    </row>
    <row r="128" spans="1:31" x14ac:dyDescent="0.25">
      <c r="A128" s="9"/>
      <c r="B128" s="9"/>
      <c r="C128" s="9" t="s">
        <v>149</v>
      </c>
      <c r="D128" s="9" t="s">
        <v>150</v>
      </c>
      <c r="E128" s="21" t="s">
        <v>151</v>
      </c>
      <c r="F128" s="9"/>
      <c r="G128" s="9" t="s">
        <v>174</v>
      </c>
      <c r="H128" s="9" t="s">
        <v>175</v>
      </c>
      <c r="I128" s="9" t="s">
        <v>176</v>
      </c>
      <c r="J128" s="9" t="s">
        <v>177</v>
      </c>
      <c r="K128" s="9" t="s">
        <v>178</v>
      </c>
      <c r="M128" s="125"/>
      <c r="N128" s="9"/>
      <c r="O128" s="9"/>
      <c r="P128" s="9" t="s">
        <v>149</v>
      </c>
      <c r="Q128" s="9" t="s">
        <v>150</v>
      </c>
      <c r="R128" s="21" t="s">
        <v>151</v>
      </c>
      <c r="S128" s="9"/>
      <c r="T128" s="9" t="s">
        <v>174</v>
      </c>
      <c r="U128" s="9" t="s">
        <v>175</v>
      </c>
      <c r="V128" s="9" t="s">
        <v>176</v>
      </c>
      <c r="W128" s="9" t="s">
        <v>177</v>
      </c>
      <c r="X128" s="9" t="s">
        <v>178</v>
      </c>
      <c r="Z128" s="125"/>
      <c r="AA128" s="9"/>
      <c r="AB128" s="4"/>
      <c r="AC128" s="9"/>
      <c r="AD128" s="9"/>
      <c r="AE128" s="9"/>
    </row>
    <row r="129" spans="1:31" x14ac:dyDescent="0.25">
      <c r="A129" s="9"/>
      <c r="B129" s="9"/>
      <c r="C129" s="31" t="s">
        <v>204</v>
      </c>
      <c r="D129" s="31" t="s">
        <v>205</v>
      </c>
      <c r="E129" s="31" t="s">
        <v>210</v>
      </c>
      <c r="F129" s="9"/>
      <c r="G129" s="46">
        <f t="shared" ref="G129:K131" si="20">collar_PCC</f>
        <v>154.30000000000001</v>
      </c>
      <c r="H129" s="46">
        <f t="shared" si="20"/>
        <v>154.30000000000001</v>
      </c>
      <c r="I129" s="46">
        <f t="shared" si="20"/>
        <v>154.30000000000001</v>
      </c>
      <c r="J129" s="46">
        <f t="shared" si="20"/>
        <v>154.30000000000001</v>
      </c>
      <c r="K129" s="46">
        <f t="shared" si="20"/>
        <v>154.30000000000001</v>
      </c>
      <c r="L129" s="46"/>
      <c r="M129" s="125"/>
      <c r="N129" s="9"/>
      <c r="O129" s="9"/>
      <c r="P129" s="31" t="s">
        <v>204</v>
      </c>
      <c r="Q129" s="31" t="s">
        <v>205</v>
      </c>
      <c r="R129" s="31" t="s">
        <v>180</v>
      </c>
      <c r="S129" s="9"/>
      <c r="T129" s="25">
        <f>IFERROR(((G129-$AC122)/$AC122)*hundred,"")</f>
        <v>18.301004370160243</v>
      </c>
      <c r="U129" s="25">
        <f>IFERROR(((H129-$AC122)/$AC122)*hundred,"")</f>
        <v>18.301004370160243</v>
      </c>
      <c r="V129" s="25">
        <f>IFERROR(((I129-$AC122)/$AC122)*hundred,"")</f>
        <v>18.301004370160243</v>
      </c>
      <c r="W129" s="25">
        <f>IFERROR(((J129-$AC122)/$AC122)*hundred,"")</f>
        <v>18.301004370160243</v>
      </c>
      <c r="X129" s="25">
        <f>IFERROR(((K129-$AC122)/$AC122)*hundred,"")</f>
        <v>18.301004370160243</v>
      </c>
      <c r="Y129" s="25"/>
      <c r="Z129" s="126"/>
      <c r="AA129" s="9"/>
      <c r="AB129" s="9"/>
      <c r="AC129" s="9"/>
      <c r="AD129" s="9"/>
      <c r="AE129" s="9"/>
    </row>
    <row r="130" spans="1:31" x14ac:dyDescent="0.25">
      <c r="A130" s="9"/>
      <c r="B130" s="9"/>
      <c r="C130" s="31" t="s">
        <v>207</v>
      </c>
      <c r="D130" s="31" t="s">
        <v>169</v>
      </c>
      <c r="E130" s="31" t="s">
        <v>210</v>
      </c>
      <c r="F130" s="9"/>
      <c r="G130" s="46"/>
      <c r="H130" s="46"/>
      <c r="I130" s="46"/>
      <c r="J130" s="46"/>
      <c r="K130" s="46"/>
      <c r="L130" s="46"/>
      <c r="M130" s="125"/>
      <c r="N130" s="9"/>
      <c r="O130" s="9"/>
      <c r="P130" s="31" t="s">
        <v>207</v>
      </c>
      <c r="Q130" s="31" t="s">
        <v>169</v>
      </c>
      <c r="R130" s="31" t="s">
        <v>180</v>
      </c>
      <c r="S130" s="9"/>
      <c r="T130" s="25"/>
      <c r="U130" s="25"/>
      <c r="V130" s="25"/>
      <c r="W130" s="25"/>
      <c r="X130" s="25"/>
      <c r="Y130" s="25"/>
      <c r="Z130" s="126"/>
      <c r="AA130" s="9"/>
      <c r="AB130" s="9"/>
      <c r="AC130" s="9"/>
      <c r="AD130" s="9"/>
      <c r="AE130" s="9"/>
    </row>
    <row r="131" spans="1:31" x14ac:dyDescent="0.25">
      <c r="A131" s="9"/>
      <c r="B131" s="9"/>
      <c r="C131" s="31" t="s">
        <v>208</v>
      </c>
      <c r="D131" s="31" t="s">
        <v>171</v>
      </c>
      <c r="E131" s="31" t="s">
        <v>210</v>
      </c>
      <c r="F131" s="9"/>
      <c r="G131" s="46">
        <f t="shared" si="20"/>
        <v>154.30000000000001</v>
      </c>
      <c r="H131" s="46">
        <f t="shared" si="20"/>
        <v>154.30000000000001</v>
      </c>
      <c r="I131" s="46">
        <f t="shared" si="20"/>
        <v>154.30000000000001</v>
      </c>
      <c r="J131" s="46">
        <f t="shared" si="20"/>
        <v>154.30000000000001</v>
      </c>
      <c r="K131" s="46">
        <f t="shared" si="20"/>
        <v>154.30000000000001</v>
      </c>
      <c r="L131" s="46"/>
      <c r="M131" s="125"/>
      <c r="N131" s="9"/>
      <c r="O131" s="9"/>
      <c r="P131" s="31" t="s">
        <v>208</v>
      </c>
      <c r="Q131" s="31" t="s">
        <v>171</v>
      </c>
      <c r="R131" s="31" t="s">
        <v>180</v>
      </c>
      <c r="S131" s="9"/>
      <c r="T131" s="25">
        <f>IFERROR(((G131-$AC124)/$AC124)*hundred,"")</f>
        <v>17.606707317073187</v>
      </c>
      <c r="U131" s="25">
        <f>IFERROR(((H131-$AC124)/$AC124)*hundred,"")</f>
        <v>17.606707317073187</v>
      </c>
      <c r="V131" s="25">
        <f>IFERROR(((I131-$AC124)/$AC124)*hundred,"")</f>
        <v>17.606707317073187</v>
      </c>
      <c r="W131" s="25">
        <f>IFERROR(((J131-$AC124)/$AC124)*hundred,"")</f>
        <v>17.606707317073187</v>
      </c>
      <c r="X131" s="25">
        <f>IFERROR(((K131-$AC124)/$AC124)*hundred,"")</f>
        <v>17.606707317073187</v>
      </c>
      <c r="Y131" s="25"/>
      <c r="Z131" s="126"/>
      <c r="AA131" s="9"/>
      <c r="AB131" s="9"/>
      <c r="AC131" s="9"/>
      <c r="AD131" s="9"/>
      <c r="AE131" s="9"/>
    </row>
    <row r="132" spans="1:31" x14ac:dyDescent="0.25">
      <c r="A132" s="9"/>
      <c r="B132" s="9"/>
      <c r="C132" s="9"/>
      <c r="D132" s="9"/>
      <c r="E132" s="9"/>
      <c r="F132" s="9"/>
      <c r="G132" s="9"/>
      <c r="H132" s="9"/>
      <c r="I132" s="9"/>
      <c r="J132" s="9"/>
      <c r="K132" s="9"/>
      <c r="M132" s="125"/>
      <c r="N132" s="9"/>
      <c r="O132" s="9"/>
      <c r="P132" s="9"/>
      <c r="Q132" s="9"/>
      <c r="R132" s="9"/>
      <c r="S132" s="9"/>
      <c r="T132" s="9"/>
      <c r="U132" s="9"/>
      <c r="V132" s="9"/>
      <c r="W132" s="9"/>
      <c r="X132" s="9"/>
      <c r="Z132" s="125"/>
      <c r="AA132" s="9"/>
      <c r="AB132" s="9"/>
      <c r="AC132" s="9"/>
      <c r="AD132" s="9"/>
      <c r="AE132" s="9"/>
    </row>
    <row r="133" spans="1:31" ht="15" x14ac:dyDescent="0.35">
      <c r="A133" s="9"/>
      <c r="B133" s="51" t="s">
        <v>181</v>
      </c>
      <c r="C133" s="9"/>
      <c r="D133" s="9"/>
      <c r="E133" s="9"/>
      <c r="F133" s="9"/>
      <c r="G133" s="9"/>
      <c r="H133" s="9"/>
      <c r="I133" s="9"/>
      <c r="J133" s="9"/>
      <c r="K133" s="9"/>
      <c r="M133" s="125"/>
      <c r="N133" s="9"/>
      <c r="O133" s="51" t="s">
        <v>181</v>
      </c>
      <c r="P133" s="9"/>
      <c r="Q133" s="9"/>
      <c r="R133" s="9"/>
      <c r="S133" s="9"/>
      <c r="T133" s="9"/>
      <c r="U133" s="9"/>
      <c r="V133" s="9"/>
      <c r="W133" s="9"/>
      <c r="X133" s="9"/>
      <c r="Z133" s="125"/>
      <c r="AA133" s="9"/>
      <c r="AB133" s="9"/>
      <c r="AC133" s="9"/>
      <c r="AD133" s="9"/>
      <c r="AE133" s="9"/>
    </row>
    <row r="134" spans="1:31" x14ac:dyDescent="0.25">
      <c r="A134" s="9"/>
      <c r="B134" s="9"/>
      <c r="C134" s="9"/>
      <c r="D134" s="9"/>
      <c r="E134" s="9"/>
      <c r="F134" s="9"/>
      <c r="G134" s="9"/>
      <c r="H134" s="9"/>
      <c r="I134" s="9"/>
      <c r="J134" s="9"/>
      <c r="K134" s="9"/>
      <c r="M134" s="125"/>
      <c r="N134" s="9"/>
      <c r="O134" s="9"/>
      <c r="P134" s="9"/>
      <c r="Q134" s="9"/>
      <c r="R134" s="9"/>
      <c r="S134" s="9"/>
      <c r="T134" s="9"/>
      <c r="U134" s="9"/>
      <c r="V134" s="9"/>
      <c r="W134" s="9"/>
      <c r="X134" s="9"/>
      <c r="Z134" s="125"/>
      <c r="AA134" s="9"/>
      <c r="AB134" s="9"/>
      <c r="AC134" s="9"/>
      <c r="AD134" s="9"/>
      <c r="AE134" s="9"/>
    </row>
    <row r="135" spans="1:31" x14ac:dyDescent="0.25">
      <c r="A135" s="9"/>
      <c r="B135" s="9"/>
      <c r="C135" s="9" t="s">
        <v>149</v>
      </c>
      <c r="D135" s="9" t="s">
        <v>150</v>
      </c>
      <c r="E135" s="21" t="s">
        <v>151</v>
      </c>
      <c r="F135" s="9"/>
      <c r="G135" s="9" t="s">
        <v>174</v>
      </c>
      <c r="H135" s="9" t="s">
        <v>175</v>
      </c>
      <c r="I135" s="9" t="s">
        <v>176</v>
      </c>
      <c r="J135" s="9" t="s">
        <v>177</v>
      </c>
      <c r="K135" s="9" t="s">
        <v>178</v>
      </c>
      <c r="M135" s="125"/>
      <c r="N135" s="9"/>
      <c r="O135" s="9"/>
      <c r="P135" s="9" t="s">
        <v>149</v>
      </c>
      <c r="Q135" s="9" t="s">
        <v>150</v>
      </c>
      <c r="R135" s="21" t="s">
        <v>151</v>
      </c>
      <c r="S135" s="9"/>
      <c r="T135" s="9" t="s">
        <v>174</v>
      </c>
      <c r="U135" s="9" t="s">
        <v>175</v>
      </c>
      <c r="V135" s="9" t="s">
        <v>176</v>
      </c>
      <c r="W135" s="9" t="s">
        <v>177</v>
      </c>
      <c r="X135" s="9" t="s">
        <v>178</v>
      </c>
      <c r="Z135" s="125"/>
      <c r="AA135" s="9"/>
      <c r="AB135" s="9"/>
      <c r="AC135" s="9"/>
      <c r="AD135" s="9"/>
      <c r="AE135" s="9"/>
    </row>
    <row r="136" spans="1:31" x14ac:dyDescent="0.25">
      <c r="A136" s="9"/>
      <c r="B136" s="9"/>
      <c r="C136" s="31" t="s">
        <v>204</v>
      </c>
      <c r="D136" s="31" t="s">
        <v>205</v>
      </c>
      <c r="E136" s="31" t="s">
        <v>210</v>
      </c>
      <c r="F136" s="9"/>
      <c r="G136" s="46">
        <f t="shared" ref="G136:K138" si="21">INDEX(threshold_under_PCC,MATCH($C136,threshold_under_company_PCC,0),MATCH(G$22,threshold_years_PCC,0))</f>
        <v>152.14999999999998</v>
      </c>
      <c r="H136" s="46">
        <f t="shared" si="21"/>
        <v>152.14999999999998</v>
      </c>
      <c r="I136" s="46">
        <f t="shared" si="21"/>
        <v>152.14999999999998</v>
      </c>
      <c r="J136" s="46">
        <f t="shared" si="21"/>
        <v>152.14999999999998</v>
      </c>
      <c r="K136" s="46">
        <f t="shared" si="21"/>
        <v>152.14999999999998</v>
      </c>
      <c r="L136" s="46"/>
      <c r="M136" s="125"/>
      <c r="N136" s="9"/>
      <c r="O136" s="9"/>
      <c r="P136" s="31" t="s">
        <v>204</v>
      </c>
      <c r="Q136" s="31" t="s">
        <v>205</v>
      </c>
      <c r="R136" s="31" t="s">
        <v>180</v>
      </c>
      <c r="S136" s="9"/>
      <c r="T136" s="25">
        <f>IFERROR(((G136-$AC122)/$AC122)*hundred,"")</f>
        <v>16.652610595721821</v>
      </c>
      <c r="U136" s="25">
        <f>IFERROR(((H136-$AC122)/$AC122)*hundred,"")</f>
        <v>16.652610595721821</v>
      </c>
      <c r="V136" s="25">
        <f>IFERROR(((I136-$AC122)/$AC122)*hundred,"")</f>
        <v>16.652610595721821</v>
      </c>
      <c r="W136" s="25">
        <f>IFERROR(((J136-$AC122)/$AC122)*hundred,"")</f>
        <v>16.652610595721821</v>
      </c>
      <c r="X136" s="25">
        <f>IFERROR(((K136-$AC122)/$AC122)*hundred,"")</f>
        <v>16.652610595721821</v>
      </c>
      <c r="Y136" s="25"/>
      <c r="Z136" s="126"/>
      <c r="AA136" s="9"/>
      <c r="AB136" s="9"/>
      <c r="AC136" s="9"/>
      <c r="AD136" s="9"/>
      <c r="AE136" s="9"/>
    </row>
    <row r="137" spans="1:31" x14ac:dyDescent="0.25">
      <c r="A137" s="9"/>
      <c r="B137" s="9"/>
      <c r="C137" s="31" t="s">
        <v>207</v>
      </c>
      <c r="D137" s="31" t="s">
        <v>169</v>
      </c>
      <c r="E137" s="31" t="s">
        <v>210</v>
      </c>
      <c r="F137" s="9"/>
      <c r="G137" s="46"/>
      <c r="H137" s="46"/>
      <c r="I137" s="46"/>
      <c r="J137" s="46"/>
      <c r="K137" s="46"/>
      <c r="L137" s="46"/>
      <c r="M137" s="125"/>
      <c r="N137" s="9"/>
      <c r="O137" s="9"/>
      <c r="P137" s="31" t="s">
        <v>207</v>
      </c>
      <c r="Q137" s="31" t="s">
        <v>169</v>
      </c>
      <c r="R137" s="31" t="s">
        <v>180</v>
      </c>
      <c r="S137" s="9"/>
      <c r="T137" s="25"/>
      <c r="U137" s="25"/>
      <c r="V137" s="25"/>
      <c r="W137" s="25"/>
      <c r="X137" s="25"/>
      <c r="Y137" s="25"/>
      <c r="Z137" s="126"/>
      <c r="AA137" s="9"/>
      <c r="AB137" s="9"/>
      <c r="AC137" s="9"/>
      <c r="AD137" s="9"/>
      <c r="AE137" s="9"/>
    </row>
    <row r="138" spans="1:31" x14ac:dyDescent="0.25">
      <c r="A138" s="9"/>
      <c r="B138" s="9"/>
      <c r="C138" s="31" t="s">
        <v>208</v>
      </c>
      <c r="D138" s="31" t="s">
        <v>171</v>
      </c>
      <c r="E138" s="31" t="s">
        <v>210</v>
      </c>
      <c r="F138" s="9"/>
      <c r="G138" s="46">
        <f t="shared" si="21"/>
        <v>152.14999999999998</v>
      </c>
      <c r="H138" s="46">
        <f t="shared" si="21"/>
        <v>152.14999999999998</v>
      </c>
      <c r="I138" s="46">
        <f t="shared" si="21"/>
        <v>152.14999999999998</v>
      </c>
      <c r="J138" s="46">
        <f t="shared" si="21"/>
        <v>152.14999999999998</v>
      </c>
      <c r="K138" s="46">
        <f t="shared" si="21"/>
        <v>152.14999999999998</v>
      </c>
      <c r="L138" s="46"/>
      <c r="M138" s="125"/>
      <c r="N138" s="9"/>
      <c r="O138" s="9"/>
      <c r="P138" s="31" t="s">
        <v>208</v>
      </c>
      <c r="Q138" s="31" t="s">
        <v>171</v>
      </c>
      <c r="R138" s="31" t="s">
        <v>180</v>
      </c>
      <c r="S138" s="9"/>
      <c r="T138" s="25">
        <f>IFERROR(((G138-$AC124)/$AC124)*hundred,"")</f>
        <v>15.967987804878042</v>
      </c>
      <c r="U138" s="25">
        <f>IFERROR(((H138-$AC124)/$AC124)*hundred,"")</f>
        <v>15.967987804878042</v>
      </c>
      <c r="V138" s="25">
        <f>IFERROR(((I138-$AC124)/$AC124)*hundred,"")</f>
        <v>15.967987804878042</v>
      </c>
      <c r="W138" s="25">
        <f>IFERROR(((J138-$AC124)/$AC124)*hundred,"")</f>
        <v>15.967987804878042</v>
      </c>
      <c r="X138" s="25">
        <f>IFERROR(((K138-$AC124)/$AC124)*hundred,"")</f>
        <v>15.967987804878042</v>
      </c>
      <c r="Y138" s="25"/>
      <c r="Z138" s="126"/>
      <c r="AA138" s="9"/>
      <c r="AB138" s="9"/>
      <c r="AC138" s="9"/>
      <c r="AD138" s="9"/>
      <c r="AE138" s="9"/>
    </row>
    <row r="139" spans="1:31" x14ac:dyDescent="0.25">
      <c r="A139" s="9"/>
      <c r="B139" s="9"/>
      <c r="C139" s="9"/>
      <c r="D139" s="9"/>
      <c r="E139" s="9"/>
      <c r="F139" s="9"/>
      <c r="G139" s="9"/>
      <c r="H139" s="9"/>
      <c r="I139" s="9"/>
      <c r="J139" s="9"/>
      <c r="K139" s="9"/>
      <c r="M139" s="125"/>
      <c r="N139" s="9"/>
      <c r="O139" s="9"/>
      <c r="P139" s="9"/>
      <c r="Q139" s="9"/>
      <c r="R139" s="9"/>
      <c r="S139" s="9"/>
      <c r="T139" s="25"/>
      <c r="U139" s="25"/>
      <c r="V139" s="25"/>
      <c r="W139" s="25"/>
      <c r="X139" s="25"/>
      <c r="Z139" s="125"/>
      <c r="AA139" s="9"/>
      <c r="AB139" s="9"/>
      <c r="AC139" s="9"/>
      <c r="AD139" s="9"/>
      <c r="AE139" s="9"/>
    </row>
    <row r="140" spans="1:31" ht="15" x14ac:dyDescent="0.35">
      <c r="A140" s="9"/>
      <c r="B140" s="51" t="s">
        <v>182</v>
      </c>
      <c r="C140" s="9"/>
      <c r="D140" s="9"/>
      <c r="E140" s="9"/>
      <c r="F140" s="9"/>
      <c r="G140" s="9"/>
      <c r="H140" s="9"/>
      <c r="I140" s="9"/>
      <c r="J140" s="9"/>
      <c r="K140" s="9"/>
      <c r="M140" s="125"/>
      <c r="N140" s="9"/>
      <c r="O140" s="51" t="s">
        <v>182</v>
      </c>
      <c r="P140" s="9"/>
      <c r="Q140" s="9"/>
      <c r="R140" s="9"/>
      <c r="S140" s="9"/>
      <c r="T140" s="9"/>
      <c r="U140" s="9"/>
      <c r="V140" s="9"/>
      <c r="W140" s="9"/>
      <c r="X140" s="9"/>
      <c r="Z140" s="125"/>
      <c r="AA140" s="9"/>
      <c r="AB140" s="9"/>
      <c r="AC140" s="9"/>
      <c r="AD140" s="9"/>
      <c r="AE140" s="9"/>
    </row>
    <row r="141" spans="1:31" x14ac:dyDescent="0.25">
      <c r="A141" s="9"/>
      <c r="B141" s="9"/>
      <c r="C141" s="9"/>
      <c r="D141" s="9"/>
      <c r="E141" s="9"/>
      <c r="F141" s="9"/>
      <c r="G141" s="9"/>
      <c r="H141" s="9"/>
      <c r="I141" s="9"/>
      <c r="J141" s="9"/>
      <c r="K141" s="9"/>
      <c r="M141" s="125"/>
      <c r="N141" s="9"/>
      <c r="O141" s="9"/>
      <c r="P141" s="9"/>
      <c r="Q141" s="9"/>
      <c r="R141" s="9"/>
      <c r="S141" s="9"/>
      <c r="T141" s="9"/>
      <c r="U141" s="9"/>
      <c r="V141" s="9"/>
      <c r="W141" s="9"/>
      <c r="X141" s="9"/>
      <c r="Z141" s="125"/>
      <c r="AA141" s="9"/>
      <c r="AB141" s="9"/>
      <c r="AC141" s="9"/>
      <c r="AD141" s="9"/>
      <c r="AE141" s="9"/>
    </row>
    <row r="142" spans="1:31" x14ac:dyDescent="0.25">
      <c r="A142" s="9"/>
      <c r="B142" s="9"/>
      <c r="C142" s="9" t="s">
        <v>149</v>
      </c>
      <c r="D142" s="9" t="s">
        <v>150</v>
      </c>
      <c r="E142" s="21" t="s">
        <v>151</v>
      </c>
      <c r="F142" s="9"/>
      <c r="G142" s="9" t="s">
        <v>174</v>
      </c>
      <c r="H142" s="9" t="s">
        <v>175</v>
      </c>
      <c r="I142" s="9" t="s">
        <v>176</v>
      </c>
      <c r="J142" s="9" t="s">
        <v>177</v>
      </c>
      <c r="K142" s="9" t="s">
        <v>178</v>
      </c>
      <c r="M142" s="125"/>
      <c r="N142" s="9"/>
      <c r="O142" s="9"/>
      <c r="P142" s="9" t="s">
        <v>149</v>
      </c>
      <c r="Q142" s="9" t="s">
        <v>150</v>
      </c>
      <c r="R142" s="21" t="s">
        <v>151</v>
      </c>
      <c r="S142" s="9"/>
      <c r="T142" s="9" t="s">
        <v>174</v>
      </c>
      <c r="U142" s="9" t="s">
        <v>175</v>
      </c>
      <c r="V142" s="9" t="s">
        <v>176</v>
      </c>
      <c r="W142" s="9" t="s">
        <v>177</v>
      </c>
      <c r="X142" s="9" t="s">
        <v>178</v>
      </c>
      <c r="Z142" s="125"/>
      <c r="AA142" s="9"/>
      <c r="AB142" s="9"/>
      <c r="AC142" s="9"/>
      <c r="AD142" s="9"/>
      <c r="AE142" s="9"/>
    </row>
    <row r="143" spans="1:31" x14ac:dyDescent="0.25">
      <c r="A143" s="9"/>
      <c r="B143" s="9"/>
      <c r="C143" s="31" t="s">
        <v>204</v>
      </c>
      <c r="D143" s="31" t="s">
        <v>205</v>
      </c>
      <c r="E143" s="31" t="s">
        <v>210</v>
      </c>
      <c r="F143" s="9"/>
      <c r="G143" s="124">
        <f t="shared" ref="G143:K145" si="22">INDEX(threshold_out_PCC,MATCH($C143,threshold_out_company_PCC,0),MATCH(G$22,threshold_years_PCC,0))</f>
        <v>127.02440603527708</v>
      </c>
      <c r="H143" s="124">
        <f t="shared" si="22"/>
        <v>125.82378604072319</v>
      </c>
      <c r="I143" s="124">
        <f t="shared" si="22"/>
        <v>122.79378604072321</v>
      </c>
      <c r="J143" s="124">
        <f t="shared" si="22"/>
        <v>120.66045270738988</v>
      </c>
      <c r="K143" s="124">
        <f t="shared" si="22"/>
        <v>118.99378604072321</v>
      </c>
      <c r="L143" s="124"/>
      <c r="M143" s="125"/>
      <c r="N143" s="9"/>
      <c r="O143" s="9"/>
      <c r="P143" s="31" t="s">
        <v>204</v>
      </c>
      <c r="Q143" s="31" t="s">
        <v>205</v>
      </c>
      <c r="R143" s="31" t="s">
        <v>180</v>
      </c>
      <c r="S143" s="9"/>
      <c r="T143" s="25">
        <f>IFERROR(((G143-$AC122)/$AC122)*hundred,"")</f>
        <v>-2.6110511114949975</v>
      </c>
      <c r="U143" s="25">
        <f>IFERROR(((H143-$AC122)/$AC122)*hundred,"")</f>
        <v>-3.5315601926526217</v>
      </c>
      <c r="V143" s="25">
        <f>IFERROR(((I143-$AC122)/$AC122)*hundred,"")</f>
        <v>-5.8546453724425369</v>
      </c>
      <c r="W143" s="25">
        <f>IFERROR(((J143-$AC122)/$AC122)*hundred,"")</f>
        <v>-7.490260900567451</v>
      </c>
      <c r="X143" s="25">
        <f>IFERROR(((K143-$AC122)/$AC122)*hundred,"")</f>
        <v>-8.7680855319150481</v>
      </c>
      <c r="Y143" s="25"/>
      <c r="Z143" s="126"/>
      <c r="AA143" s="9"/>
      <c r="AB143" s="9"/>
      <c r="AC143" s="9"/>
      <c r="AD143" s="9"/>
      <c r="AE143" s="9"/>
    </row>
    <row r="144" spans="1:31" x14ac:dyDescent="0.25">
      <c r="A144" s="9"/>
      <c r="B144" s="9"/>
      <c r="C144" s="31" t="s">
        <v>207</v>
      </c>
      <c r="D144" s="31" t="s">
        <v>169</v>
      </c>
      <c r="E144" s="31" t="s">
        <v>210</v>
      </c>
      <c r="F144" s="9"/>
      <c r="G144" s="124"/>
      <c r="H144" s="124"/>
      <c r="I144" s="124"/>
      <c r="J144" s="124"/>
      <c r="K144" s="124"/>
      <c r="L144" s="124"/>
      <c r="M144" s="125"/>
      <c r="N144" s="9"/>
      <c r="O144" s="9"/>
      <c r="P144" s="31" t="s">
        <v>207</v>
      </c>
      <c r="Q144" s="31" t="s">
        <v>169</v>
      </c>
      <c r="R144" s="31" t="s">
        <v>180</v>
      </c>
      <c r="S144" s="9"/>
      <c r="T144" s="25"/>
      <c r="U144" s="25"/>
      <c r="V144" s="25"/>
      <c r="W144" s="25"/>
      <c r="X144" s="25"/>
      <c r="Y144" s="25"/>
      <c r="Z144" s="126"/>
      <c r="AA144" s="9"/>
      <c r="AB144" s="9"/>
      <c r="AC144" s="9"/>
      <c r="AD144" s="9"/>
      <c r="AE144" s="9"/>
    </row>
    <row r="145" spans="1:31" x14ac:dyDescent="0.25">
      <c r="A145" s="9"/>
      <c r="B145" s="9"/>
      <c r="C145" s="31" t="s">
        <v>208</v>
      </c>
      <c r="D145" s="31" t="s">
        <v>171</v>
      </c>
      <c r="E145" s="31" t="s">
        <v>210</v>
      </c>
      <c r="F145" s="9"/>
      <c r="G145" s="124">
        <f t="shared" si="22"/>
        <v>115</v>
      </c>
      <c r="H145" s="124">
        <f t="shared" si="22"/>
        <v>115</v>
      </c>
      <c r="I145" s="124">
        <f t="shared" si="22"/>
        <v>115</v>
      </c>
      <c r="J145" s="124">
        <f t="shared" si="22"/>
        <v>115</v>
      </c>
      <c r="K145" s="124">
        <f t="shared" si="22"/>
        <v>115</v>
      </c>
      <c r="L145" s="124"/>
      <c r="M145" s="125"/>
      <c r="N145" s="9"/>
      <c r="O145" s="9"/>
      <c r="P145" s="31" t="s">
        <v>208</v>
      </c>
      <c r="Q145" s="31" t="s">
        <v>171</v>
      </c>
      <c r="R145" s="31" t="s">
        <v>180</v>
      </c>
      <c r="S145" s="9"/>
      <c r="T145" s="25">
        <f>IFERROR(((G145-$AC124)/$AC124)*hundred,"")</f>
        <v>-12.347560975609749</v>
      </c>
      <c r="U145" s="25">
        <f>IFERROR(((H145-$AC124)/$AC124)*hundred,"")</f>
        <v>-12.347560975609749</v>
      </c>
      <c r="V145" s="25">
        <f>IFERROR(((I145-$AC124)/$AC124)*hundred,"")</f>
        <v>-12.347560975609749</v>
      </c>
      <c r="W145" s="25">
        <f>IFERROR(((J145-$AC124)/$AC124)*hundred,"")</f>
        <v>-12.347560975609749</v>
      </c>
      <c r="X145" s="25">
        <f>IFERROR(((K145-$AC124)/$AC124)*hundred,"")</f>
        <v>-12.347560975609749</v>
      </c>
      <c r="Y145" s="25"/>
      <c r="Z145" s="126"/>
      <c r="AA145" s="9"/>
      <c r="AB145" s="9"/>
      <c r="AC145" s="9"/>
      <c r="AD145" s="9"/>
      <c r="AE145" s="9"/>
    </row>
    <row r="146" spans="1:31" x14ac:dyDescent="0.25">
      <c r="A146" s="9"/>
      <c r="B146" s="9"/>
      <c r="C146" s="9"/>
      <c r="D146" s="9"/>
      <c r="E146" s="9"/>
      <c r="F146" s="9"/>
      <c r="G146" s="9"/>
      <c r="H146" s="9"/>
      <c r="I146" s="9"/>
      <c r="J146" s="9"/>
      <c r="K146" s="9"/>
      <c r="M146" s="125"/>
      <c r="N146" s="9"/>
      <c r="O146" s="9"/>
      <c r="P146" s="9"/>
      <c r="Q146" s="9"/>
      <c r="R146" s="9"/>
      <c r="S146" s="9"/>
      <c r="T146" s="9"/>
      <c r="U146" s="9"/>
      <c r="V146" s="9"/>
      <c r="W146" s="9"/>
      <c r="X146" s="9"/>
      <c r="Z146" s="125"/>
      <c r="AA146" s="9"/>
      <c r="AB146" s="9"/>
      <c r="AC146" s="9"/>
      <c r="AD146" s="9"/>
      <c r="AE146" s="9"/>
    </row>
    <row r="147" spans="1:31" ht="13.8" x14ac:dyDescent="0.3">
      <c r="A147" s="8" t="s">
        <v>211</v>
      </c>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row>
    <row r="148" spans="1:31" x14ac:dyDescent="0.25">
      <c r="A148" s="9"/>
      <c r="B148" s="9"/>
      <c r="C148" s="9"/>
      <c r="D148" s="9"/>
      <c r="E148" s="9"/>
      <c r="F148" s="9"/>
      <c r="G148" s="9"/>
      <c r="H148" s="9"/>
      <c r="I148" s="9"/>
      <c r="J148" s="9"/>
      <c r="K148" s="9"/>
      <c r="M148" s="125"/>
      <c r="N148" s="9"/>
      <c r="O148" s="9"/>
      <c r="P148" s="9"/>
      <c r="Q148" s="9"/>
      <c r="R148" s="9"/>
      <c r="S148" s="9"/>
      <c r="T148" s="9"/>
      <c r="U148" s="9"/>
      <c r="V148" s="9"/>
      <c r="W148" s="9"/>
      <c r="X148" s="9"/>
      <c r="AA148" s="9"/>
      <c r="AB148" s="9"/>
      <c r="AC148" s="9"/>
      <c r="AD148" s="9"/>
      <c r="AE148" s="9"/>
    </row>
    <row r="149" spans="1:31" ht="15" x14ac:dyDescent="0.35">
      <c r="A149" s="9"/>
      <c r="B149" s="1" t="s">
        <v>6</v>
      </c>
      <c r="C149" s="9"/>
      <c r="D149" s="9"/>
      <c r="E149" s="9"/>
      <c r="F149" s="9"/>
      <c r="G149" s="9"/>
      <c r="H149" s="9"/>
      <c r="I149" s="9"/>
      <c r="J149" s="9"/>
      <c r="K149" s="9"/>
      <c r="M149" s="125"/>
      <c r="N149" s="9"/>
      <c r="O149" s="9"/>
      <c r="P149" s="9"/>
      <c r="Q149" s="9"/>
      <c r="R149" s="9"/>
      <c r="S149" s="9"/>
      <c r="T149" s="9"/>
      <c r="U149" s="9"/>
      <c r="V149" s="9"/>
      <c r="W149" s="9"/>
      <c r="X149" s="9"/>
      <c r="AA149" s="9"/>
      <c r="AB149" s="9"/>
      <c r="AC149" s="9"/>
      <c r="AD149" s="9"/>
      <c r="AE149" s="9"/>
    </row>
    <row r="150" spans="1:31" x14ac:dyDescent="0.25">
      <c r="A150" s="9"/>
      <c r="B150" s="9"/>
      <c r="C150" s="9"/>
      <c r="D150" s="9"/>
      <c r="E150" s="9"/>
      <c r="F150" s="9"/>
      <c r="G150" s="9"/>
      <c r="H150" s="9"/>
      <c r="I150" s="9"/>
      <c r="J150" s="9"/>
      <c r="K150" s="9"/>
      <c r="M150" s="125"/>
      <c r="N150" s="9"/>
      <c r="O150" s="9"/>
      <c r="P150" s="9"/>
      <c r="Q150" s="9"/>
      <c r="R150" s="9"/>
      <c r="S150" s="9"/>
      <c r="T150" s="9"/>
      <c r="U150" s="9"/>
      <c r="V150" s="9"/>
      <c r="W150" s="9"/>
      <c r="X150" s="9"/>
      <c r="AA150" s="9"/>
      <c r="AB150" s="9"/>
      <c r="AC150" s="9"/>
      <c r="AD150" s="9"/>
      <c r="AE150" s="9"/>
    </row>
    <row r="151" spans="1:31" x14ac:dyDescent="0.25">
      <c r="A151" s="9"/>
      <c r="B151" s="9"/>
      <c r="C151" s="9" t="s">
        <v>149</v>
      </c>
      <c r="D151" s="9" t="s">
        <v>150</v>
      </c>
      <c r="E151" s="21" t="s">
        <v>151</v>
      </c>
      <c r="F151" s="9"/>
      <c r="G151" s="9" t="s">
        <v>152</v>
      </c>
      <c r="H151" s="9" t="s">
        <v>153</v>
      </c>
      <c r="I151" s="9"/>
      <c r="J151" s="9"/>
      <c r="K151" s="9"/>
      <c r="M151" s="125"/>
      <c r="N151" s="9"/>
      <c r="O151" s="9"/>
      <c r="P151" s="9"/>
      <c r="Q151" s="9"/>
      <c r="R151" s="9"/>
      <c r="S151" s="9"/>
      <c r="T151" s="9"/>
      <c r="U151" s="9"/>
      <c r="V151" s="9"/>
      <c r="W151" s="9"/>
      <c r="X151" s="9"/>
      <c r="AA151" s="9"/>
      <c r="AB151" s="9"/>
      <c r="AC151" s="9"/>
      <c r="AD151" s="9"/>
      <c r="AE151" s="9"/>
    </row>
    <row r="152" spans="1:31" x14ac:dyDescent="0.25">
      <c r="A152" s="9"/>
      <c r="B152" s="9"/>
      <c r="C152" s="31" t="s">
        <v>212</v>
      </c>
      <c r="D152" s="31" t="s">
        <v>186</v>
      </c>
      <c r="E152" s="31" t="s">
        <v>213</v>
      </c>
      <c r="F152" s="9"/>
      <c r="G152" s="38">
        <f>IFERROR(INDEX(Supply_under,MATCH($C152,Supply_ID,0)),"")</f>
        <v>-2.9661442841423611</v>
      </c>
      <c r="H152" s="38">
        <f>IFERROR(INDEX(Supply_out,MATCH($C152,Supply_ID,0)),"")</f>
        <v>2.9661442841423611</v>
      </c>
      <c r="I152" s="9"/>
      <c r="J152" s="9"/>
      <c r="K152" s="9"/>
      <c r="M152" s="125"/>
      <c r="N152" s="9"/>
      <c r="O152" s="9"/>
      <c r="P152" s="9"/>
      <c r="Q152" s="9"/>
      <c r="R152" s="9"/>
      <c r="S152" s="9"/>
      <c r="T152" s="9"/>
      <c r="U152" s="9"/>
      <c r="V152" s="9"/>
      <c r="W152" s="9"/>
      <c r="X152" s="9"/>
      <c r="AA152" s="9"/>
      <c r="AB152" s="9"/>
      <c r="AC152" s="9"/>
      <c r="AD152" s="9"/>
      <c r="AE152" s="9"/>
    </row>
    <row r="153" spans="1:31" x14ac:dyDescent="0.25">
      <c r="A153" s="9"/>
      <c r="B153" s="9"/>
      <c r="C153" s="31" t="s">
        <v>214</v>
      </c>
      <c r="D153" s="31" t="s">
        <v>165</v>
      </c>
      <c r="E153" s="31" t="s">
        <v>213</v>
      </c>
      <c r="F153" s="9"/>
      <c r="G153" s="38">
        <f>IFERROR(INDEX(Supply_under,MATCH($C153,Supply_ID,0)),"")</f>
        <v>-0.38983099999999998</v>
      </c>
      <c r="H153" s="38">
        <f>IFERROR(INDEX(Supply_out,MATCH($C153,Supply_ID,0)),"")</f>
        <v>0.36185</v>
      </c>
      <c r="I153" s="9"/>
      <c r="J153" s="9"/>
      <c r="K153" s="9"/>
      <c r="M153" s="125"/>
      <c r="N153" s="9"/>
      <c r="O153" s="9"/>
      <c r="P153" s="9"/>
      <c r="Q153" s="9"/>
      <c r="R153" s="9"/>
      <c r="S153" s="9"/>
      <c r="T153" s="9"/>
      <c r="U153" s="9"/>
      <c r="V153" s="9"/>
      <c r="W153" s="9"/>
      <c r="X153" s="9"/>
      <c r="AA153" s="9"/>
      <c r="AB153" s="9"/>
      <c r="AC153" s="9"/>
      <c r="AD153" s="9"/>
      <c r="AE153" s="9"/>
    </row>
    <row r="154" spans="1:31" x14ac:dyDescent="0.25">
      <c r="A154" s="9"/>
      <c r="B154" s="9"/>
      <c r="C154" s="31" t="s">
        <v>215</v>
      </c>
      <c r="D154" s="31" t="s">
        <v>169</v>
      </c>
      <c r="E154" s="31" t="s">
        <v>213</v>
      </c>
      <c r="F154" s="9"/>
      <c r="G154" s="38">
        <f>IFERROR(INDEX(Supply_under,MATCH($C154,Supply_ID,0)),"")</f>
        <v>-0.3</v>
      </c>
      <c r="H154" s="38">
        <f>IFERROR(INDEX(Supply_out,MATCH($C154,Supply_ID,0)),"")</f>
        <v>0.3</v>
      </c>
      <c r="I154" s="9"/>
      <c r="J154" s="9"/>
      <c r="K154" s="9"/>
      <c r="M154" s="125"/>
      <c r="N154" s="9"/>
      <c r="O154" s="9"/>
      <c r="P154" s="9"/>
      <c r="Q154" s="9"/>
      <c r="R154" s="9"/>
      <c r="S154" s="9"/>
      <c r="T154" s="9"/>
      <c r="U154" s="9"/>
      <c r="V154" s="9"/>
      <c r="W154" s="9"/>
      <c r="X154" s="9"/>
      <c r="AA154" s="9"/>
      <c r="AB154" s="9"/>
      <c r="AC154" s="9"/>
      <c r="AD154" s="9"/>
      <c r="AE154" s="9"/>
    </row>
    <row r="155" spans="1:31" x14ac:dyDescent="0.25">
      <c r="A155" s="9"/>
      <c r="B155" s="9"/>
      <c r="C155" s="31" t="s">
        <v>216</v>
      </c>
      <c r="D155" s="31" t="s">
        <v>171</v>
      </c>
      <c r="E155" s="31" t="s">
        <v>213</v>
      </c>
      <c r="F155" s="9"/>
      <c r="G155" s="38">
        <f>IFERROR(INDEX(Supply_under,MATCH($C155,Supply_ID,0)),"")</f>
        <v>-3.1734782810043702</v>
      </c>
      <c r="H155" s="38">
        <f>IFERROR(INDEX(Supply_out,MATCH($C155,Supply_ID,0)),"")</f>
        <v>3.1734782810043702</v>
      </c>
      <c r="I155" s="9"/>
      <c r="J155" s="9"/>
      <c r="K155" s="9"/>
      <c r="M155" s="125"/>
      <c r="N155" s="9"/>
      <c r="O155" s="9"/>
      <c r="P155" s="9"/>
      <c r="Q155" s="9"/>
      <c r="R155" s="9"/>
      <c r="S155" s="9"/>
      <c r="T155" s="9"/>
      <c r="U155" s="9"/>
      <c r="V155" s="9"/>
      <c r="W155" s="9"/>
      <c r="X155" s="9"/>
      <c r="AA155" s="9"/>
      <c r="AB155" s="9"/>
      <c r="AC155" s="9"/>
      <c r="AD155" s="9"/>
      <c r="AE155" s="9"/>
    </row>
    <row r="156" spans="1:31" x14ac:dyDescent="0.25">
      <c r="A156" s="9"/>
      <c r="B156" s="9"/>
      <c r="C156" s="31"/>
      <c r="D156" s="31"/>
      <c r="E156" s="31"/>
      <c r="F156" s="9"/>
      <c r="G156" s="9"/>
      <c r="H156" s="9"/>
      <c r="I156" s="9"/>
      <c r="J156" s="9"/>
      <c r="K156" s="9"/>
      <c r="M156" s="125"/>
      <c r="N156" s="9"/>
      <c r="O156" s="9"/>
      <c r="P156" s="9"/>
      <c r="Q156" s="9"/>
      <c r="R156" s="9"/>
      <c r="S156" s="9"/>
      <c r="T156" s="9"/>
      <c r="U156" s="9"/>
      <c r="V156" s="9"/>
      <c r="W156" s="9"/>
      <c r="X156" s="9"/>
      <c r="AA156" s="9"/>
      <c r="AB156" s="9"/>
      <c r="AC156" s="9"/>
      <c r="AD156" s="9"/>
      <c r="AE156" s="9"/>
    </row>
    <row r="157" spans="1:31" ht="15" x14ac:dyDescent="0.35">
      <c r="A157" s="9"/>
      <c r="B157" s="51" t="s">
        <v>172</v>
      </c>
      <c r="C157" s="9"/>
      <c r="D157" s="9"/>
      <c r="E157" s="9"/>
      <c r="F157" s="9"/>
      <c r="G157" s="9"/>
      <c r="H157" s="9"/>
      <c r="I157" s="9"/>
      <c r="J157" s="9"/>
      <c r="K157" s="9"/>
      <c r="M157" s="125"/>
      <c r="N157" s="9"/>
      <c r="O157" s="9"/>
      <c r="P157" s="9"/>
      <c r="Q157" s="9"/>
      <c r="R157" s="9"/>
      <c r="S157" s="9"/>
      <c r="T157" s="9"/>
      <c r="U157" s="9"/>
      <c r="V157" s="9"/>
      <c r="W157" s="9"/>
      <c r="X157" s="9"/>
      <c r="AA157" s="9"/>
      <c r="AB157" s="9"/>
      <c r="AC157" s="9"/>
      <c r="AD157" s="9"/>
      <c r="AE157" s="9"/>
    </row>
    <row r="158" spans="1:31" x14ac:dyDescent="0.25">
      <c r="A158" s="9"/>
      <c r="B158" s="9"/>
      <c r="C158" s="9"/>
      <c r="D158" s="9"/>
      <c r="E158" s="9"/>
      <c r="F158" s="9"/>
      <c r="G158" s="9"/>
      <c r="H158" s="9"/>
      <c r="I158" s="9"/>
      <c r="J158" s="9"/>
      <c r="K158" s="9"/>
      <c r="M158" s="125"/>
      <c r="N158" s="9"/>
      <c r="O158" s="9"/>
      <c r="P158" s="9"/>
      <c r="Q158" s="9"/>
      <c r="R158" s="9"/>
      <c r="S158" s="9"/>
      <c r="T158" s="9"/>
      <c r="U158" s="9"/>
      <c r="V158" s="9"/>
      <c r="W158" s="9"/>
      <c r="X158" s="9"/>
      <c r="AA158" s="9"/>
      <c r="AB158" s="9"/>
      <c r="AC158" s="9"/>
      <c r="AD158" s="9"/>
      <c r="AE158" s="9"/>
    </row>
    <row r="159" spans="1:31" x14ac:dyDescent="0.25">
      <c r="A159" s="9"/>
      <c r="B159" s="9"/>
      <c r="C159" s="9" t="s">
        <v>149</v>
      </c>
      <c r="D159" s="9" t="s">
        <v>150</v>
      </c>
      <c r="E159" s="21" t="s">
        <v>151</v>
      </c>
      <c r="F159" s="9"/>
      <c r="G159" s="9" t="s">
        <v>174</v>
      </c>
      <c r="H159" s="9" t="s">
        <v>175</v>
      </c>
      <c r="I159" s="9" t="s">
        <v>176</v>
      </c>
      <c r="J159" s="9" t="s">
        <v>177</v>
      </c>
      <c r="K159" s="9" t="s">
        <v>178</v>
      </c>
      <c r="M159" s="125"/>
      <c r="N159" s="9"/>
      <c r="O159" s="9"/>
      <c r="P159" s="9"/>
      <c r="Q159" s="9"/>
      <c r="R159" s="9"/>
      <c r="S159" s="9"/>
      <c r="T159" s="9"/>
      <c r="U159" s="9"/>
      <c r="V159" s="9"/>
      <c r="W159" s="9"/>
      <c r="X159" s="9"/>
      <c r="AA159" s="9"/>
      <c r="AB159" s="9"/>
      <c r="AC159" s="9"/>
      <c r="AD159" s="9"/>
      <c r="AE159" s="9"/>
    </row>
    <row r="160" spans="1:31" x14ac:dyDescent="0.25">
      <c r="A160" s="9"/>
      <c r="B160" s="9"/>
      <c r="C160" s="31" t="s">
        <v>212</v>
      </c>
      <c r="D160" s="31" t="s">
        <v>186</v>
      </c>
      <c r="E160" s="31" t="s">
        <v>217</v>
      </c>
      <c r="F160" s="9"/>
      <c r="G160" s="68">
        <f t="shared" ref="G160:K163" si="23">collar_supply</f>
        <v>1.3396620370370369E-2</v>
      </c>
      <c r="H160" s="68">
        <f t="shared" si="23"/>
        <v>1.3396620370370369E-2</v>
      </c>
      <c r="I160" s="68">
        <f t="shared" si="23"/>
        <v>1.3396620370370369E-2</v>
      </c>
      <c r="J160" s="68">
        <f t="shared" si="23"/>
        <v>1.3396620370370369E-2</v>
      </c>
      <c r="K160" s="68">
        <f t="shared" si="23"/>
        <v>1.3396620370370369E-2</v>
      </c>
      <c r="L160" s="68"/>
      <c r="M160" s="125"/>
      <c r="N160" s="9"/>
      <c r="O160" s="9"/>
      <c r="P160" s="9"/>
      <c r="Q160" s="9"/>
      <c r="R160" s="9"/>
      <c r="S160" s="9"/>
      <c r="T160" s="9"/>
      <c r="U160" s="9"/>
      <c r="V160" s="9"/>
      <c r="W160" s="9"/>
      <c r="X160" s="9"/>
      <c r="AA160" s="9"/>
      <c r="AB160" s="9"/>
      <c r="AC160" s="9"/>
      <c r="AD160" s="9"/>
      <c r="AE160" s="9"/>
    </row>
    <row r="161" spans="1:31" x14ac:dyDescent="0.25">
      <c r="A161" s="9"/>
      <c r="B161" s="9"/>
      <c r="C161" s="31" t="s">
        <v>214</v>
      </c>
      <c r="D161" s="31" t="s">
        <v>165</v>
      </c>
      <c r="E161" s="31" t="s">
        <v>217</v>
      </c>
      <c r="F161" s="9"/>
      <c r="G161" s="68">
        <f t="shared" si="23"/>
        <v>1.3396620370370369E-2</v>
      </c>
      <c r="H161" s="68">
        <f t="shared" si="23"/>
        <v>1.3396620370370369E-2</v>
      </c>
      <c r="I161" s="68">
        <f t="shared" si="23"/>
        <v>1.3396620370370369E-2</v>
      </c>
      <c r="J161" s="68">
        <f t="shared" si="23"/>
        <v>1.3396620370370369E-2</v>
      </c>
      <c r="K161" s="68">
        <f t="shared" si="23"/>
        <v>1.3396620370370369E-2</v>
      </c>
      <c r="L161" s="68"/>
      <c r="M161" s="125"/>
      <c r="N161" s="9"/>
      <c r="O161" s="9"/>
      <c r="P161" s="9"/>
      <c r="Q161" s="9"/>
      <c r="R161" s="9"/>
      <c r="S161" s="9"/>
      <c r="T161" s="9"/>
      <c r="U161" s="9"/>
      <c r="V161" s="9"/>
      <c r="W161" s="9"/>
      <c r="X161" s="9"/>
      <c r="AA161" s="9"/>
      <c r="AB161" s="9"/>
      <c r="AC161" s="9"/>
      <c r="AD161" s="9"/>
      <c r="AE161" s="9"/>
    </row>
    <row r="162" spans="1:31" x14ac:dyDescent="0.25">
      <c r="A162" s="9"/>
      <c r="B162" s="9"/>
      <c r="C162" s="31" t="s">
        <v>215</v>
      </c>
      <c r="D162" s="31" t="s">
        <v>169</v>
      </c>
      <c r="E162" s="31" t="s">
        <v>217</v>
      </c>
      <c r="F162" s="9"/>
      <c r="G162" s="68">
        <f t="shared" si="23"/>
        <v>1.3396620370370369E-2</v>
      </c>
      <c r="H162" s="68">
        <f t="shared" si="23"/>
        <v>1.3396620370370369E-2</v>
      </c>
      <c r="I162" s="68">
        <f t="shared" si="23"/>
        <v>1.3396620370370369E-2</v>
      </c>
      <c r="J162" s="68">
        <f t="shared" si="23"/>
        <v>1.3396620370370369E-2</v>
      </c>
      <c r="K162" s="68">
        <f t="shared" si="23"/>
        <v>1.3396620370370369E-2</v>
      </c>
      <c r="L162" s="68"/>
      <c r="M162" s="125"/>
      <c r="N162" s="9"/>
      <c r="O162" s="9"/>
      <c r="P162" s="9"/>
      <c r="Q162" s="9"/>
      <c r="R162" s="9"/>
      <c r="S162" s="9"/>
      <c r="T162" s="9"/>
      <c r="U162" s="9"/>
      <c r="V162" s="9"/>
      <c r="W162" s="9"/>
      <c r="X162" s="9"/>
      <c r="AA162" s="9"/>
      <c r="AB162" s="9"/>
      <c r="AC162" s="9"/>
      <c r="AD162" s="9"/>
      <c r="AE162" s="9"/>
    </row>
    <row r="163" spans="1:31" x14ac:dyDescent="0.25">
      <c r="A163" s="9"/>
      <c r="B163" s="9"/>
      <c r="C163" s="31" t="s">
        <v>216</v>
      </c>
      <c r="D163" s="31" t="s">
        <v>171</v>
      </c>
      <c r="E163" s="31" t="s">
        <v>217</v>
      </c>
      <c r="F163" s="9"/>
      <c r="G163" s="68">
        <f t="shared" si="23"/>
        <v>1.3396620370370369E-2</v>
      </c>
      <c r="H163" s="68">
        <f t="shared" si="23"/>
        <v>1.3396620370370369E-2</v>
      </c>
      <c r="I163" s="68">
        <f t="shared" si="23"/>
        <v>1.3396620370370369E-2</v>
      </c>
      <c r="J163" s="68">
        <f t="shared" si="23"/>
        <v>1.3396620370370369E-2</v>
      </c>
      <c r="K163" s="68">
        <f t="shared" si="23"/>
        <v>1.3396620370370369E-2</v>
      </c>
      <c r="L163" s="68"/>
      <c r="M163" s="125"/>
      <c r="N163" s="9"/>
      <c r="O163" s="9"/>
      <c r="P163" s="9"/>
      <c r="Q163" s="9"/>
      <c r="R163" s="9"/>
      <c r="S163" s="9"/>
      <c r="T163" s="9"/>
      <c r="U163" s="9"/>
      <c r="V163" s="9"/>
      <c r="W163" s="9"/>
      <c r="X163" s="9"/>
      <c r="AA163" s="9"/>
      <c r="AB163" s="9"/>
      <c r="AC163" s="9"/>
      <c r="AD163" s="9"/>
      <c r="AE163" s="9"/>
    </row>
    <row r="164" spans="1:31" x14ac:dyDescent="0.25">
      <c r="A164" s="9"/>
      <c r="B164" s="9"/>
      <c r="C164" s="9"/>
      <c r="D164" s="9"/>
      <c r="E164" s="9"/>
      <c r="F164" s="9"/>
      <c r="G164" s="9"/>
      <c r="H164" s="9"/>
      <c r="I164" s="9"/>
      <c r="J164" s="9"/>
      <c r="K164" s="9"/>
      <c r="M164" s="125"/>
      <c r="N164" s="9"/>
      <c r="O164" s="9"/>
      <c r="P164" s="9"/>
      <c r="Q164" s="9"/>
      <c r="R164" s="9"/>
      <c r="S164" s="9"/>
      <c r="T164" s="9"/>
      <c r="U164" s="9"/>
      <c r="V164" s="9"/>
      <c r="W164" s="9"/>
      <c r="X164" s="9"/>
      <c r="AA164" s="9"/>
      <c r="AB164" s="9"/>
      <c r="AC164" s="9"/>
      <c r="AD164" s="9"/>
      <c r="AE164" s="9"/>
    </row>
    <row r="165" spans="1:31" ht="15" x14ac:dyDescent="0.35">
      <c r="A165" s="9"/>
      <c r="B165" s="51" t="s">
        <v>181</v>
      </c>
      <c r="C165" s="9"/>
      <c r="D165" s="9"/>
      <c r="E165" s="9"/>
      <c r="F165" s="9"/>
      <c r="G165" s="9"/>
      <c r="H165" s="9"/>
      <c r="I165" s="9"/>
      <c r="J165" s="9"/>
      <c r="K165" s="9"/>
      <c r="M165" s="125"/>
      <c r="N165" s="9"/>
      <c r="O165" s="9"/>
      <c r="P165" s="9"/>
      <c r="Q165" s="9"/>
      <c r="R165" s="9"/>
      <c r="S165" s="9"/>
      <c r="T165" s="9"/>
      <c r="U165" s="9"/>
      <c r="V165" s="9"/>
      <c r="W165" s="9"/>
      <c r="X165" s="9"/>
      <c r="AA165" s="9"/>
      <c r="AB165" s="9"/>
      <c r="AC165" s="9"/>
      <c r="AD165" s="9"/>
      <c r="AE165" s="9"/>
    </row>
    <row r="166" spans="1:31" x14ac:dyDescent="0.25">
      <c r="A166" s="9"/>
      <c r="B166" s="9"/>
      <c r="C166" s="9"/>
      <c r="D166" s="9"/>
      <c r="E166" s="9"/>
      <c r="F166" s="9"/>
      <c r="G166" s="9"/>
      <c r="H166" s="9"/>
      <c r="I166" s="9"/>
      <c r="J166" s="9"/>
      <c r="K166" s="9"/>
      <c r="M166" s="125"/>
      <c r="N166" s="9"/>
      <c r="O166" s="9"/>
      <c r="P166" s="9"/>
      <c r="Q166" s="9"/>
      <c r="R166" s="9"/>
      <c r="S166" s="9"/>
      <c r="T166" s="9"/>
      <c r="U166" s="9"/>
      <c r="V166" s="9"/>
      <c r="W166" s="9"/>
      <c r="X166" s="9"/>
      <c r="AA166" s="9"/>
      <c r="AB166" s="9"/>
      <c r="AC166" s="9"/>
      <c r="AD166" s="9"/>
      <c r="AE166" s="9"/>
    </row>
    <row r="167" spans="1:31" x14ac:dyDescent="0.25">
      <c r="A167" s="9"/>
      <c r="B167" s="9"/>
      <c r="C167" s="9" t="s">
        <v>149</v>
      </c>
      <c r="D167" s="9" t="s">
        <v>150</v>
      </c>
      <c r="E167" s="21" t="s">
        <v>151</v>
      </c>
      <c r="F167" s="9"/>
      <c r="G167" s="9" t="s">
        <v>174</v>
      </c>
      <c r="H167" s="9" t="s">
        <v>175</v>
      </c>
      <c r="I167" s="9" t="s">
        <v>176</v>
      </c>
      <c r="J167" s="9" t="s">
        <v>177</v>
      </c>
      <c r="K167" s="9" t="s">
        <v>178</v>
      </c>
      <c r="M167" s="125"/>
      <c r="N167" s="9"/>
      <c r="O167" s="9"/>
      <c r="P167" s="9"/>
      <c r="Q167" s="9"/>
      <c r="R167" s="9"/>
      <c r="S167" s="9"/>
      <c r="T167" s="9"/>
      <c r="U167" s="9"/>
      <c r="V167" s="9"/>
      <c r="W167" s="9"/>
      <c r="X167" s="9"/>
      <c r="AA167" s="9"/>
      <c r="AB167" s="9"/>
      <c r="AC167" s="9"/>
      <c r="AD167" s="9"/>
      <c r="AE167" s="9"/>
    </row>
    <row r="168" spans="1:31" x14ac:dyDescent="0.25">
      <c r="A168" s="9"/>
      <c r="B168" s="9"/>
      <c r="C168" s="31" t="s">
        <v>212</v>
      </c>
      <c r="D168" s="31" t="s">
        <v>186</v>
      </c>
      <c r="E168" s="31" t="s">
        <v>217</v>
      </c>
      <c r="F168" s="9"/>
      <c r="G168" s="68">
        <f t="shared" ref="G168:K171" si="24">INDEX(threshold_under_supply,MATCH($C168,threshold_under_company_supply,0),MATCH(G$22,threshold_years_supply,0))</f>
        <v>1.1792443283723333E-2</v>
      </c>
      <c r="H168" s="68">
        <f t="shared" si="24"/>
        <v>1.1792443283723333E-2</v>
      </c>
      <c r="I168" s="68">
        <f t="shared" si="24"/>
        <v>1.1792443283723333E-2</v>
      </c>
      <c r="J168" s="68">
        <f t="shared" si="24"/>
        <v>1.1792443283723333E-2</v>
      </c>
      <c r="K168" s="68">
        <f t="shared" si="24"/>
        <v>1.1792443283723333E-2</v>
      </c>
      <c r="L168" s="68"/>
      <c r="M168" s="125"/>
      <c r="N168" s="9"/>
      <c r="O168" s="9"/>
      <c r="P168" s="9"/>
      <c r="Q168" s="9"/>
      <c r="R168" s="9"/>
      <c r="S168" s="9"/>
      <c r="T168" s="9"/>
      <c r="U168" s="9"/>
      <c r="V168" s="9"/>
      <c r="W168" s="9"/>
      <c r="X168" s="9"/>
      <c r="AA168" s="9"/>
      <c r="AB168" s="9"/>
      <c r="AC168" s="9"/>
      <c r="AD168" s="9"/>
      <c r="AE168" s="9"/>
    </row>
    <row r="169" spans="1:31" x14ac:dyDescent="0.25">
      <c r="A169" s="9"/>
      <c r="B169" s="9"/>
      <c r="C169" s="31" t="s">
        <v>214</v>
      </c>
      <c r="D169" s="31" t="s">
        <v>165</v>
      </c>
      <c r="E169" s="31" t="s">
        <v>217</v>
      </c>
      <c r="F169" s="9"/>
      <c r="G169" s="68">
        <f t="shared" si="24"/>
        <v>1.1792443283723333E-2</v>
      </c>
      <c r="H169" s="68">
        <f t="shared" si="24"/>
        <v>1.1792443283723333E-2</v>
      </c>
      <c r="I169" s="68">
        <f t="shared" si="24"/>
        <v>1.1792443283723333E-2</v>
      </c>
      <c r="J169" s="68">
        <f t="shared" si="24"/>
        <v>1.1792443283723333E-2</v>
      </c>
      <c r="K169" s="68">
        <f t="shared" si="24"/>
        <v>1.1792443283723333E-2</v>
      </c>
      <c r="L169" s="68"/>
      <c r="M169" s="125"/>
      <c r="N169" s="9"/>
      <c r="O169" s="9"/>
      <c r="P169" s="9"/>
      <c r="Q169" s="9"/>
      <c r="R169" s="9"/>
      <c r="S169" s="9"/>
      <c r="T169" s="9"/>
      <c r="U169" s="9"/>
      <c r="V169" s="9"/>
      <c r="W169" s="9"/>
      <c r="X169" s="9"/>
      <c r="AA169" s="9"/>
      <c r="AB169" s="9"/>
      <c r="AC169" s="9"/>
      <c r="AD169" s="9"/>
      <c r="AE169" s="9"/>
    </row>
    <row r="170" spans="1:31" x14ac:dyDescent="0.25">
      <c r="A170" s="9"/>
      <c r="B170" s="9"/>
      <c r="C170" s="31" t="s">
        <v>215</v>
      </c>
      <c r="D170" s="31" t="s">
        <v>169</v>
      </c>
      <c r="E170" s="31" t="s">
        <v>217</v>
      </c>
      <c r="F170" s="9"/>
      <c r="G170" s="68">
        <f t="shared" si="24"/>
        <v>1.1792443283723333E-2</v>
      </c>
      <c r="H170" s="68">
        <f t="shared" si="24"/>
        <v>1.1792443283723333E-2</v>
      </c>
      <c r="I170" s="68">
        <f t="shared" si="24"/>
        <v>1.1792443283723333E-2</v>
      </c>
      <c r="J170" s="68">
        <f t="shared" si="24"/>
        <v>1.1792443283723333E-2</v>
      </c>
      <c r="K170" s="68">
        <f t="shared" si="24"/>
        <v>1.1792443283723333E-2</v>
      </c>
      <c r="L170" s="68"/>
      <c r="M170" s="125"/>
      <c r="N170" s="9"/>
      <c r="O170" s="9"/>
      <c r="P170" s="9"/>
      <c r="Q170" s="9"/>
      <c r="R170" s="9"/>
      <c r="S170" s="9"/>
      <c r="T170" s="9"/>
      <c r="U170" s="9"/>
      <c r="V170" s="9"/>
      <c r="W170" s="9"/>
      <c r="X170" s="9"/>
      <c r="AA170" s="9"/>
      <c r="AB170" s="9"/>
      <c r="AC170" s="9"/>
      <c r="AD170" s="9"/>
      <c r="AE170" s="9"/>
    </row>
    <row r="171" spans="1:31" x14ac:dyDescent="0.25">
      <c r="A171" s="9"/>
      <c r="B171" s="9"/>
      <c r="C171" s="31" t="s">
        <v>216</v>
      </c>
      <c r="D171" s="31" t="s">
        <v>171</v>
      </c>
      <c r="E171" s="31" t="s">
        <v>217</v>
      </c>
      <c r="F171" s="9"/>
      <c r="G171" s="68">
        <f t="shared" si="24"/>
        <v>1.1792443283723333E-2</v>
      </c>
      <c r="H171" s="68">
        <f t="shared" si="24"/>
        <v>1.1792443283723333E-2</v>
      </c>
      <c r="I171" s="68">
        <f t="shared" si="24"/>
        <v>1.1792443283723333E-2</v>
      </c>
      <c r="J171" s="68">
        <f t="shared" si="24"/>
        <v>1.1792443283723333E-2</v>
      </c>
      <c r="K171" s="68">
        <f t="shared" si="24"/>
        <v>1.1792443283723333E-2</v>
      </c>
      <c r="L171" s="68"/>
      <c r="M171" s="125"/>
      <c r="N171" s="9"/>
      <c r="O171" s="9"/>
      <c r="P171" s="9"/>
      <c r="Q171" s="9"/>
      <c r="R171" s="9"/>
      <c r="S171" s="9"/>
      <c r="T171" s="9"/>
      <c r="U171" s="9"/>
      <c r="V171" s="9"/>
      <c r="W171" s="9"/>
      <c r="X171" s="9"/>
      <c r="AA171" s="9"/>
      <c r="AB171" s="9"/>
      <c r="AC171" s="9"/>
      <c r="AD171" s="9"/>
      <c r="AE171" s="9"/>
    </row>
    <row r="172" spans="1:31" x14ac:dyDescent="0.25">
      <c r="A172" s="9"/>
      <c r="B172" s="9"/>
      <c r="C172" s="9"/>
      <c r="D172" s="9"/>
      <c r="E172" s="9"/>
      <c r="F172" s="9"/>
      <c r="G172" s="9"/>
      <c r="H172" s="9"/>
      <c r="I172" s="9"/>
      <c r="J172" s="9"/>
      <c r="K172" s="9"/>
      <c r="M172" s="125"/>
      <c r="N172" s="9"/>
      <c r="O172" s="9"/>
      <c r="P172" s="9"/>
      <c r="Q172" s="9"/>
      <c r="R172" s="9"/>
      <c r="S172" s="9"/>
      <c r="T172" s="9"/>
      <c r="U172" s="9"/>
      <c r="V172" s="9"/>
      <c r="W172" s="9"/>
      <c r="X172" s="9"/>
      <c r="AA172" s="9"/>
      <c r="AB172" s="9"/>
      <c r="AC172" s="9"/>
      <c r="AD172" s="9"/>
      <c r="AE172" s="9"/>
    </row>
    <row r="173" spans="1:31" ht="15" x14ac:dyDescent="0.35">
      <c r="A173" s="9"/>
      <c r="B173" s="51" t="s">
        <v>182</v>
      </c>
      <c r="C173" s="9"/>
      <c r="D173" s="9"/>
      <c r="E173" s="9"/>
      <c r="F173" s="9"/>
      <c r="G173" s="9"/>
      <c r="H173" s="9"/>
      <c r="I173" s="9"/>
      <c r="J173" s="9"/>
      <c r="K173" s="9"/>
      <c r="M173" s="125"/>
      <c r="N173" s="9"/>
      <c r="O173" s="9"/>
      <c r="P173" s="9"/>
      <c r="Q173" s="9"/>
      <c r="R173" s="9"/>
      <c r="S173" s="9"/>
      <c r="T173" s="9"/>
      <c r="U173" s="9"/>
      <c r="V173" s="9"/>
      <c r="W173" s="9"/>
      <c r="X173" s="9"/>
      <c r="AA173" s="9"/>
      <c r="AB173" s="9"/>
      <c r="AC173" s="9"/>
      <c r="AD173" s="9"/>
      <c r="AE173" s="9"/>
    </row>
    <row r="174" spans="1:31" x14ac:dyDescent="0.25">
      <c r="A174" s="9"/>
      <c r="B174" s="9"/>
      <c r="C174" s="9"/>
      <c r="D174" s="9"/>
      <c r="E174" s="9"/>
      <c r="F174" s="9"/>
      <c r="G174" s="9"/>
      <c r="H174" s="9"/>
      <c r="I174" s="9"/>
      <c r="J174" s="9"/>
      <c r="K174" s="9"/>
      <c r="M174" s="125"/>
      <c r="N174" s="9"/>
      <c r="O174" s="9"/>
      <c r="P174" s="9"/>
      <c r="Q174" s="9"/>
      <c r="R174" s="9"/>
      <c r="S174" s="9"/>
      <c r="T174" s="9"/>
      <c r="U174" s="9"/>
      <c r="V174" s="9"/>
      <c r="W174" s="9"/>
      <c r="X174" s="9"/>
      <c r="AA174" s="9"/>
      <c r="AB174" s="9"/>
      <c r="AC174" s="9"/>
      <c r="AD174" s="9"/>
      <c r="AE174" s="9"/>
    </row>
    <row r="175" spans="1:31" x14ac:dyDescent="0.25">
      <c r="A175" s="9"/>
      <c r="B175" s="9"/>
      <c r="C175" s="9" t="s">
        <v>149</v>
      </c>
      <c r="D175" s="9" t="s">
        <v>150</v>
      </c>
      <c r="E175" s="21" t="s">
        <v>151</v>
      </c>
      <c r="F175" s="9"/>
      <c r="G175" s="9" t="s">
        <v>174</v>
      </c>
      <c r="H175" s="9" t="s">
        <v>175</v>
      </c>
      <c r="I175" s="9" t="s">
        <v>176</v>
      </c>
      <c r="J175" s="9" t="s">
        <v>177</v>
      </c>
      <c r="K175" s="9" t="s">
        <v>178</v>
      </c>
      <c r="M175" s="125"/>
      <c r="N175" s="9"/>
      <c r="O175" s="9"/>
      <c r="P175" s="9"/>
      <c r="Q175" s="9"/>
      <c r="R175" s="9"/>
      <c r="S175" s="9"/>
      <c r="T175" s="9"/>
      <c r="U175" s="9"/>
      <c r="V175" s="9"/>
      <c r="W175" s="9"/>
      <c r="X175" s="9"/>
      <c r="AA175" s="9"/>
      <c r="AB175" s="9"/>
      <c r="AC175" s="9"/>
      <c r="AD175" s="9"/>
      <c r="AE175" s="9"/>
    </row>
    <row r="176" spans="1:31" x14ac:dyDescent="0.25">
      <c r="A176" s="9"/>
      <c r="B176" s="9"/>
      <c r="C176" s="31" t="s">
        <v>212</v>
      </c>
      <c r="D176" s="31" t="s">
        <v>186</v>
      </c>
      <c r="E176" s="31" t="s">
        <v>217</v>
      </c>
      <c r="F176" s="9"/>
      <c r="G176" s="68">
        <f t="shared" ref="G176:K179" si="25">INDEX(threshold_out_supply,MATCH($C176,threshold_out_company_supply,0),MATCH(G$22,threshold_years_supply,0))</f>
        <v>1.826322838096346E-3</v>
      </c>
      <c r="H176" s="68">
        <f t="shared" si="25"/>
        <v>1.6913028617390282E-3</v>
      </c>
      <c r="I176" s="68">
        <f t="shared" si="25"/>
        <v>1.5633891999268328E-3</v>
      </c>
      <c r="J176" s="68">
        <f t="shared" si="25"/>
        <v>1.4354755381146376E-3</v>
      </c>
      <c r="K176" s="68">
        <f t="shared" si="25"/>
        <v>1.25E-3</v>
      </c>
      <c r="L176" s="68"/>
      <c r="M176" s="125"/>
      <c r="N176" s="9"/>
      <c r="O176" s="9"/>
      <c r="P176" s="9"/>
      <c r="Q176" s="9"/>
      <c r="R176" s="9"/>
      <c r="S176" s="9"/>
      <c r="T176" s="9"/>
      <c r="U176" s="9"/>
      <c r="V176" s="9"/>
      <c r="W176" s="9"/>
      <c r="X176" s="9"/>
      <c r="AA176" s="9"/>
      <c r="AB176" s="9"/>
      <c r="AC176" s="9"/>
      <c r="AD176" s="9"/>
      <c r="AE176" s="9"/>
    </row>
    <row r="177" spans="1:31" x14ac:dyDescent="0.25">
      <c r="A177" s="9"/>
      <c r="B177" s="9"/>
      <c r="C177" s="31" t="s">
        <v>214</v>
      </c>
      <c r="D177" s="31" t="s">
        <v>165</v>
      </c>
      <c r="E177" s="31" t="s">
        <v>217</v>
      </c>
      <c r="F177" s="9"/>
      <c r="G177" s="68">
        <f t="shared" si="25"/>
        <v>9.2361111111111116E-4</v>
      </c>
      <c r="H177" s="68">
        <f t="shared" si="25"/>
        <v>8.7500000000000002E-4</v>
      </c>
      <c r="I177" s="68">
        <f t="shared" si="25"/>
        <v>8.2638888888888877E-4</v>
      </c>
      <c r="J177" s="68">
        <f t="shared" si="25"/>
        <v>7.7777777777777784E-4</v>
      </c>
      <c r="K177" s="68">
        <f t="shared" si="25"/>
        <v>7.291666666666667E-4</v>
      </c>
      <c r="L177" s="68"/>
      <c r="M177" s="125"/>
      <c r="N177" s="9"/>
      <c r="O177" s="9"/>
      <c r="P177" s="9"/>
      <c r="Q177" s="9"/>
      <c r="R177" s="9"/>
      <c r="S177" s="9"/>
      <c r="T177" s="9"/>
      <c r="U177" s="9"/>
      <c r="V177" s="9"/>
      <c r="W177" s="9"/>
      <c r="X177" s="9"/>
      <c r="AA177" s="9"/>
      <c r="AB177" s="9"/>
      <c r="AC177" s="9"/>
      <c r="AD177" s="9"/>
      <c r="AE177" s="9"/>
    </row>
    <row r="178" spans="1:31" x14ac:dyDescent="0.25">
      <c r="A178" s="9"/>
      <c r="B178" s="9"/>
      <c r="C178" s="31" t="s">
        <v>215</v>
      </c>
      <c r="D178" s="31" t="s">
        <v>169</v>
      </c>
      <c r="E178" s="31" t="s">
        <v>217</v>
      </c>
      <c r="F178" s="9"/>
      <c r="G178" s="68">
        <f t="shared" si="25"/>
        <v>9.0277777777777784E-4</v>
      </c>
      <c r="H178" s="68">
        <f t="shared" si="25"/>
        <v>9.0277777777777784E-4</v>
      </c>
      <c r="I178" s="68">
        <f t="shared" si="25"/>
        <v>9.0277777777777784E-4</v>
      </c>
      <c r="J178" s="68">
        <f t="shared" si="25"/>
        <v>9.0277777777777784E-4</v>
      </c>
      <c r="K178" s="68">
        <f t="shared" si="25"/>
        <v>9.0277777777777784E-4</v>
      </c>
      <c r="L178" s="68"/>
      <c r="M178" s="125"/>
      <c r="N178" s="9"/>
      <c r="O178" s="9"/>
      <c r="P178" s="9"/>
      <c r="Q178" s="9"/>
      <c r="R178" s="9"/>
      <c r="S178" s="9"/>
      <c r="T178" s="9"/>
      <c r="U178" s="9"/>
      <c r="V178" s="9"/>
      <c r="W178" s="9"/>
      <c r="X178" s="9"/>
      <c r="AA178" s="9"/>
      <c r="AB178" s="9"/>
      <c r="AC178" s="9"/>
      <c r="AD178" s="9"/>
      <c r="AE178" s="9"/>
    </row>
    <row r="179" spans="1:31" x14ac:dyDescent="0.25">
      <c r="A179" s="9"/>
      <c r="B179" s="9"/>
      <c r="C179" s="31" t="s">
        <v>216</v>
      </c>
      <c r="D179" s="31" t="s">
        <v>171</v>
      </c>
      <c r="E179" s="31" t="s">
        <v>217</v>
      </c>
      <c r="F179" s="9"/>
      <c r="G179" s="68">
        <f t="shared" si="25"/>
        <v>6.9444444444444447E-4</v>
      </c>
      <c r="H179" s="68">
        <f t="shared" si="25"/>
        <v>6.9444444444444447E-4</v>
      </c>
      <c r="I179" s="68">
        <f t="shared" si="25"/>
        <v>6.9444444444444447E-4</v>
      </c>
      <c r="J179" s="68">
        <f t="shared" si="25"/>
        <v>6.9444444444444447E-4</v>
      </c>
      <c r="K179" s="68">
        <f t="shared" si="25"/>
        <v>6.9444444444444447E-4</v>
      </c>
      <c r="L179" s="68"/>
      <c r="M179" s="125"/>
      <c r="N179" s="9"/>
      <c r="O179" s="9"/>
      <c r="P179" s="9"/>
      <c r="Q179" s="9"/>
      <c r="R179" s="9"/>
      <c r="S179" s="9"/>
      <c r="T179" s="9"/>
      <c r="U179" s="9"/>
      <c r="V179" s="9"/>
      <c r="W179" s="9"/>
      <c r="X179" s="9"/>
      <c r="AA179" s="9"/>
      <c r="AB179" s="9"/>
      <c r="AC179" s="9"/>
      <c r="AD179" s="9"/>
      <c r="AE179" s="9"/>
    </row>
    <row r="180" spans="1:31" x14ac:dyDescent="0.25">
      <c r="A180" s="9"/>
      <c r="B180" s="9"/>
      <c r="C180" s="9"/>
      <c r="D180" s="9"/>
      <c r="E180" s="9"/>
      <c r="F180" s="9"/>
      <c r="G180" s="9"/>
      <c r="H180" s="9"/>
      <c r="I180" s="9"/>
      <c r="J180" s="9"/>
      <c r="K180" s="9"/>
      <c r="M180" s="125"/>
      <c r="N180" s="9"/>
      <c r="O180" s="9"/>
      <c r="P180" s="9"/>
      <c r="Q180" s="9"/>
      <c r="R180" s="9"/>
      <c r="S180" s="9"/>
      <c r="T180" s="9"/>
      <c r="U180" s="9"/>
      <c r="V180" s="9"/>
      <c r="W180" s="9"/>
      <c r="X180" s="9"/>
      <c r="AA180" s="9"/>
      <c r="AB180" s="9"/>
      <c r="AC180" s="9"/>
      <c r="AD180" s="9"/>
      <c r="AE180" s="9"/>
    </row>
    <row r="181" spans="1:31" ht="13.8" x14ac:dyDescent="0.3">
      <c r="A181" s="10" t="s">
        <v>22</v>
      </c>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3479"/>
  </sheetPr>
  <dimension ref="A1"/>
  <sheetViews>
    <sheetView showGridLines="0" workbookViewId="0"/>
  </sheetViews>
  <sheetFormatPr defaultRowHeight="13.2" x14ac:dyDescent="0.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0DCD8"/>
  </sheetPr>
  <dimension ref="A1:R199"/>
  <sheetViews>
    <sheetView zoomScaleNormal="100" workbookViewId="0">
      <pane ySplit="1" topLeftCell="A2" activePane="bottomLeft" state="frozen"/>
      <selection pane="bottomLeft" activeCell="A2" sqref="A2"/>
    </sheetView>
  </sheetViews>
  <sheetFormatPr defaultRowHeight="13.2" x14ac:dyDescent="0.25"/>
  <cols>
    <col min="1" max="1" width="2.77734375" customWidth="1"/>
    <col min="2" max="2" width="2.77734375" style="9" customWidth="1"/>
    <col min="3" max="3" width="22.21875" bestFit="1" customWidth="1"/>
    <col min="4" max="4" width="27.21875" bestFit="1" customWidth="1"/>
    <col min="5" max="5" width="16" bestFit="1" customWidth="1"/>
    <col min="6" max="6" width="31.88671875" bestFit="1" customWidth="1"/>
    <col min="7" max="7" width="19.5546875" customWidth="1"/>
    <col min="8" max="8" width="10.21875" bestFit="1" customWidth="1"/>
    <col min="9" max="9" width="31.44140625" bestFit="1" customWidth="1"/>
    <col min="10" max="10" width="18.77734375" customWidth="1"/>
    <col min="11" max="11" width="11.77734375" bestFit="1" customWidth="1"/>
    <col min="12" max="12" width="15.77734375" customWidth="1"/>
    <col min="13" max="13" width="10.88671875" customWidth="1"/>
    <col min="14" max="14" width="10.88671875" style="9" customWidth="1"/>
    <col min="15" max="15" width="10" bestFit="1" customWidth="1"/>
    <col min="17" max="17" width="12.5546875" bestFit="1" customWidth="1"/>
  </cols>
  <sheetData>
    <row r="1" spans="1:18" ht="30" x14ac:dyDescent="0.5">
      <c r="A1" s="3" t="s">
        <v>110</v>
      </c>
      <c r="B1" s="3"/>
      <c r="C1" s="3"/>
      <c r="D1" s="3"/>
      <c r="E1" s="3"/>
      <c r="F1" s="3"/>
      <c r="G1" s="3"/>
      <c r="H1" s="3"/>
      <c r="I1" s="3"/>
      <c r="J1" s="3"/>
      <c r="K1" s="3"/>
      <c r="L1" s="3"/>
      <c r="M1" s="3"/>
      <c r="N1" s="3"/>
      <c r="O1" s="3"/>
      <c r="P1" s="3"/>
      <c r="Q1" s="3"/>
      <c r="R1" s="3"/>
    </row>
    <row r="2" spans="1:18" x14ac:dyDescent="0.25">
      <c r="A2" s="9"/>
      <c r="C2" s="9"/>
      <c r="D2" s="9"/>
      <c r="E2" s="9"/>
      <c r="F2" s="9"/>
      <c r="G2" s="9"/>
      <c r="H2" s="9"/>
      <c r="I2" s="9"/>
      <c r="J2" s="9"/>
      <c r="K2" s="9"/>
      <c r="L2" s="9"/>
      <c r="M2" s="9"/>
      <c r="O2" s="9"/>
      <c r="P2" s="9"/>
      <c r="Q2" s="9"/>
      <c r="R2" s="9"/>
    </row>
    <row r="3" spans="1:18" x14ac:dyDescent="0.25">
      <c r="A3" s="9"/>
      <c r="B3" s="4" t="s">
        <v>218</v>
      </c>
      <c r="C3" s="9"/>
      <c r="D3" s="9"/>
      <c r="E3" s="9"/>
      <c r="F3" s="9"/>
      <c r="G3" s="9"/>
      <c r="H3" s="9"/>
      <c r="I3" s="9"/>
      <c r="J3" s="9"/>
      <c r="K3" s="9"/>
      <c r="L3" s="9"/>
      <c r="M3" s="9"/>
      <c r="O3" s="9"/>
      <c r="P3" s="9"/>
      <c r="Q3" s="9"/>
      <c r="R3" s="9"/>
    </row>
    <row r="4" spans="1:18" x14ac:dyDescent="0.25">
      <c r="A4" s="9"/>
      <c r="C4" s="9"/>
      <c r="D4" s="9"/>
      <c r="E4" s="9"/>
      <c r="F4" s="9"/>
      <c r="G4" s="9"/>
      <c r="H4" s="9"/>
      <c r="I4" s="9"/>
      <c r="J4" s="9"/>
      <c r="K4" s="9"/>
      <c r="L4" s="9"/>
      <c r="M4" s="9"/>
      <c r="O4" s="9"/>
      <c r="P4" s="9"/>
      <c r="Q4" s="9"/>
      <c r="R4" s="9"/>
    </row>
    <row r="5" spans="1:18" ht="13.8" x14ac:dyDescent="0.3">
      <c r="A5" s="8" t="s">
        <v>219</v>
      </c>
      <c r="B5" s="8"/>
      <c r="C5" s="8"/>
      <c r="D5" s="8"/>
      <c r="E5" s="8"/>
      <c r="F5" s="8"/>
      <c r="G5" s="8"/>
      <c r="H5" s="8"/>
      <c r="I5" s="8"/>
      <c r="J5" s="8"/>
      <c r="K5" s="8"/>
      <c r="L5" s="8"/>
      <c r="M5" s="8"/>
      <c r="N5" s="8"/>
      <c r="O5" s="8"/>
      <c r="P5" s="8"/>
      <c r="Q5" s="8"/>
      <c r="R5" s="8"/>
    </row>
    <row r="6" spans="1:18" x14ac:dyDescent="0.25">
      <c r="A6" s="9"/>
      <c r="C6" s="9"/>
      <c r="D6" s="9"/>
      <c r="E6" s="9"/>
      <c r="F6" s="9"/>
      <c r="G6" s="9"/>
      <c r="H6" s="9"/>
      <c r="I6" s="9"/>
      <c r="J6" s="9"/>
      <c r="K6" s="9"/>
      <c r="L6" s="9"/>
      <c r="M6" s="9"/>
      <c r="O6" s="9"/>
      <c r="P6" s="9"/>
      <c r="Q6" s="9"/>
      <c r="R6" s="9"/>
    </row>
    <row r="7" spans="1:18" x14ac:dyDescent="0.25">
      <c r="A7" s="9"/>
      <c r="C7" s="9" t="s">
        <v>220</v>
      </c>
      <c r="D7" s="9" t="s">
        <v>221</v>
      </c>
      <c r="E7" s="9"/>
      <c r="F7" s="9"/>
      <c r="G7" s="9"/>
      <c r="H7" s="9"/>
      <c r="I7" s="9"/>
      <c r="J7" s="9"/>
      <c r="K7" s="9"/>
      <c r="L7" s="9"/>
      <c r="M7" s="9"/>
      <c r="O7" s="9"/>
      <c r="P7" s="9"/>
      <c r="Q7" s="9"/>
      <c r="R7" s="9"/>
    </row>
    <row r="8" spans="1:18" x14ac:dyDescent="0.25">
      <c r="A8" s="9"/>
      <c r="C8" s="9" t="s">
        <v>147</v>
      </c>
      <c r="D8" s="23">
        <f>2/(INDEX(Assumptions!$E$13:$E$17,MATCH(C8,Assumptions!$C$13:$C$17,0)))</f>
        <v>0.25</v>
      </c>
      <c r="E8" s="24"/>
      <c r="F8" s="9"/>
      <c r="G8" s="9"/>
      <c r="H8" s="9"/>
      <c r="I8" s="9"/>
      <c r="J8" s="9"/>
      <c r="K8" s="9"/>
      <c r="L8" s="9"/>
      <c r="M8" s="9"/>
      <c r="O8" s="9"/>
      <c r="P8" s="9"/>
      <c r="Q8" s="9"/>
      <c r="R8" s="9"/>
    </row>
    <row r="9" spans="1:18" x14ac:dyDescent="0.25">
      <c r="A9" s="9"/>
      <c r="C9" s="9" t="s">
        <v>183</v>
      </c>
      <c r="D9" s="23">
        <f>2/(INDEX(Assumptions!$E$13:$E$17,MATCH(C9,Assumptions!$C$13:$C$17,0)))</f>
        <v>0.4</v>
      </c>
      <c r="E9" s="9"/>
      <c r="F9" s="9"/>
      <c r="G9" s="9"/>
      <c r="H9" s="9"/>
      <c r="I9" s="9"/>
      <c r="J9" s="9"/>
      <c r="K9" s="9"/>
      <c r="L9" s="9"/>
      <c r="M9" s="9"/>
      <c r="O9" s="9"/>
      <c r="P9" s="9"/>
      <c r="Q9" s="9"/>
      <c r="R9" s="9"/>
    </row>
    <row r="10" spans="1:18" x14ac:dyDescent="0.25">
      <c r="A10" s="9"/>
      <c r="C10" s="9" t="s">
        <v>196</v>
      </c>
      <c r="D10" s="23">
        <f>2/(INDEX(Assumptions!$E$13:$E$17,MATCH(C10,Assumptions!$C$13:$C$17,0)))</f>
        <v>0.4</v>
      </c>
      <c r="E10" s="9"/>
      <c r="F10" s="9"/>
      <c r="G10" s="9"/>
      <c r="H10" s="9"/>
      <c r="I10" s="9"/>
      <c r="J10" s="9"/>
      <c r="K10" s="9"/>
      <c r="L10" s="9"/>
      <c r="M10" s="9"/>
      <c r="O10" s="9"/>
      <c r="P10" s="9"/>
      <c r="Q10" s="9"/>
      <c r="R10" s="9"/>
    </row>
    <row r="11" spans="1:18" x14ac:dyDescent="0.25">
      <c r="A11" s="9"/>
      <c r="C11" s="9" t="s">
        <v>203</v>
      </c>
      <c r="D11" s="23">
        <f>2/(INDEX(Assumptions!$E$13:$E$17,MATCH(C11,Assumptions!$C$13:$C$17,0)))</f>
        <v>0.25</v>
      </c>
      <c r="E11" s="9"/>
      <c r="F11" s="9"/>
      <c r="G11" s="9"/>
      <c r="H11" s="9"/>
      <c r="I11" s="9"/>
      <c r="J11" s="9"/>
      <c r="K11" s="9"/>
      <c r="L11" s="9"/>
      <c r="M11" s="9"/>
      <c r="O11" s="9"/>
      <c r="P11" s="9"/>
      <c r="Q11" s="9"/>
      <c r="R11" s="9"/>
    </row>
    <row r="12" spans="1:18" x14ac:dyDescent="0.25">
      <c r="A12" s="9"/>
      <c r="C12" s="9" t="s">
        <v>211</v>
      </c>
      <c r="D12" s="23">
        <f>2/(INDEX(Assumptions!$E$13:$E$17,MATCH(C12,Assumptions!$C$13:$C$17,0)))</f>
        <v>0.25</v>
      </c>
      <c r="E12" s="9"/>
      <c r="F12" s="9"/>
      <c r="G12" s="9"/>
      <c r="H12" s="9"/>
      <c r="I12" s="9"/>
      <c r="J12" s="9"/>
      <c r="K12" s="9"/>
      <c r="L12" s="9"/>
      <c r="M12" s="9"/>
      <c r="O12" s="9"/>
      <c r="P12" s="9"/>
      <c r="Q12" s="9"/>
      <c r="R12" s="9"/>
    </row>
    <row r="13" spans="1:18" x14ac:dyDescent="0.25">
      <c r="A13" s="9"/>
      <c r="C13" s="9"/>
      <c r="D13" s="9"/>
      <c r="E13" s="9"/>
      <c r="F13" s="9"/>
      <c r="G13" s="9"/>
      <c r="H13" s="9"/>
      <c r="I13" s="9"/>
      <c r="J13" s="9"/>
      <c r="K13" s="9"/>
      <c r="L13" s="9"/>
      <c r="M13" s="9"/>
      <c r="O13" s="9"/>
      <c r="P13" s="9"/>
      <c r="Q13" s="9"/>
      <c r="R13" s="9"/>
    </row>
    <row r="14" spans="1:18" x14ac:dyDescent="0.25">
      <c r="A14" s="9"/>
      <c r="C14" s="9"/>
      <c r="D14" s="9"/>
      <c r="E14" s="9"/>
      <c r="F14" s="9"/>
      <c r="G14" s="9"/>
      <c r="H14" s="9"/>
      <c r="I14" s="9"/>
      <c r="J14" s="9"/>
      <c r="K14" s="9"/>
      <c r="L14" s="9"/>
      <c r="M14" s="9"/>
      <c r="O14" s="9"/>
      <c r="P14" s="9"/>
      <c r="Q14" s="9"/>
      <c r="R14" s="9"/>
    </row>
    <row r="15" spans="1:18" ht="13.8" x14ac:dyDescent="0.3">
      <c r="A15" s="8" t="s">
        <v>222</v>
      </c>
      <c r="B15" s="8"/>
      <c r="C15" s="8"/>
      <c r="D15" s="8"/>
      <c r="E15" s="8"/>
      <c r="F15" s="8"/>
      <c r="G15" s="8"/>
      <c r="H15" s="8"/>
      <c r="I15" s="8"/>
      <c r="J15" s="8"/>
      <c r="K15" s="8"/>
      <c r="L15" s="8"/>
      <c r="M15" s="8"/>
      <c r="N15" s="8"/>
      <c r="O15" s="8"/>
      <c r="P15" s="8"/>
      <c r="Q15" s="8"/>
      <c r="R15" s="8"/>
    </row>
    <row r="17" spans="1:18" ht="15" x14ac:dyDescent="0.35">
      <c r="A17" s="1" t="s">
        <v>223</v>
      </c>
      <c r="C17" s="9"/>
      <c r="D17" s="9"/>
      <c r="E17" s="9"/>
      <c r="F17" s="9"/>
      <c r="G17" s="9"/>
      <c r="H17" s="9"/>
      <c r="I17" s="9"/>
      <c r="J17" s="9"/>
      <c r="K17" s="9"/>
      <c r="L17" s="9"/>
      <c r="M17" s="9"/>
      <c r="O17" s="9"/>
      <c r="P17" s="9"/>
      <c r="Q17" s="9"/>
      <c r="R17" s="9"/>
    </row>
    <row r="18" spans="1:18" x14ac:dyDescent="0.25">
      <c r="A18" s="9"/>
      <c r="C18" s="9"/>
      <c r="D18" s="9"/>
      <c r="E18" s="9"/>
      <c r="F18" s="9"/>
      <c r="G18" s="9"/>
      <c r="H18" s="9"/>
      <c r="I18" s="9"/>
      <c r="J18" s="9"/>
      <c r="K18" s="9"/>
      <c r="L18" s="9"/>
      <c r="M18" s="9"/>
      <c r="N18" s="9" t="s">
        <v>176</v>
      </c>
      <c r="O18" s="9" t="s">
        <v>178</v>
      </c>
      <c r="P18" s="9"/>
      <c r="Q18" s="9"/>
      <c r="R18" s="9"/>
    </row>
    <row r="19" spans="1:18" ht="26.4" x14ac:dyDescent="0.25">
      <c r="A19" s="18"/>
      <c r="B19" s="18"/>
      <c r="C19" s="9" t="s">
        <v>220</v>
      </c>
      <c r="D19" s="18" t="s">
        <v>149</v>
      </c>
      <c r="E19" s="18" t="s">
        <v>150</v>
      </c>
      <c r="F19" s="18" t="s">
        <v>224</v>
      </c>
      <c r="G19" s="18" t="s">
        <v>225</v>
      </c>
      <c r="H19" s="18"/>
      <c r="I19" s="18" t="s">
        <v>224</v>
      </c>
      <c r="J19" s="18" t="s">
        <v>226</v>
      </c>
      <c r="K19" s="18"/>
      <c r="L19" s="18"/>
      <c r="M19" s="18" t="s">
        <v>227</v>
      </c>
      <c r="N19" s="18" t="s">
        <v>228</v>
      </c>
      <c r="O19" s="18" t="s">
        <v>228</v>
      </c>
      <c r="P19" s="18"/>
      <c r="Q19" s="18" t="s">
        <v>229</v>
      </c>
      <c r="R19" s="18"/>
    </row>
    <row r="20" spans="1:18" x14ac:dyDescent="0.25">
      <c r="A20" s="9"/>
      <c r="C20" s="9" t="s">
        <v>147</v>
      </c>
      <c r="D20" s="9" t="s">
        <v>230</v>
      </c>
      <c r="E20" s="9" t="s">
        <v>231</v>
      </c>
      <c r="F20" s="9" t="s">
        <v>158</v>
      </c>
      <c r="G20" s="38">
        <f t="shared" ref="G20:G51" si="0">INDEX(ODI_out,MATCH(D20,ODI_ID,0))</f>
        <v>0.13333333333333333</v>
      </c>
      <c r="H20" s="9"/>
      <c r="I20" s="9" t="s">
        <v>232</v>
      </c>
      <c r="J20" s="28">
        <f>IF(G20="","",(G20/N20)*million)</f>
        <v>9.2246157025098335E-2</v>
      </c>
      <c r="K20" s="9"/>
      <c r="L20" s="9"/>
      <c r="M20" s="9" t="s">
        <v>233</v>
      </c>
      <c r="N20" s="48">
        <f t="shared" ref="N20:O39" si="1">IF(OR($E20=$E$24,$E20=$E$25,$E20=$E$30,$E20=$E$31),INDEX(Leakage_properties,MATCH($E20,Leakage_properties_companies,0),MATCH(N$18,Companydata_years,0)),IF($M20="Water",INDEX(Households_water,MATCH($E20,Households_water_company,0),MATCH(N$18,Companydata_years,0)),INDEX(Households_waste,MATCH($E20,Households_waste_company,0),MATCH(N$18,Companydata_years,0))))</f>
        <v>1445408</v>
      </c>
      <c r="O20" s="48">
        <f t="shared" si="1"/>
        <v>1478856</v>
      </c>
      <c r="P20" s="9"/>
      <c r="Q20" s="135">
        <f>IF(G20="",0,O20)</f>
        <v>1478856</v>
      </c>
      <c r="R20" s="9"/>
    </row>
    <row r="21" spans="1:18" x14ac:dyDescent="0.25">
      <c r="A21" s="9"/>
      <c r="C21" s="9" t="s">
        <v>147</v>
      </c>
      <c r="D21" s="9" t="s">
        <v>156</v>
      </c>
      <c r="E21" s="9" t="s">
        <v>157</v>
      </c>
      <c r="F21" s="9" t="s">
        <v>158</v>
      </c>
      <c r="G21" s="38">
        <f t="shared" si="0"/>
        <v>0.21935499999999999</v>
      </c>
      <c r="H21" s="9"/>
      <c r="I21" s="9" t="s">
        <v>232</v>
      </c>
      <c r="J21" s="28">
        <f t="shared" ref="J21:J51" si="2">IF(G21="","",(G21/N21)*million)</f>
        <v>0.10369605245430456</v>
      </c>
      <c r="K21" s="9"/>
      <c r="L21" s="9"/>
      <c r="M21" s="9" t="s">
        <v>233</v>
      </c>
      <c r="N21" s="48">
        <f t="shared" si="1"/>
        <v>2115365</v>
      </c>
      <c r="O21" s="48">
        <f t="shared" si="1"/>
        <v>2188385</v>
      </c>
      <c r="P21" s="9"/>
      <c r="Q21" s="135">
        <f t="shared" ref="Q21:Q84" si="3">IF(G21="",0,O21)</f>
        <v>2188385</v>
      </c>
      <c r="R21" s="9"/>
    </row>
    <row r="22" spans="1:18" x14ac:dyDescent="0.25">
      <c r="A22" s="9"/>
      <c r="C22" s="9" t="s">
        <v>147</v>
      </c>
      <c r="D22" s="9" t="s">
        <v>234</v>
      </c>
      <c r="E22" s="9" t="s">
        <v>235</v>
      </c>
      <c r="F22" s="9" t="s">
        <v>158</v>
      </c>
      <c r="G22" s="38">
        <f t="shared" si="0"/>
        <v>0.1639166816351619</v>
      </c>
      <c r="H22" s="9"/>
      <c r="I22" s="9" t="s">
        <v>232</v>
      </c>
      <c r="J22" s="28">
        <f t="shared" si="2"/>
        <v>0.31553628323989846</v>
      </c>
      <c r="K22" s="9"/>
      <c r="L22" s="9"/>
      <c r="M22" s="9" t="s">
        <v>233</v>
      </c>
      <c r="N22" s="48">
        <f t="shared" si="1"/>
        <v>519486</v>
      </c>
      <c r="O22" s="48">
        <f t="shared" si="1"/>
        <v>530110</v>
      </c>
      <c r="P22" s="9"/>
      <c r="Q22" s="135">
        <f t="shared" si="3"/>
        <v>530110</v>
      </c>
      <c r="R22" s="9"/>
    </row>
    <row r="23" spans="1:18" x14ac:dyDescent="0.25">
      <c r="A23" s="9"/>
      <c r="C23" s="9" t="s">
        <v>147</v>
      </c>
      <c r="D23" s="9" t="s">
        <v>236</v>
      </c>
      <c r="E23" s="9" t="s">
        <v>237</v>
      </c>
      <c r="F23" s="9" t="s">
        <v>158</v>
      </c>
      <c r="G23" s="38" t="str">
        <f t="shared" si="0"/>
        <v/>
      </c>
      <c r="H23" s="9"/>
      <c r="I23" s="9" t="s">
        <v>232</v>
      </c>
      <c r="J23" s="28" t="str">
        <f t="shared" si="2"/>
        <v/>
      </c>
      <c r="K23" s="9"/>
      <c r="L23" s="9"/>
      <c r="M23" s="9" t="s">
        <v>233</v>
      </c>
      <c r="N23" s="48">
        <f t="shared" si="1"/>
        <v>94474</v>
      </c>
      <c r="O23" s="48">
        <f t="shared" si="1"/>
        <v>95518</v>
      </c>
      <c r="P23" s="9"/>
      <c r="Q23" s="135">
        <f t="shared" si="3"/>
        <v>0</v>
      </c>
      <c r="R23" s="9"/>
    </row>
    <row r="24" spans="1:18" x14ac:dyDescent="0.25">
      <c r="A24" s="9"/>
      <c r="C24" s="9" t="s">
        <v>147</v>
      </c>
      <c r="D24" s="21" t="s">
        <v>160</v>
      </c>
      <c r="E24" s="21" t="s">
        <v>161</v>
      </c>
      <c r="F24" s="9" t="s">
        <v>158</v>
      </c>
      <c r="G24" s="38">
        <f t="shared" si="0"/>
        <v>0.14960761268858241</v>
      </c>
      <c r="H24" s="9"/>
      <c r="I24" s="9" t="s">
        <v>232</v>
      </c>
      <c r="J24" s="28">
        <f t="shared" si="2"/>
        <v>0.11984696223382638</v>
      </c>
      <c r="K24" s="9"/>
      <c r="L24" s="9"/>
      <c r="M24" s="9" t="s">
        <v>233</v>
      </c>
      <c r="N24" s="48">
        <f t="shared" si="1"/>
        <v>1248322.10929712</v>
      </c>
      <c r="O24" s="48">
        <f t="shared" si="1"/>
        <v>1264677.7233966</v>
      </c>
      <c r="P24" s="9"/>
      <c r="Q24" s="135">
        <f t="shared" si="3"/>
        <v>1264677.7233966</v>
      </c>
      <c r="R24" s="9"/>
    </row>
    <row r="25" spans="1:18" x14ac:dyDescent="0.25">
      <c r="A25" s="9"/>
      <c r="C25" s="9" t="s">
        <v>147</v>
      </c>
      <c r="D25" s="21" t="s">
        <v>162</v>
      </c>
      <c r="E25" s="21" t="s">
        <v>163</v>
      </c>
      <c r="F25" s="9" t="s">
        <v>158</v>
      </c>
      <c r="G25" s="38">
        <f t="shared" si="0"/>
        <v>0.15411062568731976</v>
      </c>
      <c r="H25" s="9"/>
      <c r="I25" s="9" t="s">
        <v>232</v>
      </c>
      <c r="J25" s="28">
        <f t="shared" si="2"/>
        <v>0.17826213385145476</v>
      </c>
      <c r="K25" s="9"/>
      <c r="L25" s="9"/>
      <c r="M25" s="9" t="s">
        <v>233</v>
      </c>
      <c r="N25" s="48">
        <f t="shared" si="1"/>
        <v>864516.89070287708</v>
      </c>
      <c r="O25" s="48">
        <f t="shared" si="1"/>
        <v>880701.27660340408</v>
      </c>
      <c r="P25" s="9"/>
      <c r="Q25" s="135">
        <f t="shared" si="3"/>
        <v>880701.27660340408</v>
      </c>
      <c r="R25" s="9"/>
    </row>
    <row r="26" spans="1:18" x14ac:dyDescent="0.25">
      <c r="A26" s="9"/>
      <c r="C26" s="9" t="s">
        <v>147</v>
      </c>
      <c r="D26" s="9" t="s">
        <v>238</v>
      </c>
      <c r="E26" s="9" t="s">
        <v>239</v>
      </c>
      <c r="F26" s="9" t="s">
        <v>158</v>
      </c>
      <c r="G26" s="38">
        <f t="shared" si="0"/>
        <v>0.13360406184922677</v>
      </c>
      <c r="H26" s="9"/>
      <c r="I26" s="9" t="s">
        <v>232</v>
      </c>
      <c r="J26" s="28">
        <f t="shared" si="2"/>
        <v>0.4395593415009928</v>
      </c>
      <c r="K26" s="9"/>
      <c r="L26" s="9"/>
      <c r="M26" s="9" t="s">
        <v>233</v>
      </c>
      <c r="N26" s="48">
        <f t="shared" si="1"/>
        <v>303950</v>
      </c>
      <c r="O26" s="48">
        <f t="shared" si="1"/>
        <v>307834</v>
      </c>
      <c r="P26" s="9"/>
      <c r="Q26" s="135">
        <f t="shared" si="3"/>
        <v>307834</v>
      </c>
      <c r="R26" s="9"/>
    </row>
    <row r="27" spans="1:18" x14ac:dyDescent="0.25">
      <c r="A27" s="9"/>
      <c r="C27" s="9" t="s">
        <v>147</v>
      </c>
      <c r="D27" s="21" t="s">
        <v>164</v>
      </c>
      <c r="E27" s="21" t="s">
        <v>165</v>
      </c>
      <c r="F27" s="9" t="s">
        <v>158</v>
      </c>
      <c r="G27" s="38">
        <f t="shared" si="0"/>
        <v>0.34554765912136354</v>
      </c>
      <c r="H27" s="9"/>
      <c r="I27" s="9" t="s">
        <v>232</v>
      </c>
      <c r="J27" s="28">
        <f t="shared" si="2"/>
        <v>1.226951788408817</v>
      </c>
      <c r="K27" s="9"/>
      <c r="L27" s="9"/>
      <c r="M27" s="9" t="s">
        <v>233</v>
      </c>
      <c r="N27" s="48">
        <f t="shared" si="1"/>
        <v>281631</v>
      </c>
      <c r="O27" s="48">
        <f t="shared" si="1"/>
        <v>286862</v>
      </c>
      <c r="P27" s="9"/>
      <c r="Q27" s="135">
        <f t="shared" si="3"/>
        <v>286862</v>
      </c>
      <c r="R27" s="9"/>
    </row>
    <row r="28" spans="1:18" x14ac:dyDescent="0.25">
      <c r="A28" s="9"/>
      <c r="C28" s="9" t="s">
        <v>147</v>
      </c>
      <c r="D28" s="21" t="s">
        <v>240</v>
      </c>
      <c r="E28" s="21" t="s">
        <v>241</v>
      </c>
      <c r="F28" s="9" t="s">
        <v>158</v>
      </c>
      <c r="G28" s="38">
        <f t="shared" si="0"/>
        <v>0.37858399999999998</v>
      </c>
      <c r="H28" s="9"/>
      <c r="I28" s="9" t="s">
        <v>232</v>
      </c>
      <c r="J28" s="28">
        <f t="shared" si="2"/>
        <v>0.42235850224854604</v>
      </c>
      <c r="K28" s="9"/>
      <c r="L28" s="9"/>
      <c r="M28" s="9" t="s">
        <v>233</v>
      </c>
      <c r="N28" s="48">
        <f t="shared" si="1"/>
        <v>896357</v>
      </c>
      <c r="O28" s="48">
        <f t="shared" si="1"/>
        <v>914182</v>
      </c>
      <c r="P28" s="9"/>
      <c r="Q28" s="135">
        <f t="shared" si="3"/>
        <v>914182</v>
      </c>
      <c r="R28" s="9"/>
    </row>
    <row r="29" spans="1:18" x14ac:dyDescent="0.25">
      <c r="A29" s="9"/>
      <c r="C29" s="9" t="s">
        <v>147</v>
      </c>
      <c r="D29" s="21" t="s">
        <v>242</v>
      </c>
      <c r="E29" s="21" t="s">
        <v>205</v>
      </c>
      <c r="F29" s="9" t="s">
        <v>158</v>
      </c>
      <c r="G29" s="38">
        <f t="shared" si="0"/>
        <v>0.13717030120481938</v>
      </c>
      <c r="H29" s="9"/>
      <c r="I29" s="9" t="s">
        <v>232</v>
      </c>
      <c r="J29" s="28">
        <f t="shared" si="2"/>
        <v>0.12722676607542821</v>
      </c>
      <c r="K29" s="9"/>
      <c r="L29" s="9"/>
      <c r="M29" s="9" t="s">
        <v>233</v>
      </c>
      <c r="N29" s="48">
        <f t="shared" si="1"/>
        <v>1078156</v>
      </c>
      <c r="O29" s="48">
        <f t="shared" si="1"/>
        <v>1103495</v>
      </c>
      <c r="P29" s="9"/>
      <c r="Q29" s="135">
        <f t="shared" si="3"/>
        <v>1103495</v>
      </c>
      <c r="R29" s="9"/>
    </row>
    <row r="30" spans="1:18" x14ac:dyDescent="0.25">
      <c r="A30" s="9"/>
      <c r="C30" s="9" t="s">
        <v>147</v>
      </c>
      <c r="D30" s="21" t="s">
        <v>243</v>
      </c>
      <c r="E30" s="21" t="s">
        <v>244</v>
      </c>
      <c r="F30" s="9" t="s">
        <v>158</v>
      </c>
      <c r="G30" s="38">
        <f t="shared" si="0"/>
        <v>0.19607347032128489</v>
      </c>
      <c r="H30" s="9"/>
      <c r="I30" s="9" t="s">
        <v>232</v>
      </c>
      <c r="J30" s="28">
        <f t="shared" si="2"/>
        <v>0.31523927554496645</v>
      </c>
      <c r="K30" s="9"/>
      <c r="L30" s="9"/>
      <c r="M30" s="9" t="s">
        <v>233</v>
      </c>
      <c r="N30" s="48">
        <f t="shared" si="1"/>
        <v>621983</v>
      </c>
      <c r="O30" s="48">
        <f t="shared" si="1"/>
        <v>633097</v>
      </c>
      <c r="P30" s="9"/>
      <c r="Q30" s="135">
        <f t="shared" si="3"/>
        <v>633097</v>
      </c>
      <c r="R30" s="9"/>
    </row>
    <row r="31" spans="1:18" x14ac:dyDescent="0.25">
      <c r="A31" s="9"/>
      <c r="C31" s="9" t="s">
        <v>147</v>
      </c>
      <c r="D31" s="21" t="s">
        <v>245</v>
      </c>
      <c r="E31" s="21" t="s">
        <v>246</v>
      </c>
      <c r="F31" s="9" t="s">
        <v>158</v>
      </c>
      <c r="G31" s="38">
        <f t="shared" si="0"/>
        <v>0.21127499999999999</v>
      </c>
      <c r="H31" s="9"/>
      <c r="I31" s="9" t="s">
        <v>232</v>
      </c>
      <c r="J31" s="28">
        <f t="shared" si="2"/>
        <v>1.3425622906962704</v>
      </c>
      <c r="K31" s="9"/>
      <c r="L31" s="9"/>
      <c r="M31" s="9" t="s">
        <v>233</v>
      </c>
      <c r="N31" s="48">
        <f t="shared" si="1"/>
        <v>157367</v>
      </c>
      <c r="O31" s="48">
        <f t="shared" si="1"/>
        <v>161695</v>
      </c>
      <c r="P31" s="9"/>
      <c r="Q31" s="135">
        <f t="shared" si="3"/>
        <v>161695</v>
      </c>
      <c r="R31" s="9"/>
    </row>
    <row r="32" spans="1:18" x14ac:dyDescent="0.25">
      <c r="A32" s="9"/>
      <c r="C32" s="9" t="s">
        <v>147</v>
      </c>
      <c r="D32" s="21" t="s">
        <v>247</v>
      </c>
      <c r="E32" s="21" t="s">
        <v>198</v>
      </c>
      <c r="F32" s="9" t="s">
        <v>158</v>
      </c>
      <c r="G32" s="38">
        <f t="shared" si="0"/>
        <v>0.324853</v>
      </c>
      <c r="H32" s="9"/>
      <c r="I32" s="9" t="s">
        <v>232</v>
      </c>
      <c r="J32" s="28">
        <f t="shared" si="2"/>
        <v>9.6360247082940456E-2</v>
      </c>
      <c r="K32" s="9"/>
      <c r="L32" s="9"/>
      <c r="M32" s="9" t="s">
        <v>233</v>
      </c>
      <c r="N32" s="48">
        <f t="shared" si="1"/>
        <v>3371234.610060602</v>
      </c>
      <c r="O32" s="48">
        <f t="shared" si="1"/>
        <v>3429322.8135288302</v>
      </c>
      <c r="P32" s="9"/>
      <c r="Q32" s="135">
        <f t="shared" si="3"/>
        <v>3429322.8135288302</v>
      </c>
      <c r="R32" s="9"/>
    </row>
    <row r="33" spans="3:17" x14ac:dyDescent="0.25">
      <c r="C33" s="9" t="s">
        <v>147</v>
      </c>
      <c r="D33" s="21" t="s">
        <v>166</v>
      </c>
      <c r="E33" s="21" t="s">
        <v>167</v>
      </c>
      <c r="F33" s="9" t="s">
        <v>158</v>
      </c>
      <c r="G33" s="38">
        <f t="shared" si="0"/>
        <v>0.37</v>
      </c>
      <c r="H33" s="9"/>
      <c r="I33" s="9" t="s">
        <v>232</v>
      </c>
      <c r="J33" s="28">
        <f t="shared" si="2"/>
        <v>0.37484335093746296</v>
      </c>
      <c r="K33" s="9"/>
      <c r="L33" s="9"/>
      <c r="M33" s="9" t="s">
        <v>233</v>
      </c>
      <c r="N33" s="48">
        <f t="shared" si="1"/>
        <v>987079</v>
      </c>
      <c r="O33" s="48">
        <f t="shared" si="1"/>
        <v>1004729</v>
      </c>
      <c r="P33" s="9"/>
      <c r="Q33" s="135">
        <f t="shared" si="3"/>
        <v>1004729</v>
      </c>
    </row>
    <row r="34" spans="3:17" x14ac:dyDescent="0.25">
      <c r="C34" s="9" t="s">
        <v>147</v>
      </c>
      <c r="D34" s="21" t="s">
        <v>248</v>
      </c>
      <c r="E34" s="21" t="s">
        <v>249</v>
      </c>
      <c r="F34" s="9" t="s">
        <v>158</v>
      </c>
      <c r="G34" s="38">
        <f t="shared" si="0"/>
        <v>0.30740261463773022</v>
      </c>
      <c r="H34" s="9"/>
      <c r="I34" s="9" t="s">
        <v>232</v>
      </c>
      <c r="J34" s="28">
        <f t="shared" si="2"/>
        <v>8.3585105619169001E-2</v>
      </c>
      <c r="K34" s="9"/>
      <c r="L34" s="9"/>
      <c r="M34" s="9" t="s">
        <v>233</v>
      </c>
      <c r="N34" s="48">
        <f t="shared" si="1"/>
        <v>3677720</v>
      </c>
      <c r="O34" s="48">
        <f t="shared" si="1"/>
        <v>3762746</v>
      </c>
      <c r="P34" s="9"/>
      <c r="Q34" s="135">
        <f t="shared" si="3"/>
        <v>3762746</v>
      </c>
    </row>
    <row r="35" spans="3:17" x14ac:dyDescent="0.25">
      <c r="C35" s="9" t="s">
        <v>147</v>
      </c>
      <c r="D35" s="21" t="s">
        <v>250</v>
      </c>
      <c r="E35" s="21" t="s">
        <v>190</v>
      </c>
      <c r="F35" s="9" t="s">
        <v>158</v>
      </c>
      <c r="G35" s="38">
        <f t="shared" si="0"/>
        <v>0.14583333333333334</v>
      </c>
      <c r="H35" s="9"/>
      <c r="I35" s="9" t="s">
        <v>232</v>
      </c>
      <c r="J35" s="28">
        <f t="shared" si="2"/>
        <v>4.8385978070105605E-2</v>
      </c>
      <c r="K35" s="9"/>
      <c r="L35" s="9"/>
      <c r="M35" s="9" t="s">
        <v>233</v>
      </c>
      <c r="N35" s="48">
        <f t="shared" si="1"/>
        <v>3013958.571262897</v>
      </c>
      <c r="O35" s="48">
        <f t="shared" si="1"/>
        <v>3064807.8706498602</v>
      </c>
      <c r="P35" s="9"/>
      <c r="Q35" s="135">
        <f t="shared" si="3"/>
        <v>3064807.8706498602</v>
      </c>
    </row>
    <row r="36" spans="3:17" x14ac:dyDescent="0.25">
      <c r="C36" s="9" t="s">
        <v>147</v>
      </c>
      <c r="D36" s="21" t="s">
        <v>251</v>
      </c>
      <c r="E36" s="21" t="s">
        <v>252</v>
      </c>
      <c r="F36" s="9" t="s">
        <v>158</v>
      </c>
      <c r="G36" s="38">
        <f t="shared" si="0"/>
        <v>0.14299999999999999</v>
      </c>
      <c r="H36" s="9"/>
      <c r="I36" s="9" t="s">
        <v>232</v>
      </c>
      <c r="J36" s="28">
        <f t="shared" si="2"/>
        <v>0.10926590124501998</v>
      </c>
      <c r="K36" s="9"/>
      <c r="L36" s="9"/>
      <c r="M36" s="9" t="s">
        <v>233</v>
      </c>
      <c r="N36" s="48">
        <f t="shared" si="1"/>
        <v>1308734</v>
      </c>
      <c r="O36" s="48">
        <f t="shared" si="1"/>
        <v>1328869</v>
      </c>
      <c r="P36" s="9"/>
      <c r="Q36" s="135">
        <f t="shared" si="3"/>
        <v>1328869</v>
      </c>
    </row>
    <row r="37" spans="3:17" x14ac:dyDescent="0.25">
      <c r="C37" s="9" t="s">
        <v>147</v>
      </c>
      <c r="D37" s="9" t="s">
        <v>168</v>
      </c>
      <c r="E37" s="9" t="s">
        <v>169</v>
      </c>
      <c r="F37" s="9" t="s">
        <v>158</v>
      </c>
      <c r="G37" s="38">
        <f t="shared" si="0"/>
        <v>0.22</v>
      </c>
      <c r="H37" s="9"/>
      <c r="I37" s="9" t="s">
        <v>232</v>
      </c>
      <c r="J37" s="28">
        <f t="shared" si="2"/>
        <v>0.37495376990450613</v>
      </c>
      <c r="K37" s="9"/>
      <c r="L37" s="9"/>
      <c r="M37" s="9" t="s">
        <v>233</v>
      </c>
      <c r="N37" s="48">
        <f t="shared" si="1"/>
        <v>586739</v>
      </c>
      <c r="O37" s="48">
        <f t="shared" si="1"/>
        <v>598616</v>
      </c>
      <c r="P37" s="9"/>
      <c r="Q37" s="135">
        <f t="shared" si="3"/>
        <v>598616</v>
      </c>
    </row>
    <row r="38" spans="3:17" x14ac:dyDescent="0.25">
      <c r="C38" s="9" t="s">
        <v>147</v>
      </c>
      <c r="D38" s="9" t="s">
        <v>170</v>
      </c>
      <c r="E38" s="9" t="s">
        <v>171</v>
      </c>
      <c r="F38" s="9" t="s">
        <v>158</v>
      </c>
      <c r="G38" s="38">
        <f t="shared" si="0"/>
        <v>0.13895244177505731</v>
      </c>
      <c r="H38" s="9"/>
      <c r="I38" s="9" t="s">
        <v>232</v>
      </c>
      <c r="J38" s="28">
        <f t="shared" si="2"/>
        <v>6.4681509920166538E-2</v>
      </c>
      <c r="K38" s="9"/>
      <c r="L38" s="9"/>
      <c r="M38" s="9" t="s">
        <v>233</v>
      </c>
      <c r="N38" s="48">
        <f t="shared" si="1"/>
        <v>2148256</v>
      </c>
      <c r="O38" s="48">
        <f t="shared" si="1"/>
        <v>2189679</v>
      </c>
      <c r="P38" s="9"/>
      <c r="Q38" s="135">
        <f t="shared" si="3"/>
        <v>2189679</v>
      </c>
    </row>
    <row r="39" spans="3:17" x14ac:dyDescent="0.25">
      <c r="C39" s="9" t="s">
        <v>183</v>
      </c>
      <c r="D39" s="21" t="s">
        <v>253</v>
      </c>
      <c r="E39" s="21" t="s">
        <v>157</v>
      </c>
      <c r="F39" s="21" t="s">
        <v>254</v>
      </c>
      <c r="G39" s="38">
        <f t="shared" si="0"/>
        <v>0.29482900000000001</v>
      </c>
      <c r="H39" s="9"/>
      <c r="I39" s="21" t="s">
        <v>255</v>
      </c>
      <c r="J39" s="28">
        <f t="shared" si="2"/>
        <v>0.10839656150513749</v>
      </c>
      <c r="K39" s="9"/>
      <c r="L39" s="9"/>
      <c r="M39" s="9" t="s">
        <v>256</v>
      </c>
      <c r="N39" s="48">
        <f t="shared" si="1"/>
        <v>2719911</v>
      </c>
      <c r="O39" s="48">
        <f t="shared" si="1"/>
        <v>2803321</v>
      </c>
      <c r="P39" s="9"/>
      <c r="Q39" s="135">
        <f t="shared" si="3"/>
        <v>2803321</v>
      </c>
    </row>
    <row r="40" spans="3:17" x14ac:dyDescent="0.25">
      <c r="C40" s="9" t="s">
        <v>183</v>
      </c>
      <c r="D40" s="21" t="s">
        <v>257</v>
      </c>
      <c r="E40" s="21" t="s">
        <v>237</v>
      </c>
      <c r="F40" s="21" t="s">
        <v>254</v>
      </c>
      <c r="G40" s="38" t="str">
        <f t="shared" si="0"/>
        <v/>
      </c>
      <c r="H40" s="9"/>
      <c r="I40" s="21" t="s">
        <v>255</v>
      </c>
      <c r="J40" s="28" t="str">
        <f t="shared" si="2"/>
        <v/>
      </c>
      <c r="K40" s="9"/>
      <c r="L40" s="9"/>
      <c r="M40" s="9" t="s">
        <v>256</v>
      </c>
      <c r="N40" s="48">
        <f t="shared" ref="N40:O59" si="4">IF(OR($E40=$E$24,$E40=$E$25,$E40=$E$30,$E40=$E$31),INDEX(Leakage_properties,MATCH($E40,Leakage_properties_companies,0),MATCH(N$18,Companydata_years,0)),IF($M40="Water",INDEX(Households_water,MATCH($E40,Households_water_company,0),MATCH(N$18,Companydata_years,0)),INDEX(Households_waste,MATCH($E40,Households_waste_company,0),MATCH(N$18,Companydata_years,0))))</f>
        <v>18665</v>
      </c>
      <c r="O40" s="48">
        <f t="shared" si="4"/>
        <v>18984</v>
      </c>
      <c r="P40" s="9"/>
      <c r="Q40" s="135">
        <f t="shared" si="3"/>
        <v>0</v>
      </c>
    </row>
    <row r="41" spans="3:17" x14ac:dyDescent="0.25">
      <c r="C41" s="9" t="s">
        <v>183</v>
      </c>
      <c r="D41" s="21" t="s">
        <v>185</v>
      </c>
      <c r="E41" s="21" t="s">
        <v>186</v>
      </c>
      <c r="F41" s="21" t="s">
        <v>254</v>
      </c>
      <c r="G41" s="38">
        <f t="shared" si="0"/>
        <v>0.29922500000000002</v>
      </c>
      <c r="H41" s="9"/>
      <c r="I41" s="21" t="s">
        <v>255</v>
      </c>
      <c r="J41" s="28">
        <f t="shared" si="2"/>
        <v>0.25299989515586269</v>
      </c>
      <c r="K41" s="9"/>
      <c r="L41" s="9"/>
      <c r="M41" s="9" t="s">
        <v>256</v>
      </c>
      <c r="N41" s="48">
        <f t="shared" si="4"/>
        <v>1182708</v>
      </c>
      <c r="O41" s="48">
        <f t="shared" si="4"/>
        <v>1199146</v>
      </c>
      <c r="P41" s="9"/>
      <c r="Q41" s="135">
        <f t="shared" si="3"/>
        <v>1199146</v>
      </c>
    </row>
    <row r="42" spans="3:17" x14ac:dyDescent="0.25">
      <c r="C42" s="9" t="s">
        <v>183</v>
      </c>
      <c r="D42" s="21" t="s">
        <v>258</v>
      </c>
      <c r="E42" s="21" t="s">
        <v>205</v>
      </c>
      <c r="F42" s="21" t="s">
        <v>254</v>
      </c>
      <c r="G42" s="38">
        <f t="shared" si="0"/>
        <v>0.27034329978749999</v>
      </c>
      <c r="H42" s="9"/>
      <c r="I42" s="21" t="s">
        <v>255</v>
      </c>
      <c r="J42" s="28">
        <f t="shared" si="2"/>
        <v>0.13966798121293811</v>
      </c>
      <c r="K42" s="9"/>
      <c r="L42" s="9"/>
      <c r="M42" s="9" t="s">
        <v>256</v>
      </c>
      <c r="N42" s="48">
        <f t="shared" si="4"/>
        <v>1935614</v>
      </c>
      <c r="O42" s="48">
        <f t="shared" si="4"/>
        <v>1978945</v>
      </c>
      <c r="P42" s="9"/>
      <c r="Q42" s="135">
        <f t="shared" si="3"/>
        <v>1978945</v>
      </c>
    </row>
    <row r="43" spans="3:17" x14ac:dyDescent="0.25">
      <c r="C43" s="9" t="s">
        <v>183</v>
      </c>
      <c r="D43" s="9" t="s">
        <v>259</v>
      </c>
      <c r="E43" s="9" t="s">
        <v>198</v>
      </c>
      <c r="F43" s="21" t="s">
        <v>254</v>
      </c>
      <c r="G43" s="38">
        <f t="shared" si="0"/>
        <v>0.59653</v>
      </c>
      <c r="H43" s="9"/>
      <c r="I43" s="21" t="s">
        <v>255</v>
      </c>
      <c r="J43" s="28">
        <f t="shared" si="2"/>
        <v>0.15502731051151392</v>
      </c>
      <c r="K43" s="9"/>
      <c r="L43" s="9"/>
      <c r="M43" s="9" t="s">
        <v>256</v>
      </c>
      <c r="N43" s="48">
        <f t="shared" si="4"/>
        <v>3847902.656839909</v>
      </c>
      <c r="O43" s="48">
        <f t="shared" si="4"/>
        <v>3891703.0691519603</v>
      </c>
      <c r="P43" s="9"/>
      <c r="Q43" s="135">
        <f t="shared" si="3"/>
        <v>3891703.0691519603</v>
      </c>
    </row>
    <row r="44" spans="3:17" x14ac:dyDescent="0.25">
      <c r="C44" s="9" t="s">
        <v>183</v>
      </c>
      <c r="D44" s="9" t="s">
        <v>260</v>
      </c>
      <c r="E44" s="9" t="s">
        <v>167</v>
      </c>
      <c r="F44" s="21" t="s">
        <v>254</v>
      </c>
      <c r="G44" s="38" t="str">
        <f t="shared" si="0"/>
        <v/>
      </c>
      <c r="H44" s="9"/>
      <c r="I44" s="21" t="s">
        <v>255</v>
      </c>
      <c r="J44" s="28" t="str">
        <f t="shared" si="2"/>
        <v/>
      </c>
      <c r="K44" s="9"/>
      <c r="L44" s="9"/>
      <c r="M44" s="9" t="s">
        <v>256</v>
      </c>
      <c r="N44" s="48">
        <f t="shared" si="4"/>
        <v>723114</v>
      </c>
      <c r="O44" s="48">
        <f t="shared" si="4"/>
        <v>736848</v>
      </c>
      <c r="P44" s="9"/>
      <c r="Q44" s="135">
        <f t="shared" si="3"/>
        <v>0</v>
      </c>
    </row>
    <row r="45" spans="3:17" x14ac:dyDescent="0.25">
      <c r="C45" s="9" t="s">
        <v>183</v>
      </c>
      <c r="D45" s="9" t="s">
        <v>261</v>
      </c>
      <c r="E45" s="9" t="s">
        <v>249</v>
      </c>
      <c r="F45" s="21" t="s">
        <v>254</v>
      </c>
      <c r="G45" s="38" t="str">
        <f t="shared" si="0"/>
        <v/>
      </c>
      <c r="H45" s="9"/>
      <c r="I45" s="21" t="s">
        <v>255</v>
      </c>
      <c r="J45" s="28" t="str">
        <f t="shared" si="2"/>
        <v/>
      </c>
      <c r="K45" s="9"/>
      <c r="L45" s="9"/>
      <c r="M45" s="9" t="s">
        <v>256</v>
      </c>
      <c r="N45" s="48">
        <f t="shared" si="4"/>
        <v>5662904</v>
      </c>
      <c r="O45" s="48">
        <f t="shared" si="4"/>
        <v>5789272</v>
      </c>
      <c r="P45" s="9"/>
      <c r="Q45" s="135">
        <f t="shared" si="3"/>
        <v>0</v>
      </c>
    </row>
    <row r="46" spans="3:17" x14ac:dyDescent="0.25">
      <c r="C46" s="9" t="s">
        <v>183</v>
      </c>
      <c r="D46" s="9" t="s">
        <v>189</v>
      </c>
      <c r="E46" s="9" t="s">
        <v>190</v>
      </c>
      <c r="F46" s="21" t="s">
        <v>254</v>
      </c>
      <c r="G46" s="38">
        <f t="shared" si="0"/>
        <v>0.76</v>
      </c>
      <c r="H46" s="9"/>
      <c r="I46" s="21" t="s">
        <v>255</v>
      </c>
      <c r="J46" s="28">
        <f t="shared" si="2"/>
        <v>0.25203467319021772</v>
      </c>
      <c r="K46" s="9"/>
      <c r="L46" s="9"/>
      <c r="M46" s="9" t="s">
        <v>256</v>
      </c>
      <c r="N46" s="48">
        <f t="shared" si="4"/>
        <v>3015458.1128859455</v>
      </c>
      <c r="O46" s="48">
        <f t="shared" si="4"/>
        <v>3065202.8522729091</v>
      </c>
      <c r="P46" s="9"/>
      <c r="Q46" s="135">
        <f t="shared" si="3"/>
        <v>3065202.8522729091</v>
      </c>
    </row>
    <row r="47" spans="3:17" x14ac:dyDescent="0.25">
      <c r="C47" s="9" t="s">
        <v>183</v>
      </c>
      <c r="D47" s="9" t="s">
        <v>262</v>
      </c>
      <c r="E47" s="9" t="s">
        <v>252</v>
      </c>
      <c r="F47" s="21" t="s">
        <v>254</v>
      </c>
      <c r="G47" s="38">
        <f t="shared" si="0"/>
        <v>0.17757064339258521</v>
      </c>
      <c r="H47" s="9"/>
      <c r="I47" s="21" t="s">
        <v>255</v>
      </c>
      <c r="J47" s="28">
        <f t="shared" si="2"/>
        <v>0.13065301503904803</v>
      </c>
      <c r="K47" s="9"/>
      <c r="L47" s="9"/>
      <c r="M47" s="9" t="s">
        <v>256</v>
      </c>
      <c r="N47" s="48">
        <f t="shared" si="4"/>
        <v>1359101</v>
      </c>
      <c r="O47" s="48">
        <f t="shared" si="4"/>
        <v>1378874</v>
      </c>
      <c r="P47" s="9"/>
      <c r="Q47" s="135">
        <f t="shared" si="3"/>
        <v>1378874</v>
      </c>
    </row>
    <row r="48" spans="3:17" x14ac:dyDescent="0.25">
      <c r="C48" s="9" t="s">
        <v>183</v>
      </c>
      <c r="D48" s="9" t="s">
        <v>191</v>
      </c>
      <c r="E48" s="9" t="s">
        <v>169</v>
      </c>
      <c r="F48" s="21" t="s">
        <v>254</v>
      </c>
      <c r="G48" s="38">
        <f t="shared" si="0"/>
        <v>0.26</v>
      </c>
      <c r="H48" s="9"/>
      <c r="I48" s="21" t="s">
        <v>255</v>
      </c>
      <c r="J48" s="28">
        <f t="shared" si="2"/>
        <v>0.21370559752496041</v>
      </c>
      <c r="K48" s="9"/>
      <c r="L48" s="9"/>
      <c r="M48" s="9" t="s">
        <v>256</v>
      </c>
      <c r="N48" s="48">
        <f t="shared" si="4"/>
        <v>1216627</v>
      </c>
      <c r="O48" s="48">
        <f t="shared" si="4"/>
        <v>1240117</v>
      </c>
      <c r="P48" s="9"/>
      <c r="Q48" s="135">
        <f t="shared" si="3"/>
        <v>1240117</v>
      </c>
    </row>
    <row r="49" spans="3:17" x14ac:dyDescent="0.25">
      <c r="C49" s="9" t="s">
        <v>183</v>
      </c>
      <c r="D49" s="9" t="s">
        <v>192</v>
      </c>
      <c r="E49" s="9" t="s">
        <v>171</v>
      </c>
      <c r="F49" s="21" t="s">
        <v>254</v>
      </c>
      <c r="G49" s="38">
        <f t="shared" si="0"/>
        <v>0.43614199999999997</v>
      </c>
      <c r="H49" s="9"/>
      <c r="I49" s="21" t="s">
        <v>255</v>
      </c>
      <c r="J49" s="28">
        <f t="shared" si="2"/>
        <v>0.20294972347796547</v>
      </c>
      <c r="K49" s="9"/>
      <c r="L49" s="9"/>
      <c r="M49" s="9" t="s">
        <v>256</v>
      </c>
      <c r="N49" s="48">
        <f t="shared" si="4"/>
        <v>2149015</v>
      </c>
      <c r="O49" s="48">
        <f t="shared" si="4"/>
        <v>2188885</v>
      </c>
      <c r="P49" s="9"/>
      <c r="Q49" s="135">
        <f t="shared" si="3"/>
        <v>2188885</v>
      </c>
    </row>
    <row r="50" spans="3:17" x14ac:dyDescent="0.25">
      <c r="C50" s="9" t="s">
        <v>196</v>
      </c>
      <c r="D50" s="9" t="s">
        <v>263</v>
      </c>
      <c r="E50" s="9" t="s">
        <v>157</v>
      </c>
      <c r="F50" s="9" t="s">
        <v>264</v>
      </c>
      <c r="G50" s="38">
        <f t="shared" si="0"/>
        <v>10.99377</v>
      </c>
      <c r="H50" s="9"/>
      <c r="I50" s="9" t="s">
        <v>264</v>
      </c>
      <c r="J50" s="28">
        <f t="shared" si="2"/>
        <v>4.0419594611735459</v>
      </c>
      <c r="K50" s="9"/>
      <c r="L50" s="9"/>
      <c r="M50" s="9" t="s">
        <v>256</v>
      </c>
      <c r="N50" s="48">
        <f t="shared" si="4"/>
        <v>2719911</v>
      </c>
      <c r="O50" s="48">
        <f t="shared" si="4"/>
        <v>2803321</v>
      </c>
      <c r="P50" s="9"/>
      <c r="Q50" s="135">
        <f t="shared" si="3"/>
        <v>2803321</v>
      </c>
    </row>
    <row r="51" spans="3:17" x14ac:dyDescent="0.25">
      <c r="C51" s="9" t="s">
        <v>196</v>
      </c>
      <c r="D51" s="9" t="s">
        <v>265</v>
      </c>
      <c r="E51" s="9" t="s">
        <v>237</v>
      </c>
      <c r="F51" s="9" t="s">
        <v>264</v>
      </c>
      <c r="G51" s="38">
        <f t="shared" si="0"/>
        <v>3.5438361200507487E-2</v>
      </c>
      <c r="H51" s="9"/>
      <c r="I51" s="9" t="s">
        <v>264</v>
      </c>
      <c r="J51" s="28">
        <f t="shared" si="2"/>
        <v>1.8986531583448962</v>
      </c>
      <c r="K51" s="9"/>
      <c r="L51" s="9"/>
      <c r="M51" s="9" t="s">
        <v>256</v>
      </c>
      <c r="N51" s="48">
        <f t="shared" si="4"/>
        <v>18665</v>
      </c>
      <c r="O51" s="48">
        <f t="shared" si="4"/>
        <v>18984</v>
      </c>
      <c r="P51" s="9"/>
      <c r="Q51" s="135">
        <f t="shared" si="3"/>
        <v>18984</v>
      </c>
    </row>
    <row r="52" spans="3:17" x14ac:dyDescent="0.25">
      <c r="C52" s="9" t="s">
        <v>196</v>
      </c>
      <c r="D52" s="9" t="s">
        <v>266</v>
      </c>
      <c r="E52" s="9" t="s">
        <v>186</v>
      </c>
      <c r="F52" s="9" t="s">
        <v>264</v>
      </c>
      <c r="G52" s="38">
        <f t="shared" ref="G52:G83" si="5">INDEX(ODI_out,MATCH(D52,ODI_ID,0))</f>
        <v>2.5227556481149009</v>
      </c>
      <c r="H52" s="9"/>
      <c r="I52" s="9" t="s">
        <v>264</v>
      </c>
      <c r="J52" s="28">
        <f t="shared" ref="J52:J83" si="6">IF(G52="","",(G52/N52)*million)</f>
        <v>2.1330333844997251</v>
      </c>
      <c r="K52" s="9"/>
      <c r="L52" s="9"/>
      <c r="M52" s="9" t="s">
        <v>256</v>
      </c>
      <c r="N52" s="48">
        <f t="shared" si="4"/>
        <v>1182708</v>
      </c>
      <c r="O52" s="48">
        <f t="shared" si="4"/>
        <v>1199146</v>
      </c>
      <c r="P52" s="9"/>
      <c r="Q52" s="135">
        <f t="shared" si="3"/>
        <v>1199146</v>
      </c>
    </row>
    <row r="53" spans="3:17" x14ac:dyDescent="0.25">
      <c r="C53" s="9" t="s">
        <v>196</v>
      </c>
      <c r="D53" s="9" t="s">
        <v>267</v>
      </c>
      <c r="E53" s="9" t="s">
        <v>205</v>
      </c>
      <c r="F53" s="9" t="s">
        <v>264</v>
      </c>
      <c r="G53" s="38">
        <f t="shared" si="5"/>
        <v>5.5566932043731132</v>
      </c>
      <c r="H53" s="9"/>
      <c r="I53" s="9" t="s">
        <v>264</v>
      </c>
      <c r="J53" s="28">
        <f t="shared" si="6"/>
        <v>2.8707651444828945</v>
      </c>
      <c r="K53" s="9"/>
      <c r="L53" s="9"/>
      <c r="M53" s="9" t="s">
        <v>256</v>
      </c>
      <c r="N53" s="48">
        <f t="shared" si="4"/>
        <v>1935614</v>
      </c>
      <c r="O53" s="48">
        <f t="shared" si="4"/>
        <v>1978945</v>
      </c>
      <c r="P53" s="9"/>
      <c r="Q53" s="135">
        <f t="shared" si="3"/>
        <v>1978945</v>
      </c>
    </row>
    <row r="54" spans="3:17" x14ac:dyDescent="0.25">
      <c r="C54" s="9" t="s">
        <v>196</v>
      </c>
      <c r="D54" s="21" t="s">
        <v>197</v>
      </c>
      <c r="E54" s="21" t="s">
        <v>198</v>
      </c>
      <c r="F54" s="9" t="s">
        <v>264</v>
      </c>
      <c r="G54" s="38">
        <f t="shared" si="5"/>
        <v>18.72</v>
      </c>
      <c r="H54" s="9"/>
      <c r="I54" s="9" t="s">
        <v>264</v>
      </c>
      <c r="J54" s="28">
        <f t="shared" si="6"/>
        <v>4.8649879348491112</v>
      </c>
      <c r="K54" s="9"/>
      <c r="L54" s="9"/>
      <c r="M54" s="9" t="s">
        <v>256</v>
      </c>
      <c r="N54" s="48">
        <f t="shared" si="4"/>
        <v>3847902.656839909</v>
      </c>
      <c r="O54" s="48">
        <f t="shared" si="4"/>
        <v>3891703.0691519603</v>
      </c>
      <c r="P54" s="9"/>
      <c r="Q54" s="135">
        <f t="shared" si="3"/>
        <v>3891703.0691519603</v>
      </c>
    </row>
    <row r="55" spans="3:17" x14ac:dyDescent="0.25">
      <c r="C55" s="9" t="s">
        <v>196</v>
      </c>
      <c r="D55" s="21" t="s">
        <v>200</v>
      </c>
      <c r="E55" s="21" t="s">
        <v>167</v>
      </c>
      <c r="F55" s="9" t="s">
        <v>264</v>
      </c>
      <c r="G55" s="38">
        <f t="shared" si="5"/>
        <v>3.52</v>
      </c>
      <c r="H55" s="9"/>
      <c r="I55" s="9" t="s">
        <v>264</v>
      </c>
      <c r="J55" s="28">
        <f t="shared" si="6"/>
        <v>4.8678355003498757</v>
      </c>
      <c r="K55" s="9"/>
      <c r="L55" s="9"/>
      <c r="M55" s="9" t="s">
        <v>256</v>
      </c>
      <c r="N55" s="48">
        <f t="shared" si="4"/>
        <v>723114</v>
      </c>
      <c r="O55" s="48">
        <f t="shared" si="4"/>
        <v>736848</v>
      </c>
      <c r="P55" s="9"/>
      <c r="Q55" s="135">
        <f t="shared" si="3"/>
        <v>736848</v>
      </c>
    </row>
    <row r="56" spans="3:17" x14ac:dyDescent="0.25">
      <c r="C56" s="9" t="s">
        <v>196</v>
      </c>
      <c r="D56" s="21" t="s">
        <v>268</v>
      </c>
      <c r="E56" s="21" t="s">
        <v>249</v>
      </c>
      <c r="F56" s="9" t="s">
        <v>264</v>
      </c>
      <c r="G56" s="38">
        <f t="shared" si="5"/>
        <v>16.761600742208557</v>
      </c>
      <c r="H56" s="9"/>
      <c r="I56" s="9" t="s">
        <v>264</v>
      </c>
      <c r="J56" s="28">
        <f t="shared" si="6"/>
        <v>2.9598949129648955</v>
      </c>
      <c r="K56" s="9"/>
      <c r="L56" s="9"/>
      <c r="M56" s="9" t="s">
        <v>256</v>
      </c>
      <c r="N56" s="48">
        <f t="shared" si="4"/>
        <v>5662904</v>
      </c>
      <c r="O56" s="48">
        <f t="shared" si="4"/>
        <v>5789272</v>
      </c>
      <c r="P56" s="9"/>
      <c r="Q56" s="135">
        <f t="shared" si="3"/>
        <v>5789272</v>
      </c>
    </row>
    <row r="57" spans="3:17" x14ac:dyDescent="0.25">
      <c r="C57" s="9" t="s">
        <v>196</v>
      </c>
      <c r="D57" s="21" t="s">
        <v>269</v>
      </c>
      <c r="E57" s="21" t="s">
        <v>190</v>
      </c>
      <c r="F57" s="9" t="s">
        <v>264</v>
      </c>
      <c r="G57" s="38">
        <f t="shared" si="5"/>
        <v>6.7514563454446748</v>
      </c>
      <c r="H57" s="9"/>
      <c r="I57" s="9" t="s">
        <v>264</v>
      </c>
      <c r="J57" s="28">
        <f t="shared" si="6"/>
        <v>2.2389488073449608</v>
      </c>
      <c r="K57" s="9"/>
      <c r="L57" s="9"/>
      <c r="M57" s="9" t="s">
        <v>256</v>
      </c>
      <c r="N57" s="48">
        <f t="shared" si="4"/>
        <v>3015458.1128859455</v>
      </c>
      <c r="O57" s="48">
        <f t="shared" si="4"/>
        <v>3065202.8522729091</v>
      </c>
      <c r="P57" s="9"/>
      <c r="Q57" s="135">
        <f t="shared" si="3"/>
        <v>3065202.8522729091</v>
      </c>
    </row>
    <row r="58" spans="3:17" x14ac:dyDescent="0.25">
      <c r="C58" s="9" t="s">
        <v>196</v>
      </c>
      <c r="D58" s="21" t="s">
        <v>270</v>
      </c>
      <c r="E58" s="21" t="s">
        <v>252</v>
      </c>
      <c r="F58" s="9" t="s">
        <v>264</v>
      </c>
      <c r="G58" s="38">
        <f t="shared" si="5"/>
        <v>4.2733933710078098</v>
      </c>
      <c r="H58" s="9"/>
      <c r="I58" s="9" t="s">
        <v>264</v>
      </c>
      <c r="J58" s="28">
        <f t="shared" si="6"/>
        <v>3.1442794693019946</v>
      </c>
      <c r="K58" s="9"/>
      <c r="L58" s="9"/>
      <c r="M58" s="9" t="s">
        <v>256</v>
      </c>
      <c r="N58" s="48">
        <f t="shared" si="4"/>
        <v>1359101</v>
      </c>
      <c r="O58" s="48">
        <f t="shared" si="4"/>
        <v>1378874</v>
      </c>
      <c r="P58" s="9"/>
      <c r="Q58" s="135">
        <f t="shared" si="3"/>
        <v>1378874</v>
      </c>
    </row>
    <row r="59" spans="3:17" x14ac:dyDescent="0.25">
      <c r="C59" s="9" t="s">
        <v>196</v>
      </c>
      <c r="D59" s="21" t="s">
        <v>201</v>
      </c>
      <c r="E59" s="21" t="s">
        <v>169</v>
      </c>
      <c r="F59" s="9" t="s">
        <v>264</v>
      </c>
      <c r="G59" s="38">
        <f t="shared" si="5"/>
        <v>5.6896105026868344</v>
      </c>
      <c r="H59" s="9"/>
      <c r="I59" s="9" t="s">
        <v>264</v>
      </c>
      <c r="J59" s="28">
        <f t="shared" si="6"/>
        <v>4.6765446621576165</v>
      </c>
      <c r="K59" s="9"/>
      <c r="L59" s="9"/>
      <c r="M59" s="9" t="s">
        <v>256</v>
      </c>
      <c r="N59" s="48">
        <f t="shared" si="4"/>
        <v>1216627</v>
      </c>
      <c r="O59" s="48">
        <f t="shared" si="4"/>
        <v>1240117</v>
      </c>
      <c r="P59" s="9"/>
      <c r="Q59" s="135">
        <f t="shared" si="3"/>
        <v>1240117</v>
      </c>
    </row>
    <row r="60" spans="3:17" x14ac:dyDescent="0.25">
      <c r="C60" s="9" t="s">
        <v>196</v>
      </c>
      <c r="D60" s="21" t="s">
        <v>271</v>
      </c>
      <c r="E60" s="21" t="s">
        <v>171</v>
      </c>
      <c r="F60" s="9" t="s">
        <v>264</v>
      </c>
      <c r="G60" s="38">
        <f t="shared" si="5"/>
        <v>8.4349380000000007</v>
      </c>
      <c r="H60" s="9"/>
      <c r="I60" s="9" t="s">
        <v>264</v>
      </c>
      <c r="J60" s="28">
        <f t="shared" si="6"/>
        <v>3.9250251859572876</v>
      </c>
      <c r="K60" s="9"/>
      <c r="L60" s="9"/>
      <c r="M60" s="9" t="s">
        <v>256</v>
      </c>
      <c r="N60" s="48">
        <f t="shared" ref="N60:O79" si="7">IF(OR($E60=$E$24,$E60=$E$25,$E60=$E$30,$E60=$E$31),INDEX(Leakage_properties,MATCH($E60,Leakage_properties_companies,0),MATCH(N$18,Companydata_years,0)),IF($M60="Water",INDEX(Households_water,MATCH($E60,Households_water_company,0),MATCH(N$18,Companydata_years,0)),INDEX(Households_waste,MATCH($E60,Households_waste_company,0),MATCH(N$18,Companydata_years,0))))</f>
        <v>2149015</v>
      </c>
      <c r="O60" s="48">
        <f t="shared" si="7"/>
        <v>2188885</v>
      </c>
      <c r="P60" s="9"/>
      <c r="Q60" s="135">
        <f t="shared" si="3"/>
        <v>2188885</v>
      </c>
    </row>
    <row r="61" spans="3:17" x14ac:dyDescent="0.25">
      <c r="C61" s="9" t="s">
        <v>203</v>
      </c>
      <c r="D61" s="9" t="s">
        <v>272</v>
      </c>
      <c r="E61" s="9" t="s">
        <v>231</v>
      </c>
      <c r="F61" s="9" t="s">
        <v>206</v>
      </c>
      <c r="G61" s="38">
        <f t="shared" si="5"/>
        <v>0.272646</v>
      </c>
      <c r="H61" s="9"/>
      <c r="I61" s="9" t="s">
        <v>273</v>
      </c>
      <c r="J61" s="28">
        <f t="shared" si="6"/>
        <v>0.18862909296198721</v>
      </c>
      <c r="K61" s="9"/>
      <c r="L61" s="9"/>
      <c r="M61" s="9" t="s">
        <v>233</v>
      </c>
      <c r="N61" s="48">
        <f t="shared" si="7"/>
        <v>1445408</v>
      </c>
      <c r="O61" s="48">
        <f t="shared" si="7"/>
        <v>1478856</v>
      </c>
      <c r="P61" s="9"/>
      <c r="Q61" s="135">
        <f t="shared" si="3"/>
        <v>1478856</v>
      </c>
    </row>
    <row r="62" spans="3:17" x14ac:dyDescent="0.25">
      <c r="C62" s="9" t="s">
        <v>203</v>
      </c>
      <c r="D62" s="9" t="s">
        <v>274</v>
      </c>
      <c r="E62" s="9" t="s">
        <v>157</v>
      </c>
      <c r="F62" s="9" t="s">
        <v>206</v>
      </c>
      <c r="G62" s="38">
        <f t="shared" si="5"/>
        <v>0.31153210086508809</v>
      </c>
      <c r="H62" s="9"/>
      <c r="I62" s="9" t="s">
        <v>273</v>
      </c>
      <c r="J62" s="28">
        <f t="shared" si="6"/>
        <v>0.1472710860135665</v>
      </c>
      <c r="K62" s="9"/>
      <c r="L62" s="9"/>
      <c r="M62" s="9" t="s">
        <v>233</v>
      </c>
      <c r="N62" s="48">
        <f t="shared" si="7"/>
        <v>2115365</v>
      </c>
      <c r="O62" s="48">
        <f t="shared" si="7"/>
        <v>2188385</v>
      </c>
      <c r="P62" s="9"/>
      <c r="Q62" s="135">
        <f t="shared" si="3"/>
        <v>2188385</v>
      </c>
    </row>
    <row r="63" spans="3:17" x14ac:dyDescent="0.25">
      <c r="C63" s="9" t="s">
        <v>203</v>
      </c>
      <c r="D63" s="9" t="s">
        <v>275</v>
      </c>
      <c r="E63" s="9" t="s">
        <v>235</v>
      </c>
      <c r="F63" s="9" t="s">
        <v>206</v>
      </c>
      <c r="G63" s="38">
        <f t="shared" si="5"/>
        <v>5.5500000000000001E-2</v>
      </c>
      <c r="H63" s="9"/>
      <c r="I63" s="9" t="s">
        <v>273</v>
      </c>
      <c r="J63" s="28">
        <f t="shared" si="6"/>
        <v>0.10683637287626616</v>
      </c>
      <c r="K63" s="9"/>
      <c r="L63" s="9"/>
      <c r="M63" s="9" t="s">
        <v>233</v>
      </c>
      <c r="N63" s="48">
        <f t="shared" si="7"/>
        <v>519486</v>
      </c>
      <c r="O63" s="48">
        <f t="shared" si="7"/>
        <v>530110</v>
      </c>
      <c r="P63" s="9"/>
      <c r="Q63" s="135">
        <f t="shared" si="3"/>
        <v>530110</v>
      </c>
    </row>
    <row r="64" spans="3:17" x14ac:dyDescent="0.25">
      <c r="C64" s="9" t="s">
        <v>203</v>
      </c>
      <c r="D64" s="9" t="s">
        <v>276</v>
      </c>
      <c r="E64" s="9" t="s">
        <v>237</v>
      </c>
      <c r="F64" s="9" t="s">
        <v>206</v>
      </c>
      <c r="G64" s="38" t="str">
        <f t="shared" si="5"/>
        <v/>
      </c>
      <c r="H64" s="9"/>
      <c r="I64" s="9" t="s">
        <v>273</v>
      </c>
      <c r="J64" s="28" t="str">
        <f t="shared" si="6"/>
        <v/>
      </c>
      <c r="K64" s="9"/>
      <c r="L64" s="9"/>
      <c r="M64" s="9" t="s">
        <v>233</v>
      </c>
      <c r="N64" s="48">
        <f t="shared" si="7"/>
        <v>94474</v>
      </c>
      <c r="O64" s="48">
        <f t="shared" si="7"/>
        <v>95518</v>
      </c>
      <c r="P64" s="9"/>
      <c r="Q64" s="135">
        <f t="shared" si="3"/>
        <v>0</v>
      </c>
    </row>
    <row r="65" spans="3:17" x14ac:dyDescent="0.25">
      <c r="C65" s="9" t="s">
        <v>203</v>
      </c>
      <c r="D65" s="9" t="s">
        <v>277</v>
      </c>
      <c r="E65" s="9" t="s">
        <v>186</v>
      </c>
      <c r="F65" s="9" t="s">
        <v>206</v>
      </c>
      <c r="G65" s="38">
        <f t="shared" si="5"/>
        <v>0.17452699999999999</v>
      </c>
      <c r="H65" s="9"/>
      <c r="I65" s="9" t="s">
        <v>273</v>
      </c>
      <c r="J65" s="28">
        <f t="shared" si="6"/>
        <v>9.1000100632105174E-2</v>
      </c>
      <c r="K65" s="9"/>
      <c r="L65" s="9"/>
      <c r="M65" s="9" t="s">
        <v>233</v>
      </c>
      <c r="N65" s="48">
        <f t="shared" si="7"/>
        <v>1917877</v>
      </c>
      <c r="O65" s="48">
        <f t="shared" si="7"/>
        <v>1950799</v>
      </c>
      <c r="P65" s="9"/>
      <c r="Q65" s="135">
        <f t="shared" si="3"/>
        <v>1950799</v>
      </c>
    </row>
    <row r="66" spans="3:17" x14ac:dyDescent="0.25">
      <c r="C66" s="9" t="s">
        <v>203</v>
      </c>
      <c r="D66" s="9" t="s">
        <v>278</v>
      </c>
      <c r="E66" s="9" t="s">
        <v>239</v>
      </c>
      <c r="F66" s="9" t="s">
        <v>206</v>
      </c>
      <c r="G66" s="38">
        <f t="shared" si="5"/>
        <v>2.7730882560612648E-2</v>
      </c>
      <c r="H66" s="9"/>
      <c r="I66" s="9" t="s">
        <v>273</v>
      </c>
      <c r="J66" s="28">
        <f t="shared" si="6"/>
        <v>9.1235014181979435E-2</v>
      </c>
      <c r="K66" s="9"/>
      <c r="L66" s="9"/>
      <c r="M66" s="9" t="s">
        <v>233</v>
      </c>
      <c r="N66" s="48">
        <f t="shared" si="7"/>
        <v>303950</v>
      </c>
      <c r="O66" s="48">
        <f t="shared" si="7"/>
        <v>307834</v>
      </c>
      <c r="P66" s="9"/>
      <c r="Q66" s="135">
        <f t="shared" si="3"/>
        <v>307834</v>
      </c>
    </row>
    <row r="67" spans="3:17" x14ac:dyDescent="0.25">
      <c r="C67" s="9" t="s">
        <v>203</v>
      </c>
      <c r="D67" s="9" t="s">
        <v>279</v>
      </c>
      <c r="E67" s="9" t="s">
        <v>165</v>
      </c>
      <c r="F67" s="9" t="s">
        <v>206</v>
      </c>
      <c r="G67" s="38" t="str">
        <f t="shared" si="5"/>
        <v/>
      </c>
      <c r="H67" s="9"/>
      <c r="I67" s="9" t="s">
        <v>273</v>
      </c>
      <c r="J67" s="28" t="str">
        <f t="shared" si="6"/>
        <v/>
      </c>
      <c r="K67" s="9"/>
      <c r="L67" s="9"/>
      <c r="M67" s="9" t="s">
        <v>233</v>
      </c>
      <c r="N67" s="48">
        <f t="shared" si="7"/>
        <v>281631</v>
      </c>
      <c r="O67" s="48">
        <f t="shared" si="7"/>
        <v>286862</v>
      </c>
      <c r="P67" s="9"/>
      <c r="Q67" s="135">
        <f t="shared" si="3"/>
        <v>0</v>
      </c>
    </row>
    <row r="68" spans="3:17" x14ac:dyDescent="0.25">
      <c r="C68" s="9" t="s">
        <v>203</v>
      </c>
      <c r="D68" s="9" t="s">
        <v>280</v>
      </c>
      <c r="E68" s="9" t="s">
        <v>241</v>
      </c>
      <c r="F68" s="9" t="s">
        <v>206</v>
      </c>
      <c r="G68" s="38">
        <f t="shared" si="5"/>
        <v>0.136069</v>
      </c>
      <c r="H68" s="9"/>
      <c r="I68" s="9" t="s">
        <v>273</v>
      </c>
      <c r="J68" s="28">
        <f t="shared" si="6"/>
        <v>0.15180223950948116</v>
      </c>
      <c r="K68" s="9"/>
      <c r="L68" s="9"/>
      <c r="M68" s="9" t="s">
        <v>233</v>
      </c>
      <c r="N68" s="48">
        <f t="shared" si="7"/>
        <v>896357</v>
      </c>
      <c r="O68" s="48">
        <f t="shared" si="7"/>
        <v>914182</v>
      </c>
      <c r="P68" s="9"/>
      <c r="Q68" s="135">
        <f t="shared" si="3"/>
        <v>914182</v>
      </c>
    </row>
    <row r="69" spans="3:17" x14ac:dyDescent="0.25">
      <c r="C69" s="9" t="s">
        <v>203</v>
      </c>
      <c r="D69" s="9" t="s">
        <v>204</v>
      </c>
      <c r="E69" s="9" t="s">
        <v>205</v>
      </c>
      <c r="F69" s="9" t="s">
        <v>206</v>
      </c>
      <c r="G69" s="38">
        <f t="shared" si="5"/>
        <v>7.0148181521278968E-2</v>
      </c>
      <c r="H69" s="9"/>
      <c r="I69" s="9" t="s">
        <v>273</v>
      </c>
      <c r="J69" s="28">
        <f t="shared" si="6"/>
        <v>6.5063109161641694E-2</v>
      </c>
      <c r="K69" s="9"/>
      <c r="L69" s="9"/>
      <c r="M69" s="9" t="s">
        <v>233</v>
      </c>
      <c r="N69" s="48">
        <f t="shared" si="7"/>
        <v>1078156</v>
      </c>
      <c r="O69" s="48">
        <f t="shared" si="7"/>
        <v>1103495</v>
      </c>
      <c r="P69" s="9"/>
      <c r="Q69" s="135">
        <f t="shared" si="3"/>
        <v>1103495</v>
      </c>
    </row>
    <row r="70" spans="3:17" x14ac:dyDescent="0.25">
      <c r="C70" s="9" t="s">
        <v>203</v>
      </c>
      <c r="D70" s="9" t="s">
        <v>281</v>
      </c>
      <c r="E70" s="21" t="s">
        <v>244</v>
      </c>
      <c r="F70" s="9" t="s">
        <v>206</v>
      </c>
      <c r="G70" s="38">
        <f t="shared" si="5"/>
        <v>0.12467300000000001</v>
      </c>
      <c r="H70" s="9"/>
      <c r="I70" s="9" t="s">
        <v>273</v>
      </c>
      <c r="J70" s="28">
        <f t="shared" si="6"/>
        <v>0.20044438513592816</v>
      </c>
      <c r="K70" s="9"/>
      <c r="L70" s="9"/>
      <c r="M70" s="9" t="s">
        <v>233</v>
      </c>
      <c r="N70" s="48">
        <f t="shared" si="7"/>
        <v>621983</v>
      </c>
      <c r="O70" s="48">
        <f t="shared" si="7"/>
        <v>633097</v>
      </c>
      <c r="P70" s="9"/>
      <c r="Q70" s="135">
        <f t="shared" si="3"/>
        <v>633097</v>
      </c>
    </row>
    <row r="71" spans="3:17" x14ac:dyDescent="0.25">
      <c r="C71" s="9" t="s">
        <v>203</v>
      </c>
      <c r="D71" s="9" t="s">
        <v>282</v>
      </c>
      <c r="E71" s="21" t="s">
        <v>246</v>
      </c>
      <c r="F71" s="9" t="s">
        <v>206</v>
      </c>
      <c r="G71" s="38">
        <f t="shared" si="5"/>
        <v>2.1189E-2</v>
      </c>
      <c r="H71" s="9"/>
      <c r="I71" s="9" t="s">
        <v>273</v>
      </c>
      <c r="J71" s="28">
        <f t="shared" si="6"/>
        <v>0.13464703527423158</v>
      </c>
      <c r="K71" s="9"/>
      <c r="L71" s="9"/>
      <c r="M71" s="9" t="s">
        <v>233</v>
      </c>
      <c r="N71" s="48">
        <f t="shared" si="7"/>
        <v>157367</v>
      </c>
      <c r="O71" s="48">
        <f t="shared" si="7"/>
        <v>161695</v>
      </c>
      <c r="P71" s="9"/>
      <c r="Q71" s="135">
        <f t="shared" si="3"/>
        <v>161695</v>
      </c>
    </row>
    <row r="72" spans="3:17" x14ac:dyDescent="0.25">
      <c r="C72" s="9" t="s">
        <v>203</v>
      </c>
      <c r="D72" s="9" t="s">
        <v>283</v>
      </c>
      <c r="E72" s="9" t="s">
        <v>198</v>
      </c>
      <c r="F72" s="9" t="s">
        <v>206</v>
      </c>
      <c r="G72" s="38" t="str">
        <f t="shared" si="5"/>
        <v/>
      </c>
      <c r="H72" s="9"/>
      <c r="I72" s="9" t="s">
        <v>273</v>
      </c>
      <c r="J72" s="28" t="str">
        <f t="shared" si="6"/>
        <v/>
      </c>
      <c r="K72" s="9"/>
      <c r="L72" s="9"/>
      <c r="M72" s="9" t="s">
        <v>233</v>
      </c>
      <c r="N72" s="48">
        <f t="shared" si="7"/>
        <v>3371234.610060602</v>
      </c>
      <c r="O72" s="48">
        <f t="shared" si="7"/>
        <v>3429322.8135288302</v>
      </c>
      <c r="P72" s="9"/>
      <c r="Q72" s="135">
        <f t="shared" si="3"/>
        <v>0</v>
      </c>
    </row>
    <row r="73" spans="3:17" x14ac:dyDescent="0.25">
      <c r="C73" s="9" t="s">
        <v>203</v>
      </c>
      <c r="D73" s="9" t="s">
        <v>284</v>
      </c>
      <c r="E73" s="9" t="s">
        <v>167</v>
      </c>
      <c r="F73" s="9" t="s">
        <v>206</v>
      </c>
      <c r="G73" s="38">
        <f t="shared" si="5"/>
        <v>0.25594499999999998</v>
      </c>
      <c r="H73" s="9"/>
      <c r="I73" s="9" t="s">
        <v>273</v>
      </c>
      <c r="J73" s="28">
        <f t="shared" si="6"/>
        <v>0.25929535528564579</v>
      </c>
      <c r="K73" s="9"/>
      <c r="L73" s="9"/>
      <c r="M73" s="9" t="s">
        <v>233</v>
      </c>
      <c r="N73" s="48">
        <f t="shared" si="7"/>
        <v>987079</v>
      </c>
      <c r="O73" s="48">
        <f t="shared" si="7"/>
        <v>1004729</v>
      </c>
      <c r="P73" s="9"/>
      <c r="Q73" s="135">
        <f t="shared" si="3"/>
        <v>1004729</v>
      </c>
    </row>
    <row r="74" spans="3:17" x14ac:dyDescent="0.25">
      <c r="C74" s="9" t="s">
        <v>203</v>
      </c>
      <c r="D74" s="9" t="s">
        <v>285</v>
      </c>
      <c r="E74" s="9" t="s">
        <v>249</v>
      </c>
      <c r="F74" s="9" t="s">
        <v>206</v>
      </c>
      <c r="G74" s="38">
        <f t="shared" si="5"/>
        <v>0.76042332946621305</v>
      </c>
      <c r="H74" s="9"/>
      <c r="I74" s="9" t="s">
        <v>273</v>
      </c>
      <c r="J74" s="28">
        <f t="shared" si="6"/>
        <v>0.20676487863845347</v>
      </c>
      <c r="K74" s="9"/>
      <c r="L74" s="9"/>
      <c r="M74" s="9" t="s">
        <v>233</v>
      </c>
      <c r="N74" s="48">
        <f t="shared" si="7"/>
        <v>3677720</v>
      </c>
      <c r="O74" s="48">
        <f t="shared" si="7"/>
        <v>3762746</v>
      </c>
      <c r="P74" s="9"/>
      <c r="Q74" s="135">
        <f t="shared" si="3"/>
        <v>3762746</v>
      </c>
    </row>
    <row r="75" spans="3:17" x14ac:dyDescent="0.25">
      <c r="C75" s="9" t="s">
        <v>203</v>
      </c>
      <c r="D75" s="9" t="s">
        <v>286</v>
      </c>
      <c r="E75" s="9" t="s">
        <v>190</v>
      </c>
      <c r="F75" s="9" t="s">
        <v>206</v>
      </c>
      <c r="G75" s="38">
        <f t="shared" si="5"/>
        <v>0.32985058227615549</v>
      </c>
      <c r="H75" s="9"/>
      <c r="I75" s="9" t="s">
        <v>273</v>
      </c>
      <c r="J75" s="28">
        <f t="shared" si="6"/>
        <v>0.10944098084863284</v>
      </c>
      <c r="K75" s="9"/>
      <c r="L75" s="9"/>
      <c r="M75" s="9" t="s">
        <v>233</v>
      </c>
      <c r="N75" s="48">
        <f t="shared" si="7"/>
        <v>3013958.571262897</v>
      </c>
      <c r="O75" s="48">
        <f t="shared" si="7"/>
        <v>3064807.8706498602</v>
      </c>
      <c r="P75" s="9"/>
      <c r="Q75" s="135">
        <f t="shared" si="3"/>
        <v>3064807.8706498602</v>
      </c>
    </row>
    <row r="76" spans="3:17" x14ac:dyDescent="0.25">
      <c r="C76" s="9" t="s">
        <v>203</v>
      </c>
      <c r="D76" s="9" t="s">
        <v>287</v>
      </c>
      <c r="E76" s="9" t="s">
        <v>252</v>
      </c>
      <c r="F76" s="9" t="s">
        <v>206</v>
      </c>
      <c r="G76" s="38" t="str">
        <f t="shared" si="5"/>
        <v/>
      </c>
      <c r="H76" s="9"/>
      <c r="I76" s="9" t="s">
        <v>273</v>
      </c>
      <c r="J76" s="28" t="str">
        <f t="shared" si="6"/>
        <v/>
      </c>
      <c r="K76" s="9"/>
      <c r="L76" s="9"/>
      <c r="M76" s="9" t="s">
        <v>233</v>
      </c>
      <c r="N76" s="48">
        <f t="shared" si="7"/>
        <v>1308734</v>
      </c>
      <c r="O76" s="48">
        <f t="shared" si="7"/>
        <v>1328869</v>
      </c>
      <c r="P76" s="9"/>
      <c r="Q76" s="135">
        <f t="shared" si="3"/>
        <v>0</v>
      </c>
    </row>
    <row r="77" spans="3:17" x14ac:dyDescent="0.25">
      <c r="C77" s="9" t="s">
        <v>203</v>
      </c>
      <c r="D77" s="9" t="s">
        <v>207</v>
      </c>
      <c r="E77" s="9" t="s">
        <v>169</v>
      </c>
      <c r="F77" s="9" t="s">
        <v>206</v>
      </c>
      <c r="G77" s="38">
        <f t="shared" si="5"/>
        <v>9.0999999999999998E-2</v>
      </c>
      <c r="H77" s="9"/>
      <c r="I77" s="9" t="s">
        <v>273</v>
      </c>
      <c r="J77" s="28">
        <f t="shared" si="6"/>
        <v>0.1550945139150457</v>
      </c>
      <c r="K77" s="9"/>
      <c r="L77" s="9"/>
      <c r="M77" s="9" t="s">
        <v>233</v>
      </c>
      <c r="N77" s="48">
        <f t="shared" si="7"/>
        <v>586739</v>
      </c>
      <c r="O77" s="48">
        <f t="shared" si="7"/>
        <v>598616</v>
      </c>
      <c r="P77" s="9"/>
      <c r="Q77" s="135">
        <f t="shared" si="3"/>
        <v>598616</v>
      </c>
    </row>
    <row r="78" spans="3:17" x14ac:dyDescent="0.25">
      <c r="C78" s="9" t="s">
        <v>203</v>
      </c>
      <c r="D78" s="9" t="s">
        <v>208</v>
      </c>
      <c r="E78" s="9" t="s">
        <v>171</v>
      </c>
      <c r="F78" s="9" t="s">
        <v>206</v>
      </c>
      <c r="G78" s="38">
        <f t="shared" si="5"/>
        <v>0.18502625343193327</v>
      </c>
      <c r="H78" s="9"/>
      <c r="I78" s="9" t="s">
        <v>273</v>
      </c>
      <c r="J78" s="28">
        <f t="shared" si="6"/>
        <v>8.6128586831333551E-2</v>
      </c>
      <c r="K78" s="9"/>
      <c r="L78" s="9"/>
      <c r="M78" s="9" t="s">
        <v>233</v>
      </c>
      <c r="N78" s="48">
        <f t="shared" si="7"/>
        <v>2148256</v>
      </c>
      <c r="O78" s="48">
        <f t="shared" si="7"/>
        <v>2189679</v>
      </c>
      <c r="P78" s="9"/>
      <c r="Q78" s="135">
        <f t="shared" si="3"/>
        <v>2189679</v>
      </c>
    </row>
    <row r="79" spans="3:17" x14ac:dyDescent="0.25">
      <c r="C79" s="9" t="s">
        <v>211</v>
      </c>
      <c r="D79" s="9" t="s">
        <v>288</v>
      </c>
      <c r="E79" s="9" t="s">
        <v>231</v>
      </c>
      <c r="F79" s="9" t="s">
        <v>213</v>
      </c>
      <c r="G79" s="38">
        <f t="shared" si="5"/>
        <v>0.52488000000000001</v>
      </c>
      <c r="H79" s="9"/>
      <c r="I79" s="9" t="s">
        <v>289</v>
      </c>
      <c r="J79" s="28">
        <f>IF(G79="","",(G79/N79)*million)</f>
        <v>0.3631362217450021</v>
      </c>
      <c r="K79" s="9"/>
      <c r="L79" s="9"/>
      <c r="M79" s="9" t="s">
        <v>233</v>
      </c>
      <c r="N79" s="48">
        <f t="shared" si="7"/>
        <v>1445408</v>
      </c>
      <c r="O79" s="48">
        <f t="shared" si="7"/>
        <v>1478856</v>
      </c>
      <c r="P79" s="9"/>
      <c r="Q79" s="135">
        <f t="shared" si="3"/>
        <v>1478856</v>
      </c>
    </row>
    <row r="80" spans="3:17" x14ac:dyDescent="0.25">
      <c r="C80" s="9" t="s">
        <v>211</v>
      </c>
      <c r="D80" s="9" t="s">
        <v>290</v>
      </c>
      <c r="E80" s="9" t="s">
        <v>157</v>
      </c>
      <c r="F80" s="9" t="s">
        <v>213</v>
      </c>
      <c r="G80" s="38">
        <f t="shared" si="5"/>
        <v>1.1459994547071932</v>
      </c>
      <c r="H80" s="9"/>
      <c r="I80" s="9" t="s">
        <v>289</v>
      </c>
      <c r="J80" s="28">
        <f t="shared" si="6"/>
        <v>0.54175022027271569</v>
      </c>
      <c r="K80" s="9"/>
      <c r="L80" s="9"/>
      <c r="M80" s="9" t="s">
        <v>233</v>
      </c>
      <c r="N80" s="48">
        <f t="shared" ref="N80:O95" si="8">IF(OR($E80=$E$24,$E80=$E$25,$E80=$E$30,$E80=$E$31),INDEX(Leakage_properties,MATCH($E80,Leakage_properties_companies,0),MATCH(N$18,Companydata_years,0)),IF($M80="Water",INDEX(Households_water,MATCH($E80,Households_water_company,0),MATCH(N$18,Companydata_years,0)),INDEX(Households_waste,MATCH($E80,Households_waste_company,0),MATCH(N$18,Companydata_years,0))))</f>
        <v>2115365</v>
      </c>
      <c r="O80" s="48">
        <f t="shared" si="8"/>
        <v>2188385</v>
      </c>
      <c r="P80" s="9"/>
      <c r="Q80" s="135">
        <f t="shared" si="3"/>
        <v>2188385</v>
      </c>
    </row>
    <row r="81" spans="3:17" x14ac:dyDescent="0.25">
      <c r="C81" s="9" t="s">
        <v>211</v>
      </c>
      <c r="D81" s="9" t="s">
        <v>291</v>
      </c>
      <c r="E81" s="9" t="s">
        <v>235</v>
      </c>
      <c r="F81" s="9" t="s">
        <v>213</v>
      </c>
      <c r="G81" s="38">
        <f t="shared" si="5"/>
        <v>9.5310270357579358E-2</v>
      </c>
      <c r="H81" s="9"/>
      <c r="I81" s="9" t="s">
        <v>289</v>
      </c>
      <c r="J81" s="28">
        <f t="shared" si="6"/>
        <v>0.18347033482630784</v>
      </c>
      <c r="K81" s="9"/>
      <c r="L81" s="9"/>
      <c r="M81" s="9" t="s">
        <v>233</v>
      </c>
      <c r="N81" s="48">
        <f t="shared" si="8"/>
        <v>519486</v>
      </c>
      <c r="O81" s="48">
        <f t="shared" si="8"/>
        <v>530110</v>
      </c>
      <c r="P81" s="9"/>
      <c r="Q81" s="135">
        <f t="shared" si="3"/>
        <v>530110</v>
      </c>
    </row>
    <row r="82" spans="3:17" x14ac:dyDescent="0.25">
      <c r="C82" s="9" t="s">
        <v>211</v>
      </c>
      <c r="D82" s="9" t="s">
        <v>292</v>
      </c>
      <c r="E82" s="9" t="s">
        <v>237</v>
      </c>
      <c r="F82" s="9" t="s">
        <v>213</v>
      </c>
      <c r="G82" s="38" t="str">
        <f t="shared" si="5"/>
        <v/>
      </c>
      <c r="H82" s="9"/>
      <c r="I82" s="9" t="s">
        <v>289</v>
      </c>
      <c r="J82" s="28" t="str">
        <f t="shared" si="6"/>
        <v/>
      </c>
      <c r="K82" s="9"/>
      <c r="L82" s="9"/>
      <c r="M82" s="9" t="s">
        <v>233</v>
      </c>
      <c r="N82" s="48">
        <f t="shared" si="8"/>
        <v>94474</v>
      </c>
      <c r="O82" s="48">
        <f t="shared" si="8"/>
        <v>95518</v>
      </c>
      <c r="P82" s="9"/>
      <c r="Q82" s="135">
        <f t="shared" si="3"/>
        <v>0</v>
      </c>
    </row>
    <row r="83" spans="3:17" x14ac:dyDescent="0.25">
      <c r="C83" s="9" t="s">
        <v>211</v>
      </c>
      <c r="D83" s="9" t="s">
        <v>212</v>
      </c>
      <c r="E83" s="9" t="s">
        <v>186</v>
      </c>
      <c r="F83" s="9" t="s">
        <v>213</v>
      </c>
      <c r="G83" s="38">
        <f t="shared" si="5"/>
        <v>1.0279830000000001</v>
      </c>
      <c r="H83" s="9"/>
      <c r="I83" s="9" t="s">
        <v>289</v>
      </c>
      <c r="J83" s="28">
        <f t="shared" si="6"/>
        <v>0.53600048386836074</v>
      </c>
      <c r="K83" s="9"/>
      <c r="L83" s="9"/>
      <c r="M83" s="9" t="s">
        <v>233</v>
      </c>
      <c r="N83" s="48">
        <f t="shared" si="8"/>
        <v>1917877</v>
      </c>
      <c r="O83" s="48">
        <f t="shared" si="8"/>
        <v>1950799</v>
      </c>
      <c r="P83" s="9"/>
      <c r="Q83" s="135">
        <f t="shared" si="3"/>
        <v>1950799</v>
      </c>
    </row>
    <row r="84" spans="3:17" x14ac:dyDescent="0.25">
      <c r="C84" s="9" t="s">
        <v>211</v>
      </c>
      <c r="D84" s="9" t="s">
        <v>293</v>
      </c>
      <c r="E84" s="9" t="s">
        <v>239</v>
      </c>
      <c r="F84" s="9" t="s">
        <v>213</v>
      </c>
      <c r="G84" s="38">
        <f t="shared" ref="G84:G95" si="9">INDEX(ODI_out,MATCH(D84,ODI_ID,0))</f>
        <v>6.8951584286473966E-2</v>
      </c>
      <c r="H84" s="9"/>
      <c r="I84" s="9" t="s">
        <v>289</v>
      </c>
      <c r="J84" s="28">
        <f t="shared" ref="J84:J95" si="10">IF(G84="","",(G84/N84)*million)</f>
        <v>0.22685173313529847</v>
      </c>
      <c r="K84" s="9"/>
      <c r="L84" s="9"/>
      <c r="M84" s="9" t="s">
        <v>233</v>
      </c>
      <c r="N84" s="48">
        <f t="shared" si="8"/>
        <v>303950</v>
      </c>
      <c r="O84" s="48">
        <f t="shared" si="8"/>
        <v>307834</v>
      </c>
      <c r="P84" s="9"/>
      <c r="Q84" s="135">
        <f t="shared" si="3"/>
        <v>307834</v>
      </c>
    </row>
    <row r="85" spans="3:17" x14ac:dyDescent="0.25">
      <c r="C85" s="9" t="s">
        <v>211</v>
      </c>
      <c r="D85" s="9" t="s">
        <v>214</v>
      </c>
      <c r="E85" s="9" t="s">
        <v>165</v>
      </c>
      <c r="F85" s="9" t="s">
        <v>213</v>
      </c>
      <c r="G85" s="38">
        <f t="shared" si="9"/>
        <v>0.12109334356734959</v>
      </c>
      <c r="H85" s="9"/>
      <c r="I85" s="9" t="s">
        <v>289</v>
      </c>
      <c r="J85" s="28">
        <f t="shared" si="10"/>
        <v>0.42997164221037315</v>
      </c>
      <c r="K85" s="9"/>
      <c r="L85" s="9"/>
      <c r="M85" s="9" t="s">
        <v>233</v>
      </c>
      <c r="N85" s="48">
        <f t="shared" si="8"/>
        <v>281631</v>
      </c>
      <c r="O85" s="48">
        <f t="shared" si="8"/>
        <v>286862</v>
      </c>
      <c r="P85" s="9"/>
      <c r="Q85" s="135">
        <f t="shared" ref="Q85:Q95" si="11">IF(G85="",0,O85)</f>
        <v>286862</v>
      </c>
    </row>
    <row r="86" spans="3:17" x14ac:dyDescent="0.25">
      <c r="C86" s="9" t="s">
        <v>211</v>
      </c>
      <c r="D86" s="9" t="s">
        <v>294</v>
      </c>
      <c r="E86" s="9" t="s">
        <v>241</v>
      </c>
      <c r="F86" s="9" t="s">
        <v>213</v>
      </c>
      <c r="G86" s="38">
        <f t="shared" si="9"/>
        <v>0.19038565146940598</v>
      </c>
      <c r="H86" s="9"/>
      <c r="I86" s="9" t="s">
        <v>289</v>
      </c>
      <c r="J86" s="28">
        <f t="shared" si="10"/>
        <v>0.21239935814570085</v>
      </c>
      <c r="K86" s="9"/>
      <c r="L86" s="9"/>
      <c r="M86" s="9" t="s">
        <v>233</v>
      </c>
      <c r="N86" s="48">
        <f t="shared" si="8"/>
        <v>896357</v>
      </c>
      <c r="O86" s="48">
        <f t="shared" si="8"/>
        <v>914182</v>
      </c>
      <c r="P86" s="9"/>
      <c r="Q86" s="135">
        <f t="shared" si="11"/>
        <v>914182</v>
      </c>
    </row>
    <row r="87" spans="3:17" x14ac:dyDescent="0.25">
      <c r="C87" s="9" t="s">
        <v>211</v>
      </c>
      <c r="D87" s="9" t="s">
        <v>295</v>
      </c>
      <c r="E87" s="9" t="s">
        <v>205</v>
      </c>
      <c r="F87" s="9" t="s">
        <v>213</v>
      </c>
      <c r="G87" s="38">
        <f t="shared" si="9"/>
        <v>0.24368991667372675</v>
      </c>
      <c r="H87" s="9"/>
      <c r="I87" s="9" t="s">
        <v>289</v>
      </c>
      <c r="J87" s="28">
        <f t="shared" si="10"/>
        <v>0.22602472802982757</v>
      </c>
      <c r="K87" s="9"/>
      <c r="L87" s="9"/>
      <c r="M87" s="9" t="s">
        <v>233</v>
      </c>
      <c r="N87" s="48">
        <f t="shared" si="8"/>
        <v>1078156</v>
      </c>
      <c r="O87" s="48">
        <f t="shared" si="8"/>
        <v>1103495</v>
      </c>
      <c r="P87" s="9"/>
      <c r="Q87" s="135">
        <f t="shared" si="11"/>
        <v>1103495</v>
      </c>
    </row>
    <row r="88" spans="3:17" x14ac:dyDescent="0.25">
      <c r="C88" s="9" t="s">
        <v>211</v>
      </c>
      <c r="D88" s="9" t="s">
        <v>296</v>
      </c>
      <c r="E88" s="9" t="s">
        <v>297</v>
      </c>
      <c r="F88" s="9" t="s">
        <v>213</v>
      </c>
      <c r="G88" s="38">
        <f t="shared" si="9"/>
        <v>0.19741585469466214</v>
      </c>
      <c r="H88" s="9"/>
      <c r="I88" s="9" t="s">
        <v>289</v>
      </c>
      <c r="J88" s="28">
        <f t="shared" si="10"/>
        <v>0.2761937017260907</v>
      </c>
      <c r="K88" s="9"/>
      <c r="L88" s="9"/>
      <c r="M88" s="9" t="s">
        <v>233</v>
      </c>
      <c r="N88" s="48">
        <f t="shared" si="8"/>
        <v>714773.19526440604</v>
      </c>
      <c r="O88" s="48">
        <f t="shared" si="8"/>
        <v>732251.26722597599</v>
      </c>
      <c r="P88" s="9"/>
      <c r="Q88" s="135">
        <f t="shared" si="11"/>
        <v>732251.26722597599</v>
      </c>
    </row>
    <row r="89" spans="3:17" x14ac:dyDescent="0.25">
      <c r="C89" s="9" t="s">
        <v>211</v>
      </c>
      <c r="D89" s="9" t="s">
        <v>298</v>
      </c>
      <c r="E89" s="9" t="s">
        <v>198</v>
      </c>
      <c r="F89" s="9" t="s">
        <v>213</v>
      </c>
      <c r="G89" s="38">
        <f t="shared" si="9"/>
        <v>1.081045</v>
      </c>
      <c r="H89" s="9"/>
      <c r="I89" s="9" t="s">
        <v>289</v>
      </c>
      <c r="J89" s="28">
        <f t="shared" si="10"/>
        <v>0.32066738896601649</v>
      </c>
      <c r="K89" s="9"/>
      <c r="L89" s="9"/>
      <c r="M89" s="9" t="s">
        <v>233</v>
      </c>
      <c r="N89" s="48">
        <f t="shared" si="8"/>
        <v>3371234.610060602</v>
      </c>
      <c r="O89" s="48">
        <f t="shared" si="8"/>
        <v>3429322.8135288302</v>
      </c>
      <c r="P89" s="9"/>
      <c r="Q89" s="135">
        <f t="shared" si="11"/>
        <v>3429322.8135288302</v>
      </c>
    </row>
    <row r="90" spans="3:17" x14ac:dyDescent="0.25">
      <c r="C90" s="9" t="s">
        <v>211</v>
      </c>
      <c r="D90" s="9" t="s">
        <v>299</v>
      </c>
      <c r="E90" s="9" t="s">
        <v>167</v>
      </c>
      <c r="F90" s="9" t="s">
        <v>213</v>
      </c>
      <c r="G90" s="38">
        <f t="shared" si="9"/>
        <v>9.1619000000000006E-2</v>
      </c>
      <c r="H90" s="9"/>
      <c r="I90" s="9" t="s">
        <v>289</v>
      </c>
      <c r="J90" s="28">
        <f t="shared" si="10"/>
        <v>9.2818305323079511E-2</v>
      </c>
      <c r="K90" s="9"/>
      <c r="L90" s="9"/>
      <c r="M90" s="9" t="s">
        <v>233</v>
      </c>
      <c r="N90" s="48">
        <f t="shared" si="8"/>
        <v>987079</v>
      </c>
      <c r="O90" s="48">
        <f t="shared" si="8"/>
        <v>1004729</v>
      </c>
      <c r="P90" s="9"/>
      <c r="Q90" s="135">
        <f t="shared" si="11"/>
        <v>1004729</v>
      </c>
    </row>
    <row r="91" spans="3:17" x14ac:dyDescent="0.25">
      <c r="C91" s="9" t="s">
        <v>211</v>
      </c>
      <c r="D91" s="9" t="s">
        <v>300</v>
      </c>
      <c r="E91" s="9" t="s">
        <v>249</v>
      </c>
      <c r="F91" s="9" t="s">
        <v>213</v>
      </c>
      <c r="G91" s="38">
        <f t="shared" si="9"/>
        <v>1.414577327915159</v>
      </c>
      <c r="H91" s="9"/>
      <c r="I91" s="9" t="s">
        <v>289</v>
      </c>
      <c r="J91" s="28">
        <f t="shared" si="10"/>
        <v>0.38463431906593187</v>
      </c>
      <c r="K91" s="9"/>
      <c r="L91" s="9"/>
      <c r="M91" s="9" t="s">
        <v>233</v>
      </c>
      <c r="N91" s="48">
        <f t="shared" si="8"/>
        <v>3677720</v>
      </c>
      <c r="O91" s="48">
        <f t="shared" si="8"/>
        <v>3762746</v>
      </c>
      <c r="P91" s="9"/>
      <c r="Q91" s="135">
        <f t="shared" si="11"/>
        <v>3762746</v>
      </c>
    </row>
    <row r="92" spans="3:17" x14ac:dyDescent="0.25">
      <c r="C92" s="9" t="s">
        <v>211</v>
      </c>
      <c r="D92" s="9" t="s">
        <v>301</v>
      </c>
      <c r="E92" s="9" t="s">
        <v>190</v>
      </c>
      <c r="F92" s="9" t="s">
        <v>213</v>
      </c>
      <c r="G92" s="38">
        <f t="shared" si="9"/>
        <v>0.93638120129581837</v>
      </c>
      <c r="H92" s="9"/>
      <c r="I92" s="9" t="s">
        <v>289</v>
      </c>
      <c r="J92" s="28">
        <f t="shared" si="10"/>
        <v>0.31068151043080183</v>
      </c>
      <c r="K92" s="9"/>
      <c r="L92" s="9"/>
      <c r="M92" s="9" t="s">
        <v>233</v>
      </c>
      <c r="N92" s="48">
        <f t="shared" si="8"/>
        <v>3013958.571262897</v>
      </c>
      <c r="O92" s="48">
        <f t="shared" si="8"/>
        <v>3064807.8706498602</v>
      </c>
      <c r="P92" s="9"/>
      <c r="Q92" s="135">
        <f t="shared" si="11"/>
        <v>3064807.8706498602</v>
      </c>
    </row>
    <row r="93" spans="3:17" x14ac:dyDescent="0.25">
      <c r="C93" s="9" t="s">
        <v>211</v>
      </c>
      <c r="D93" s="9" t="s">
        <v>302</v>
      </c>
      <c r="E93" s="9" t="s">
        <v>252</v>
      </c>
      <c r="F93" s="9" t="s">
        <v>213</v>
      </c>
      <c r="G93" s="38">
        <f t="shared" si="9"/>
        <v>0.61027144728810978</v>
      </c>
      <c r="H93" s="9"/>
      <c r="I93" s="9" t="s">
        <v>289</v>
      </c>
      <c r="J93" s="28">
        <f t="shared" si="10"/>
        <v>0.46630671113313304</v>
      </c>
      <c r="K93" s="9"/>
      <c r="L93" s="9"/>
      <c r="M93" s="9" t="s">
        <v>233</v>
      </c>
      <c r="N93" s="48">
        <f t="shared" si="8"/>
        <v>1308734</v>
      </c>
      <c r="O93" s="48">
        <f t="shared" si="8"/>
        <v>1328869</v>
      </c>
      <c r="P93" s="9"/>
      <c r="Q93" s="135">
        <f t="shared" si="11"/>
        <v>1328869</v>
      </c>
    </row>
    <row r="94" spans="3:17" x14ac:dyDescent="0.25">
      <c r="C94" s="9" t="s">
        <v>211</v>
      </c>
      <c r="D94" s="9" t="s">
        <v>215</v>
      </c>
      <c r="E94" s="9" t="s">
        <v>169</v>
      </c>
      <c r="F94" s="9" t="s">
        <v>213</v>
      </c>
      <c r="G94" s="38">
        <f t="shared" si="9"/>
        <v>0.1401367956670854</v>
      </c>
      <c r="H94" s="9"/>
      <c r="I94" s="9" t="s">
        <v>289</v>
      </c>
      <c r="J94" s="28">
        <f t="shared" si="10"/>
        <v>0.23884009017141422</v>
      </c>
      <c r="K94" s="9"/>
      <c r="L94" s="9"/>
      <c r="M94" s="9" t="s">
        <v>233</v>
      </c>
      <c r="N94" s="48">
        <f t="shared" si="8"/>
        <v>586739</v>
      </c>
      <c r="O94" s="48">
        <f t="shared" si="8"/>
        <v>598616</v>
      </c>
      <c r="P94" s="9"/>
      <c r="Q94" s="135">
        <f t="shared" si="11"/>
        <v>598616</v>
      </c>
    </row>
    <row r="95" spans="3:17" x14ac:dyDescent="0.25">
      <c r="C95" s="9" t="s">
        <v>211</v>
      </c>
      <c r="D95" s="9" t="s">
        <v>216</v>
      </c>
      <c r="E95" s="9" t="s">
        <v>171</v>
      </c>
      <c r="F95" s="9" t="s">
        <v>213</v>
      </c>
      <c r="G95" s="38">
        <f t="shared" si="9"/>
        <v>1.2353169968620092</v>
      </c>
      <c r="H95" s="9"/>
      <c r="I95" s="9" t="s">
        <v>289</v>
      </c>
      <c r="J95" s="28">
        <f t="shared" si="10"/>
        <v>0.57503249001143686</v>
      </c>
      <c r="K95" s="9"/>
      <c r="L95" s="9"/>
      <c r="M95" s="9" t="s">
        <v>233</v>
      </c>
      <c r="N95" s="48">
        <f t="shared" si="8"/>
        <v>2148256</v>
      </c>
      <c r="O95" s="48">
        <f t="shared" si="8"/>
        <v>2189679</v>
      </c>
      <c r="P95" s="9"/>
      <c r="Q95" s="135">
        <f t="shared" si="11"/>
        <v>2189679</v>
      </c>
    </row>
    <row r="98" spans="1:18" ht="15" x14ac:dyDescent="0.35">
      <c r="A98" s="1" t="s">
        <v>303</v>
      </c>
      <c r="C98" s="9"/>
      <c r="D98" s="9"/>
      <c r="E98" s="9"/>
      <c r="F98" s="9"/>
      <c r="G98" s="9"/>
      <c r="H98" s="9"/>
      <c r="I98" s="9"/>
      <c r="J98" s="9"/>
      <c r="K98" s="9"/>
      <c r="L98" s="9"/>
      <c r="M98" s="9"/>
      <c r="O98" s="9"/>
      <c r="P98" s="9"/>
      <c r="Q98" s="9"/>
      <c r="R98" s="9"/>
    </row>
    <row r="100" spans="1:18" ht="26.4" x14ac:dyDescent="0.25">
      <c r="A100" s="9"/>
      <c r="C100" s="9" t="s">
        <v>220</v>
      </c>
      <c r="D100" s="18" t="s">
        <v>304</v>
      </c>
      <c r="E100" s="18" t="s">
        <v>305</v>
      </c>
      <c r="F100" s="24"/>
      <c r="G100" s="9"/>
      <c r="H100" s="9"/>
      <c r="I100" s="9"/>
      <c r="J100" s="9"/>
      <c r="K100" s="9"/>
      <c r="L100" s="9"/>
      <c r="M100" s="9"/>
      <c r="O100" s="9"/>
      <c r="P100" s="9"/>
      <c r="Q100" s="9"/>
      <c r="R100" s="9"/>
    </row>
    <row r="101" spans="1:18" x14ac:dyDescent="0.25">
      <c r="A101" s="9"/>
      <c r="C101" s="9" t="s">
        <v>147</v>
      </c>
      <c r="D101" s="28">
        <f>SUMPRODUCT($J$20:$J$38,$Q$20:$Q$38)/SUM($Q$20:$Q$38)</f>
        <v>0.15722201475344794</v>
      </c>
      <c r="E101" s="28">
        <f>D101*2</f>
        <v>0.31444402950689587</v>
      </c>
      <c r="F101" s="40"/>
      <c r="G101" s="9"/>
      <c r="H101" s="9"/>
      <c r="I101" s="9"/>
      <c r="J101" s="9"/>
      <c r="K101" s="9"/>
      <c r="L101" s="9"/>
      <c r="M101" s="9"/>
      <c r="O101" s="9"/>
      <c r="P101" s="9"/>
      <c r="Q101" s="9"/>
      <c r="R101" s="9"/>
    </row>
    <row r="102" spans="1:18" x14ac:dyDescent="0.25">
      <c r="A102" s="9"/>
      <c r="C102" s="9" t="s">
        <v>183</v>
      </c>
      <c r="D102" s="28">
        <f>SUMPRODUCT($J$39:$J$49,$Q$39:$Q$49)/SUM($Q$39:$Q$49)</f>
        <v>0.17744169207041779</v>
      </c>
      <c r="E102" s="28">
        <f t="shared" ref="E102:E105" si="12">D102*2</f>
        <v>0.35488338414083559</v>
      </c>
      <c r="F102" s="40"/>
      <c r="G102" s="9"/>
      <c r="H102" s="9"/>
      <c r="I102" s="9"/>
      <c r="J102" s="9"/>
      <c r="K102" s="9"/>
      <c r="L102" s="9"/>
      <c r="M102" s="9"/>
      <c r="O102" s="9"/>
      <c r="P102" s="9"/>
      <c r="Q102" s="9"/>
      <c r="R102" s="9"/>
    </row>
    <row r="103" spans="1:18" x14ac:dyDescent="0.25">
      <c r="A103" s="9"/>
      <c r="C103" s="9" t="s">
        <v>196</v>
      </c>
      <c r="D103" s="28">
        <f>SUMPRODUCT($J$50:$J$60,$Q$50:$Q$60)/SUM($Q$50:$Q$60)</f>
        <v>3.4930503823829016</v>
      </c>
      <c r="E103" s="28">
        <f t="shared" si="12"/>
        <v>6.9861007647658031</v>
      </c>
      <c r="F103" s="41"/>
      <c r="G103" s="9"/>
      <c r="H103" s="9"/>
      <c r="I103" s="9"/>
      <c r="J103" s="9"/>
      <c r="K103" s="9"/>
      <c r="L103" s="9"/>
      <c r="M103" s="9"/>
      <c r="O103" s="9"/>
      <c r="P103" s="9"/>
      <c r="Q103" s="9"/>
      <c r="R103" s="9"/>
    </row>
    <row r="104" spans="1:18" x14ac:dyDescent="0.25">
      <c r="A104" s="9"/>
      <c r="C104" s="9" t="s">
        <v>203</v>
      </c>
      <c r="D104" s="28">
        <f>SUMPRODUCT($J$61:$J$78,$Q$61:$Q$78)/SUM($Q$61:$Q$78)</f>
        <v>0.14470817378024459</v>
      </c>
      <c r="E104" s="28">
        <f t="shared" si="12"/>
        <v>0.28941634756048917</v>
      </c>
      <c r="F104" s="40"/>
      <c r="G104" s="9"/>
      <c r="H104" s="9"/>
      <c r="I104" s="9"/>
      <c r="J104" s="9"/>
      <c r="K104" s="9"/>
      <c r="L104" s="9"/>
      <c r="M104" s="9"/>
      <c r="O104" s="9"/>
      <c r="P104" s="9"/>
      <c r="Q104" s="9"/>
      <c r="R104" s="9"/>
    </row>
    <row r="105" spans="1:18" x14ac:dyDescent="0.25">
      <c r="A105" s="9"/>
      <c r="C105" s="9" t="s">
        <v>211</v>
      </c>
      <c r="D105" s="28">
        <f>SUMPRODUCT($J$79:$J$95,$Q$79:$Q$95)/SUM($Q$79:$Q$95)</f>
        <v>0.37467076262356974</v>
      </c>
      <c r="E105" s="28">
        <f t="shared" si="12"/>
        <v>0.74934152524713948</v>
      </c>
      <c r="F105" s="40"/>
      <c r="G105" s="9"/>
      <c r="H105" s="9"/>
      <c r="I105" s="9"/>
      <c r="J105" s="9"/>
      <c r="K105" s="9"/>
      <c r="L105" s="9"/>
      <c r="M105" s="9"/>
      <c r="O105" s="9"/>
      <c r="P105" s="9"/>
      <c r="Q105" s="9"/>
      <c r="R105" s="9"/>
    </row>
    <row r="108" spans="1:18" ht="13.8" x14ac:dyDescent="0.3">
      <c r="A108" s="8" t="s">
        <v>306</v>
      </c>
      <c r="B108" s="8"/>
      <c r="C108" s="8"/>
      <c r="D108" s="8"/>
      <c r="E108" s="8"/>
      <c r="F108" s="8"/>
      <c r="G108" s="8"/>
      <c r="H108" s="8"/>
      <c r="I108" s="8"/>
      <c r="J108" s="8"/>
      <c r="K108" s="8"/>
      <c r="L108" s="8"/>
      <c r="M108" s="8"/>
      <c r="N108" s="8"/>
      <c r="O108" s="8"/>
      <c r="P108" s="8"/>
      <c r="Q108" s="8"/>
      <c r="R108" s="8"/>
    </row>
    <row r="109" spans="1:18" x14ac:dyDescent="0.25">
      <c r="A109" s="9"/>
      <c r="C109" s="9"/>
      <c r="D109" s="9"/>
      <c r="E109" s="9"/>
      <c r="F109" s="9"/>
      <c r="G109" s="9"/>
      <c r="H109" s="9"/>
      <c r="I109" s="9"/>
      <c r="J109" s="9"/>
      <c r="K109" s="9"/>
      <c r="L109" s="9"/>
      <c r="M109" s="9"/>
      <c r="O109" s="9"/>
      <c r="P109" s="9"/>
      <c r="Q109" s="9"/>
      <c r="R109" s="9"/>
    </row>
    <row r="110" spans="1:18" ht="15" x14ac:dyDescent="0.35">
      <c r="A110" s="1" t="s">
        <v>223</v>
      </c>
      <c r="C110" s="9"/>
      <c r="D110" s="9"/>
      <c r="E110" s="9"/>
      <c r="F110" s="9"/>
      <c r="G110" s="9"/>
      <c r="H110" s="9"/>
      <c r="I110" s="9"/>
      <c r="J110" s="9"/>
      <c r="K110" s="9"/>
      <c r="L110" s="9"/>
      <c r="M110" s="9"/>
      <c r="O110" s="9"/>
      <c r="P110" s="9"/>
      <c r="Q110" s="9"/>
      <c r="R110" s="9"/>
    </row>
    <row r="111" spans="1:18" x14ac:dyDescent="0.25">
      <c r="A111" s="9"/>
      <c r="C111" s="9"/>
      <c r="D111" s="9"/>
      <c r="E111" s="9"/>
      <c r="F111" s="9"/>
      <c r="G111" s="9"/>
      <c r="H111" s="9"/>
      <c r="I111" s="9"/>
      <c r="J111" s="9"/>
      <c r="K111" s="9"/>
      <c r="L111" s="9" t="s">
        <v>178</v>
      </c>
      <c r="M111" s="9"/>
      <c r="O111" s="9"/>
      <c r="P111" s="9"/>
      <c r="Q111" s="9"/>
      <c r="R111" s="9"/>
    </row>
    <row r="112" spans="1:18" ht="26.4" x14ac:dyDescent="0.25">
      <c r="A112" s="9"/>
      <c r="C112" s="9" t="s">
        <v>220</v>
      </c>
      <c r="D112" s="9" t="s">
        <v>149</v>
      </c>
      <c r="E112" s="9" t="s">
        <v>150</v>
      </c>
      <c r="F112" s="18" t="s">
        <v>307</v>
      </c>
      <c r="G112" s="18" t="s">
        <v>308</v>
      </c>
      <c r="H112" s="9" t="s">
        <v>309</v>
      </c>
      <c r="I112" s="18" t="s">
        <v>310</v>
      </c>
      <c r="J112" s="9"/>
      <c r="K112" s="9" t="s">
        <v>227</v>
      </c>
      <c r="L112" s="18" t="s">
        <v>228</v>
      </c>
      <c r="M112" s="9"/>
      <c r="O112" s="9"/>
      <c r="P112" s="9"/>
      <c r="Q112" s="9"/>
      <c r="R112" s="9"/>
    </row>
    <row r="113" spans="1:12" x14ac:dyDescent="0.25">
      <c r="A113" s="9"/>
      <c r="C113" s="9" t="s">
        <v>147</v>
      </c>
      <c r="D113" s="21" t="s">
        <v>164</v>
      </c>
      <c r="E113" s="21" t="s">
        <v>165</v>
      </c>
      <c r="F113" s="134">
        <f t="shared" ref="F113:F148" si="13">IF(INDEX(WTP_1,MATCH($D113,WTP_ID,0))="","",INDEX(WTP_1,MATCH($D113,WTP_ID,0)))</f>
        <v>123586.95612597851</v>
      </c>
      <c r="G113" s="134">
        <f t="shared" ref="G113:G148" si="14">IF(INDEX(WTP_2,MATCH($D113,WTP_ID,0))="","",INDEX(WTP_2,MATCH($D113,WTP_ID,0)))</f>
        <v>84913.486862066871</v>
      </c>
      <c r="H113" s="28">
        <f>IFERROR(G113/F113,"")</f>
        <v>0.68707482993197277</v>
      </c>
      <c r="I113" s="28">
        <f>IF(H113="",AVERAGEIFS($H$113:$H$148,$C$113:$C$148,C113,$E$113:$E$148,E113),H113)</f>
        <v>0.68707482993197277</v>
      </c>
      <c r="J113" s="9"/>
      <c r="K113" s="6" t="s">
        <v>233</v>
      </c>
      <c r="L113" s="48">
        <f t="shared" ref="L113:L148" si="15">IF(K113="Water",INDEX(Households_water,MATCH(E113,Households_water_company,0),MATCH($L$111,Companydata_years,0)),INDEX(Households_waste,MATCH(E113,Households_waste_company,0),MATCH($L$111,Companydata_years,0)))</f>
        <v>286862</v>
      </c>
    </row>
    <row r="114" spans="1:12" x14ac:dyDescent="0.25">
      <c r="A114" s="9"/>
      <c r="C114" s="9" t="s">
        <v>147</v>
      </c>
      <c r="D114" s="21" t="s">
        <v>240</v>
      </c>
      <c r="E114" s="21" t="s">
        <v>241</v>
      </c>
      <c r="F114" s="134">
        <f t="shared" si="13"/>
        <v>1669915.1560216947</v>
      </c>
      <c r="G114" s="134">
        <f t="shared" si="14"/>
        <v>834957.57801084733</v>
      </c>
      <c r="H114" s="28">
        <f t="shared" ref="H114:H148" si="16">IFERROR(G114/F114,"")</f>
        <v>0.5</v>
      </c>
      <c r="I114" s="28">
        <f>IF(H114="",AVERAGEIFS($H$113:$H$148,$C$113:$C$148,C114,$E$113:$E$148,E114),H114)</f>
        <v>0.5</v>
      </c>
      <c r="J114" s="9"/>
      <c r="K114" s="6" t="s">
        <v>233</v>
      </c>
      <c r="L114" s="48">
        <f t="shared" si="15"/>
        <v>914182</v>
      </c>
    </row>
    <row r="115" spans="1:12" x14ac:dyDescent="0.25">
      <c r="A115" s="9"/>
      <c r="C115" s="9" t="s">
        <v>147</v>
      </c>
      <c r="D115" s="21" t="s">
        <v>242</v>
      </c>
      <c r="E115" s="21" t="s">
        <v>205</v>
      </c>
      <c r="F115" s="134">
        <f t="shared" si="13"/>
        <v>350000</v>
      </c>
      <c r="G115" s="134">
        <f t="shared" si="14"/>
        <v>187500</v>
      </c>
      <c r="H115" s="28">
        <f t="shared" si="16"/>
        <v>0.5357142857142857</v>
      </c>
      <c r="I115" s="28">
        <f>IF(H115="",AVERAGEIFS($H$113:$H$148,$C$113:$C$148,C115,$E$113:$E$148,E115),H115)</f>
        <v>0.5357142857142857</v>
      </c>
      <c r="J115" s="9"/>
      <c r="K115" s="6" t="s">
        <v>233</v>
      </c>
      <c r="L115" s="48">
        <f t="shared" si="15"/>
        <v>1103495</v>
      </c>
    </row>
    <row r="116" spans="1:12" x14ac:dyDescent="0.25">
      <c r="A116" s="9"/>
      <c r="C116" s="9" t="s">
        <v>147</v>
      </c>
      <c r="D116" s="9" t="s">
        <v>170</v>
      </c>
      <c r="E116" s="9" t="s">
        <v>171</v>
      </c>
      <c r="F116" s="134">
        <f t="shared" si="13"/>
        <v>36139.740139211113</v>
      </c>
      <c r="G116" s="134">
        <f t="shared" si="14"/>
        <v>21199.444510035413</v>
      </c>
      <c r="H116" s="28">
        <f t="shared" si="16"/>
        <v>0.58659648432375722</v>
      </c>
      <c r="I116" s="28">
        <f>IF(H116="",AVERAGEIFS($H$113:$H$148,$C$113:$C$148,C116,$E$113:$E$148,E116),H116)</f>
        <v>0.58659648432375722</v>
      </c>
      <c r="J116" s="9"/>
      <c r="K116" s="6" t="s">
        <v>233</v>
      </c>
      <c r="L116" s="48">
        <f t="shared" si="15"/>
        <v>2189679</v>
      </c>
    </row>
    <row r="117" spans="1:12" x14ac:dyDescent="0.25">
      <c r="A117" s="9"/>
      <c r="C117" s="9" t="s">
        <v>147</v>
      </c>
      <c r="D117" s="9" t="s">
        <v>168</v>
      </c>
      <c r="E117" s="9" t="s">
        <v>169</v>
      </c>
      <c r="F117" s="134" t="str">
        <f t="shared" si="13"/>
        <v/>
      </c>
      <c r="G117" s="134" t="str">
        <f t="shared" si="14"/>
        <v/>
      </c>
      <c r="H117" s="28" t="str">
        <f t="shared" si="16"/>
        <v/>
      </c>
      <c r="I117" s="28">
        <f>IF(H117="",AVERAGEIFS($H$113:$H$148,$C$113:$C$148,C117,$E$113:$E$148,E117),H117)</f>
        <v>1</v>
      </c>
      <c r="J117" s="9"/>
      <c r="K117" s="6" t="s">
        <v>233</v>
      </c>
      <c r="L117" s="48">
        <f t="shared" si="15"/>
        <v>598616</v>
      </c>
    </row>
    <row r="118" spans="1:12" x14ac:dyDescent="0.25">
      <c r="A118" s="9"/>
      <c r="C118" s="9" t="s">
        <v>147</v>
      </c>
      <c r="D118" s="9" t="s">
        <v>311</v>
      </c>
      <c r="E118" s="9" t="s">
        <v>169</v>
      </c>
      <c r="F118" s="134">
        <f t="shared" si="13"/>
        <v>660790.44007408072</v>
      </c>
      <c r="G118" s="134">
        <f t="shared" si="14"/>
        <v>660790.44007408072</v>
      </c>
      <c r="H118" s="28">
        <f t="shared" si="16"/>
        <v>1</v>
      </c>
      <c r="I118" s="28">
        <f t="shared" ref="I118:I119" si="17">IF(H118="",AVERAGEIFS($H$113:$H$148,$C$113:$C$148,C118,$E$113:$E$148,E118),H118)</f>
        <v>1</v>
      </c>
      <c r="J118" s="9"/>
      <c r="K118" s="6" t="s">
        <v>233</v>
      </c>
      <c r="L118" s="48">
        <f t="shared" si="15"/>
        <v>598616</v>
      </c>
    </row>
    <row r="119" spans="1:12" x14ac:dyDescent="0.25">
      <c r="A119" s="9"/>
      <c r="C119" s="9" t="s">
        <v>147</v>
      </c>
      <c r="D119" s="9" t="s">
        <v>312</v>
      </c>
      <c r="E119" s="9" t="s">
        <v>169</v>
      </c>
      <c r="F119" s="134">
        <f t="shared" si="13"/>
        <v>25029.940911896996</v>
      </c>
      <c r="G119" s="134">
        <f t="shared" si="14"/>
        <v>25029.940911896996</v>
      </c>
      <c r="H119" s="28">
        <f t="shared" si="16"/>
        <v>1</v>
      </c>
      <c r="I119" s="28">
        <f t="shared" si="17"/>
        <v>1</v>
      </c>
      <c r="J119" s="9"/>
      <c r="K119" s="6" t="s">
        <v>233</v>
      </c>
      <c r="L119" s="48">
        <f t="shared" si="15"/>
        <v>598616</v>
      </c>
    </row>
    <row r="120" spans="1:12" x14ac:dyDescent="0.25">
      <c r="A120" s="9"/>
      <c r="C120" s="9" t="s">
        <v>183</v>
      </c>
      <c r="D120" s="9" t="s">
        <v>258</v>
      </c>
      <c r="E120" s="9" t="s">
        <v>205</v>
      </c>
      <c r="F120" s="134">
        <f t="shared" si="13"/>
        <v>648510.29999999993</v>
      </c>
      <c r="G120" s="134">
        <f t="shared" si="14"/>
        <v>32500.000000000004</v>
      </c>
      <c r="H120" s="28">
        <f t="shared" si="16"/>
        <v>5.0114855538917431E-2</v>
      </c>
      <c r="I120" s="28">
        <f t="shared" ref="I120:I148" si="18">IF(H120="",AVERAGEIFS($H$113:$H$148,$C$113:$C$148,C120,$E$113:$E$148,E120),H120)</f>
        <v>5.0114855538917431E-2</v>
      </c>
      <c r="J120" s="9"/>
      <c r="K120" s="6" t="s">
        <v>256</v>
      </c>
      <c r="L120" s="48">
        <f t="shared" si="15"/>
        <v>1978945</v>
      </c>
    </row>
    <row r="121" spans="1:12" x14ac:dyDescent="0.25">
      <c r="A121" s="9"/>
      <c r="C121" s="9" t="s">
        <v>183</v>
      </c>
      <c r="D121" s="9" t="s">
        <v>189</v>
      </c>
      <c r="E121" s="9" t="s">
        <v>190</v>
      </c>
      <c r="F121" s="134">
        <f t="shared" si="13"/>
        <v>116048.27499999999</v>
      </c>
      <c r="G121" s="134">
        <f t="shared" si="14"/>
        <v>144231.42750000002</v>
      </c>
      <c r="H121" s="28">
        <f t="shared" si="16"/>
        <v>1.2428571428571431</v>
      </c>
      <c r="I121" s="28">
        <f t="shared" si="18"/>
        <v>1.2428571428571431</v>
      </c>
      <c r="J121" s="9"/>
      <c r="K121" s="6" t="s">
        <v>256</v>
      </c>
      <c r="L121" s="48">
        <f t="shared" si="15"/>
        <v>3065202.8522729091</v>
      </c>
    </row>
    <row r="122" spans="1:12" x14ac:dyDescent="0.25">
      <c r="A122" s="9"/>
      <c r="C122" s="9" t="s">
        <v>183</v>
      </c>
      <c r="D122" s="9" t="s">
        <v>191</v>
      </c>
      <c r="E122" s="9" t="s">
        <v>169</v>
      </c>
      <c r="F122" s="134">
        <f t="shared" si="13"/>
        <v>183960.10285714286</v>
      </c>
      <c r="G122" s="134">
        <f t="shared" si="14"/>
        <v>184272.25235294117</v>
      </c>
      <c r="H122" s="28">
        <f t="shared" si="16"/>
        <v>1.0016968325791855</v>
      </c>
      <c r="I122" s="28">
        <f t="shared" si="18"/>
        <v>1.0016968325791855</v>
      </c>
      <c r="J122" s="9"/>
      <c r="K122" s="6" t="s">
        <v>256</v>
      </c>
      <c r="L122" s="48">
        <f t="shared" si="15"/>
        <v>1240117</v>
      </c>
    </row>
    <row r="123" spans="1:12" x14ac:dyDescent="0.25">
      <c r="A123" s="9"/>
      <c r="C123" s="9" t="s">
        <v>183</v>
      </c>
      <c r="D123" s="9" t="s">
        <v>192</v>
      </c>
      <c r="E123" s="9" t="s">
        <v>171</v>
      </c>
      <c r="F123" s="134">
        <f t="shared" si="13"/>
        <v>27956.571428571424</v>
      </c>
      <c r="G123" s="134">
        <f t="shared" si="14"/>
        <v>16866.291891891891</v>
      </c>
      <c r="H123" s="28">
        <f t="shared" si="16"/>
        <v>0.6033033033033034</v>
      </c>
      <c r="I123" s="28">
        <f t="shared" si="18"/>
        <v>0.6033033033033034</v>
      </c>
      <c r="J123" s="9"/>
      <c r="K123" s="6" t="s">
        <v>256</v>
      </c>
      <c r="L123" s="48">
        <f t="shared" si="15"/>
        <v>2188885</v>
      </c>
    </row>
    <row r="124" spans="1:12" x14ac:dyDescent="0.25">
      <c r="A124" s="9"/>
      <c r="C124" s="9" t="s">
        <v>183</v>
      </c>
      <c r="D124" s="9" t="s">
        <v>262</v>
      </c>
      <c r="E124" s="9" t="s">
        <v>252</v>
      </c>
      <c r="F124" s="134" t="str">
        <f t="shared" si="13"/>
        <v/>
      </c>
      <c r="G124" s="134" t="str">
        <f t="shared" si="14"/>
        <v/>
      </c>
      <c r="H124" s="28" t="str">
        <f t="shared" si="16"/>
        <v/>
      </c>
      <c r="I124" s="28">
        <f t="shared" si="18"/>
        <v>0.65739641778161428</v>
      </c>
      <c r="J124" s="9"/>
      <c r="K124" s="6" t="s">
        <v>256</v>
      </c>
      <c r="L124" s="48">
        <f t="shared" si="15"/>
        <v>1378874</v>
      </c>
    </row>
    <row r="125" spans="1:12" x14ac:dyDescent="0.25">
      <c r="A125" s="9"/>
      <c r="C125" s="9" t="s">
        <v>183</v>
      </c>
      <c r="D125" s="9" t="s">
        <v>313</v>
      </c>
      <c r="E125" s="9" t="s">
        <v>252</v>
      </c>
      <c r="F125" s="134">
        <f t="shared" si="13"/>
        <v>159973.29300000001</v>
      </c>
      <c r="G125" s="134">
        <f t="shared" si="14"/>
        <v>104635.09950000001</v>
      </c>
      <c r="H125" s="28">
        <f t="shared" si="16"/>
        <v>0.65407854984894265</v>
      </c>
      <c r="I125" s="28">
        <f t="shared" si="18"/>
        <v>0.65407854984894265</v>
      </c>
      <c r="J125" s="9"/>
      <c r="K125" s="6" t="s">
        <v>256</v>
      </c>
      <c r="L125" s="48">
        <f t="shared" si="15"/>
        <v>1378874</v>
      </c>
    </row>
    <row r="126" spans="1:12" x14ac:dyDescent="0.25">
      <c r="A126" s="9"/>
      <c r="C126" s="9" t="s">
        <v>183</v>
      </c>
      <c r="D126" s="9" t="s">
        <v>314</v>
      </c>
      <c r="E126" s="9" t="s">
        <v>252</v>
      </c>
      <c r="F126" s="134">
        <f t="shared" si="13"/>
        <v>405974.52</v>
      </c>
      <c r="G126" s="134">
        <f t="shared" si="14"/>
        <v>268233.16500000004</v>
      </c>
      <c r="H126" s="28">
        <f t="shared" si="16"/>
        <v>0.66071428571428581</v>
      </c>
      <c r="I126" s="28">
        <f t="shared" si="18"/>
        <v>0.66071428571428581</v>
      </c>
      <c r="J126" s="9"/>
      <c r="K126" s="6" t="s">
        <v>256</v>
      </c>
      <c r="L126" s="48">
        <f t="shared" si="15"/>
        <v>1378874</v>
      </c>
    </row>
    <row r="127" spans="1:12" x14ac:dyDescent="0.25">
      <c r="A127" s="9"/>
      <c r="C127" s="9" t="s">
        <v>196</v>
      </c>
      <c r="D127" s="9" t="s">
        <v>267</v>
      </c>
      <c r="E127" s="9" t="s">
        <v>205</v>
      </c>
      <c r="F127" s="134">
        <f t="shared" si="13"/>
        <v>60000.000000000015</v>
      </c>
      <c r="G127" s="134">
        <f t="shared" si="14"/>
        <v>32500.000000000004</v>
      </c>
      <c r="H127" s="28">
        <f t="shared" si="16"/>
        <v>0.54166666666666663</v>
      </c>
      <c r="I127" s="28">
        <f t="shared" si="18"/>
        <v>0.54166666666666663</v>
      </c>
      <c r="J127" s="9"/>
      <c r="K127" s="6" t="s">
        <v>256</v>
      </c>
      <c r="L127" s="48">
        <f t="shared" si="15"/>
        <v>1978945</v>
      </c>
    </row>
    <row r="128" spans="1:12" x14ac:dyDescent="0.25">
      <c r="A128" s="9"/>
      <c r="C128" s="9" t="s">
        <v>196</v>
      </c>
      <c r="D128" s="21" t="s">
        <v>269</v>
      </c>
      <c r="E128" s="21" t="s">
        <v>190</v>
      </c>
      <c r="F128" s="134">
        <f t="shared" si="13"/>
        <v>62334.501999999993</v>
      </c>
      <c r="G128" s="134">
        <f t="shared" si="14"/>
        <v>61671.368999999999</v>
      </c>
      <c r="H128" s="28">
        <f t="shared" si="16"/>
        <v>0.98936170212765961</v>
      </c>
      <c r="I128" s="28">
        <f t="shared" si="18"/>
        <v>0.98936170212765961</v>
      </c>
      <c r="J128" s="9"/>
      <c r="K128" s="6" t="s">
        <v>256</v>
      </c>
      <c r="L128" s="48">
        <f t="shared" si="15"/>
        <v>3065202.8522729091</v>
      </c>
    </row>
    <row r="129" spans="3:13" x14ac:dyDescent="0.25">
      <c r="C129" s="9" t="s">
        <v>196</v>
      </c>
      <c r="D129" s="21" t="s">
        <v>270</v>
      </c>
      <c r="E129" s="21" t="s">
        <v>252</v>
      </c>
      <c r="F129" s="134">
        <f t="shared" si="13"/>
        <v>14176.888000000003</v>
      </c>
      <c r="G129" s="134">
        <f t="shared" si="14"/>
        <v>10563.622714285715</v>
      </c>
      <c r="H129" s="28">
        <f t="shared" si="16"/>
        <v>0.74512987012987009</v>
      </c>
      <c r="I129" s="28">
        <f t="shared" si="18"/>
        <v>0.74512987012987009</v>
      </c>
      <c r="J129" s="9"/>
      <c r="K129" s="6" t="s">
        <v>256</v>
      </c>
      <c r="L129" s="48">
        <f t="shared" si="15"/>
        <v>1378874</v>
      </c>
      <c r="M129" s="9"/>
    </row>
    <row r="130" spans="3:13" x14ac:dyDescent="0.25">
      <c r="C130" s="9" t="s">
        <v>196</v>
      </c>
      <c r="D130" s="21" t="s">
        <v>201</v>
      </c>
      <c r="E130" s="21" t="s">
        <v>169</v>
      </c>
      <c r="F130" s="134" t="str">
        <f t="shared" si="13"/>
        <v/>
      </c>
      <c r="G130" s="134" t="str">
        <f t="shared" si="14"/>
        <v/>
      </c>
      <c r="H130" s="28" t="str">
        <f t="shared" si="16"/>
        <v/>
      </c>
      <c r="I130" s="28">
        <f t="shared" si="18"/>
        <v>0.75714285714285712</v>
      </c>
      <c r="J130" s="9"/>
      <c r="K130" s="6" t="s">
        <v>256</v>
      </c>
      <c r="L130" s="48">
        <f t="shared" si="15"/>
        <v>1240117</v>
      </c>
      <c r="M130" s="9"/>
    </row>
    <row r="131" spans="3:13" x14ac:dyDescent="0.25">
      <c r="C131" s="9" t="s">
        <v>196</v>
      </c>
      <c r="D131" s="21" t="s">
        <v>271</v>
      </c>
      <c r="E131" s="21" t="s">
        <v>171</v>
      </c>
      <c r="F131" s="134">
        <f t="shared" si="13"/>
        <v>6484.2787589498803</v>
      </c>
      <c r="G131" s="134">
        <f t="shared" si="14"/>
        <v>4880.2116591928243</v>
      </c>
      <c r="H131" s="28">
        <f t="shared" si="16"/>
        <v>0.75262212508321702</v>
      </c>
      <c r="I131" s="28">
        <f t="shared" si="18"/>
        <v>0.75262212508321702</v>
      </c>
      <c r="J131" s="9"/>
      <c r="K131" s="6" t="s">
        <v>256</v>
      </c>
      <c r="L131" s="48">
        <f t="shared" si="15"/>
        <v>2188885</v>
      </c>
      <c r="M131" s="9"/>
    </row>
    <row r="132" spans="3:13" x14ac:dyDescent="0.25">
      <c r="C132" s="9" t="s">
        <v>196</v>
      </c>
      <c r="D132" s="21" t="s">
        <v>315</v>
      </c>
      <c r="E132" s="21" t="s">
        <v>169</v>
      </c>
      <c r="F132" s="134">
        <f t="shared" si="13"/>
        <v>4815.1950000000006</v>
      </c>
      <c r="G132" s="134">
        <f t="shared" si="14"/>
        <v>2476.3860000000004</v>
      </c>
      <c r="H132" s="28">
        <f t="shared" si="16"/>
        <v>0.51428571428571435</v>
      </c>
      <c r="I132" s="28">
        <f t="shared" si="18"/>
        <v>0.51428571428571435</v>
      </c>
      <c r="J132" s="9"/>
      <c r="K132" s="6" t="s">
        <v>256</v>
      </c>
      <c r="L132" s="48">
        <f t="shared" si="15"/>
        <v>1240117</v>
      </c>
      <c r="M132" s="9"/>
    </row>
    <row r="133" spans="3:13" x14ac:dyDescent="0.25">
      <c r="C133" s="9" t="s">
        <v>196</v>
      </c>
      <c r="D133" s="21" t="s">
        <v>316</v>
      </c>
      <c r="E133" s="21" t="s">
        <v>169</v>
      </c>
      <c r="F133" s="134">
        <f t="shared" si="13"/>
        <v>57575.974500000011</v>
      </c>
      <c r="G133" s="134">
        <f t="shared" si="14"/>
        <v>57575.974500000011</v>
      </c>
      <c r="H133" s="28">
        <f t="shared" si="16"/>
        <v>1</v>
      </c>
      <c r="I133" s="28">
        <f t="shared" si="18"/>
        <v>1</v>
      </c>
      <c r="J133" s="9"/>
      <c r="K133" s="6" t="s">
        <v>256</v>
      </c>
      <c r="L133" s="48">
        <f t="shared" si="15"/>
        <v>1240117</v>
      </c>
      <c r="M133" s="9"/>
    </row>
    <row r="134" spans="3:13" x14ac:dyDescent="0.25">
      <c r="C134" s="9" t="s">
        <v>203</v>
      </c>
      <c r="D134" s="9" t="s">
        <v>280</v>
      </c>
      <c r="E134" s="9" t="s">
        <v>241</v>
      </c>
      <c r="F134" s="134">
        <f t="shared" si="13"/>
        <v>547286.42559310491</v>
      </c>
      <c r="G134" s="134">
        <f t="shared" si="14"/>
        <v>547286.42559310491</v>
      </c>
      <c r="H134" s="28">
        <f>IFERROR(G134/F134,"")</f>
        <v>1</v>
      </c>
      <c r="I134" s="28">
        <f t="shared" si="18"/>
        <v>1</v>
      </c>
      <c r="J134" s="9"/>
      <c r="K134" s="6" t="s">
        <v>233</v>
      </c>
      <c r="L134" s="48">
        <f t="shared" si="15"/>
        <v>914182</v>
      </c>
      <c r="M134" s="9"/>
    </row>
    <row r="135" spans="3:13" x14ac:dyDescent="0.25">
      <c r="C135" s="9" t="s">
        <v>203</v>
      </c>
      <c r="D135" s="9" t="s">
        <v>204</v>
      </c>
      <c r="E135" s="9" t="s">
        <v>205</v>
      </c>
      <c r="F135" s="134">
        <f t="shared" si="13"/>
        <v>95069.34</v>
      </c>
      <c r="G135" s="134">
        <f t="shared" si="14"/>
        <v>48014.818181818184</v>
      </c>
      <c r="H135" s="28">
        <f t="shared" si="16"/>
        <v>0.50505050505050508</v>
      </c>
      <c r="I135" s="28">
        <f t="shared" si="18"/>
        <v>0.50505050505050508</v>
      </c>
      <c r="J135" s="9"/>
      <c r="K135" s="6" t="s">
        <v>233</v>
      </c>
      <c r="L135" s="48">
        <f t="shared" si="15"/>
        <v>1103495</v>
      </c>
      <c r="M135" s="9"/>
    </row>
    <row r="136" spans="3:13" x14ac:dyDescent="0.25">
      <c r="C136" s="9" t="s">
        <v>203</v>
      </c>
      <c r="D136" s="9" t="s">
        <v>287</v>
      </c>
      <c r="E136" s="9" t="s">
        <v>252</v>
      </c>
      <c r="F136" s="134">
        <f t="shared" si="13"/>
        <v>324.59999999999997</v>
      </c>
      <c r="G136" s="134">
        <f t="shared" si="14"/>
        <v>249.6</v>
      </c>
      <c r="H136" s="28">
        <f t="shared" si="16"/>
        <v>0.76894639556377087</v>
      </c>
      <c r="I136" s="28">
        <f t="shared" si="18"/>
        <v>0.76894639556377087</v>
      </c>
      <c r="J136" s="9"/>
      <c r="K136" s="6" t="s">
        <v>233</v>
      </c>
      <c r="L136" s="48">
        <f t="shared" si="15"/>
        <v>1328869</v>
      </c>
      <c r="M136" s="9"/>
    </row>
    <row r="137" spans="3:13" x14ac:dyDescent="0.25">
      <c r="C137" s="9" t="s">
        <v>203</v>
      </c>
      <c r="D137" s="9" t="s">
        <v>207</v>
      </c>
      <c r="E137" s="9" t="s">
        <v>169</v>
      </c>
      <c r="F137" s="134" t="str">
        <f t="shared" si="13"/>
        <v/>
      </c>
      <c r="G137" s="134" t="str">
        <f t="shared" si="14"/>
        <v/>
      </c>
      <c r="H137" s="28" t="str">
        <f t="shared" si="16"/>
        <v/>
      </c>
      <c r="I137" s="28">
        <f t="shared" si="18"/>
        <v>0.81740423211395152</v>
      </c>
      <c r="J137" s="9"/>
      <c r="K137" s="6" t="s">
        <v>233</v>
      </c>
      <c r="L137" s="48">
        <f t="shared" si="15"/>
        <v>598616</v>
      </c>
      <c r="M137" s="9"/>
    </row>
    <row r="138" spans="3:13" x14ac:dyDescent="0.25">
      <c r="C138" s="9" t="s">
        <v>203</v>
      </c>
      <c r="D138" s="9" t="s">
        <v>208</v>
      </c>
      <c r="E138" s="9" t="s">
        <v>171</v>
      </c>
      <c r="F138" s="134">
        <f t="shared" si="13"/>
        <v>13</v>
      </c>
      <c r="G138" s="134">
        <f t="shared" si="14"/>
        <v>10.875</v>
      </c>
      <c r="H138" s="28">
        <f t="shared" si="16"/>
        <v>0.83653846153846156</v>
      </c>
      <c r="I138" s="28">
        <f t="shared" si="18"/>
        <v>0.83653846153846156</v>
      </c>
      <c r="J138" s="9"/>
      <c r="K138" s="6" t="s">
        <v>233</v>
      </c>
      <c r="L138" s="48">
        <f t="shared" si="15"/>
        <v>2189679</v>
      </c>
      <c r="M138" s="9"/>
    </row>
    <row r="139" spans="3:13" x14ac:dyDescent="0.25">
      <c r="C139" s="9" t="s">
        <v>203</v>
      </c>
      <c r="D139" s="9" t="s">
        <v>317</v>
      </c>
      <c r="E139" s="9" t="s">
        <v>169</v>
      </c>
      <c r="F139" s="134">
        <f t="shared" si="13"/>
        <v>98</v>
      </c>
      <c r="G139" s="134">
        <f t="shared" si="14"/>
        <v>66.25</v>
      </c>
      <c r="H139" s="28">
        <f t="shared" si="16"/>
        <v>0.67602040816326525</v>
      </c>
      <c r="I139" s="28">
        <f t="shared" si="18"/>
        <v>0.67602040816326525</v>
      </c>
      <c r="J139" s="9"/>
      <c r="K139" s="6" t="s">
        <v>233</v>
      </c>
      <c r="L139" s="48">
        <f t="shared" si="15"/>
        <v>598616</v>
      </c>
      <c r="M139" s="9"/>
    </row>
    <row r="140" spans="3:13" x14ac:dyDescent="0.25">
      <c r="C140" s="9" t="s">
        <v>203</v>
      </c>
      <c r="D140" s="9" t="s">
        <v>318</v>
      </c>
      <c r="E140" s="9" t="s">
        <v>169</v>
      </c>
      <c r="F140" s="134">
        <f t="shared" si="13"/>
        <v>730</v>
      </c>
      <c r="G140" s="134">
        <f t="shared" si="14"/>
        <v>569.99999999999989</v>
      </c>
      <c r="H140" s="28">
        <f t="shared" si="16"/>
        <v>0.78082191780821897</v>
      </c>
      <c r="I140" s="28">
        <f t="shared" si="18"/>
        <v>0.78082191780821897</v>
      </c>
      <c r="J140" s="9"/>
      <c r="K140" s="6" t="s">
        <v>233</v>
      </c>
      <c r="L140" s="48">
        <f t="shared" si="15"/>
        <v>598616</v>
      </c>
      <c r="M140" s="9"/>
    </row>
    <row r="141" spans="3:13" x14ac:dyDescent="0.25">
      <c r="C141" s="9" t="s">
        <v>203</v>
      </c>
      <c r="D141" s="9" t="s">
        <v>319</v>
      </c>
      <c r="E141" s="9" t="s">
        <v>169</v>
      </c>
      <c r="F141" s="134">
        <f t="shared" si="13"/>
        <v>54</v>
      </c>
      <c r="G141" s="134">
        <f t="shared" si="14"/>
        <v>53.750000000000007</v>
      </c>
      <c r="H141" s="28">
        <f t="shared" si="16"/>
        <v>0.99537037037037046</v>
      </c>
      <c r="I141" s="28">
        <f t="shared" si="18"/>
        <v>0.99537037037037046</v>
      </c>
      <c r="J141" s="9"/>
      <c r="K141" s="6" t="s">
        <v>233</v>
      </c>
      <c r="L141" s="48">
        <f t="shared" si="15"/>
        <v>598616</v>
      </c>
      <c r="M141" s="9"/>
    </row>
    <row r="142" spans="3:13" x14ac:dyDescent="0.25">
      <c r="C142" s="9" t="s">
        <v>211</v>
      </c>
      <c r="D142" s="9" t="s">
        <v>214</v>
      </c>
      <c r="E142" s="9" t="s">
        <v>165</v>
      </c>
      <c r="F142" s="134">
        <f t="shared" si="13"/>
        <v>327.59999999999997</v>
      </c>
      <c r="G142" s="134">
        <f t="shared" si="14"/>
        <v>229.5</v>
      </c>
      <c r="H142" s="28">
        <f t="shared" si="16"/>
        <v>0.70054945054945061</v>
      </c>
      <c r="I142" s="28">
        <f t="shared" si="18"/>
        <v>0.70054945054945061</v>
      </c>
      <c r="J142" s="9"/>
      <c r="K142" s="6" t="s">
        <v>233</v>
      </c>
      <c r="L142" s="48">
        <f t="shared" si="15"/>
        <v>286862</v>
      </c>
      <c r="M142" s="9"/>
    </row>
    <row r="143" spans="3:13" x14ac:dyDescent="0.25">
      <c r="C143" s="9" t="s">
        <v>211</v>
      </c>
      <c r="D143" s="9" t="s">
        <v>294</v>
      </c>
      <c r="E143" s="9" t="s">
        <v>241</v>
      </c>
      <c r="F143" s="134">
        <f t="shared" si="13"/>
        <v>1340</v>
      </c>
      <c r="G143" s="134">
        <f t="shared" si="14"/>
        <v>1339.5604395604398</v>
      </c>
      <c r="H143" s="28">
        <f t="shared" si="16"/>
        <v>0.99967196982122375</v>
      </c>
      <c r="I143" s="28">
        <f t="shared" si="18"/>
        <v>0.99967196982122375</v>
      </c>
      <c r="J143" s="9"/>
      <c r="K143" s="6" t="s">
        <v>233</v>
      </c>
      <c r="L143" s="48">
        <f t="shared" si="15"/>
        <v>914182</v>
      </c>
      <c r="M143" s="9"/>
    </row>
    <row r="144" spans="3:13" x14ac:dyDescent="0.25">
      <c r="C144" s="9" t="s">
        <v>211</v>
      </c>
      <c r="D144" s="9" t="s">
        <v>295</v>
      </c>
      <c r="E144" s="9" t="s">
        <v>205</v>
      </c>
      <c r="F144" s="134">
        <f t="shared" si="13"/>
        <v>125.99999999999999</v>
      </c>
      <c r="G144" s="134">
        <f t="shared" si="14"/>
        <v>62.999999999999993</v>
      </c>
      <c r="H144" s="28">
        <f t="shared" si="16"/>
        <v>0.5</v>
      </c>
      <c r="I144" s="28">
        <f t="shared" si="18"/>
        <v>0.5</v>
      </c>
      <c r="J144" s="9"/>
      <c r="K144" s="6" t="s">
        <v>233</v>
      </c>
      <c r="L144" s="48">
        <f t="shared" si="15"/>
        <v>1103495</v>
      </c>
      <c r="M144" s="9"/>
    </row>
    <row r="145" spans="1:13" x14ac:dyDescent="0.25">
      <c r="A145" s="9"/>
      <c r="C145" s="9" t="s">
        <v>211</v>
      </c>
      <c r="D145" s="9" t="s">
        <v>301</v>
      </c>
      <c r="E145" s="9" t="s">
        <v>190</v>
      </c>
      <c r="F145" s="134">
        <f t="shared" si="13"/>
        <v>320.10780749999998</v>
      </c>
      <c r="G145" s="134">
        <f t="shared" si="14"/>
        <v>434.72201760000007</v>
      </c>
      <c r="H145" s="28">
        <f t="shared" si="16"/>
        <v>1.3580487804878052</v>
      </c>
      <c r="I145" s="28">
        <f t="shared" si="18"/>
        <v>1.3580487804878052</v>
      </c>
      <c r="J145" s="9"/>
      <c r="K145" s="6" t="s">
        <v>233</v>
      </c>
      <c r="L145" s="48">
        <f t="shared" si="15"/>
        <v>3064807.8706498602</v>
      </c>
      <c r="M145" s="9"/>
    </row>
    <row r="146" spans="1:13" x14ac:dyDescent="0.25">
      <c r="A146" s="9"/>
      <c r="C146" s="9" t="s">
        <v>211</v>
      </c>
      <c r="D146" s="9" t="s">
        <v>302</v>
      </c>
      <c r="E146" s="9" t="s">
        <v>252</v>
      </c>
      <c r="F146" s="134">
        <f t="shared" si="13"/>
        <v>519.77521066666668</v>
      </c>
      <c r="G146" s="134">
        <f t="shared" si="14"/>
        <v>375.6078296</v>
      </c>
      <c r="H146" s="28">
        <f t="shared" si="16"/>
        <v>0.72263513513513511</v>
      </c>
      <c r="I146" s="28">
        <f t="shared" si="18"/>
        <v>0.72263513513513511</v>
      </c>
      <c r="J146" s="9"/>
      <c r="K146" s="6" t="s">
        <v>233</v>
      </c>
      <c r="L146" s="48">
        <f t="shared" si="15"/>
        <v>1328869</v>
      </c>
      <c r="M146" s="9"/>
    </row>
    <row r="147" spans="1:13" x14ac:dyDescent="0.25">
      <c r="A147" s="9"/>
      <c r="C147" s="9" t="s">
        <v>211</v>
      </c>
      <c r="D147" s="9" t="s">
        <v>215</v>
      </c>
      <c r="E147" s="9" t="s">
        <v>169</v>
      </c>
      <c r="F147" s="134">
        <f t="shared" si="13"/>
        <v>162.88484347826088</v>
      </c>
      <c r="G147" s="134">
        <f t="shared" si="14"/>
        <v>91.807820869565219</v>
      </c>
      <c r="H147" s="28">
        <f t="shared" si="16"/>
        <v>0.5636363636363636</v>
      </c>
      <c r="I147" s="28">
        <f t="shared" si="18"/>
        <v>0.5636363636363636</v>
      </c>
      <c r="J147" s="9"/>
      <c r="K147" s="6" t="s">
        <v>233</v>
      </c>
      <c r="L147" s="48">
        <f t="shared" si="15"/>
        <v>598616</v>
      </c>
      <c r="M147" s="9"/>
    </row>
    <row r="148" spans="1:13" x14ac:dyDescent="0.25">
      <c r="A148" s="9"/>
      <c r="C148" s="9" t="s">
        <v>211</v>
      </c>
      <c r="D148" s="9" t="s">
        <v>216</v>
      </c>
      <c r="E148" s="9" t="s">
        <v>171</v>
      </c>
      <c r="F148" s="134">
        <f t="shared" si="13"/>
        <v>98.96900029998497</v>
      </c>
      <c r="G148" s="134">
        <f t="shared" si="14"/>
        <v>99.945464090718175</v>
      </c>
      <c r="H148" s="28">
        <f t="shared" si="16"/>
        <v>1.0098663600498483</v>
      </c>
      <c r="I148" s="28">
        <f t="shared" si="18"/>
        <v>1.0098663600498483</v>
      </c>
      <c r="J148" s="9"/>
      <c r="K148" s="6" t="s">
        <v>233</v>
      </c>
      <c r="L148" s="48">
        <f t="shared" si="15"/>
        <v>2189679</v>
      </c>
      <c r="M148" s="9"/>
    </row>
    <row r="151" spans="1:13" ht="15" x14ac:dyDescent="0.35">
      <c r="A151" s="1" t="s">
        <v>320</v>
      </c>
      <c r="C151" s="9"/>
      <c r="D151" s="9"/>
      <c r="E151" s="9"/>
      <c r="F151" s="9"/>
      <c r="G151" s="9"/>
      <c r="H151" s="9"/>
      <c r="I151" s="9"/>
      <c r="J151" s="9"/>
      <c r="K151" s="9"/>
      <c r="L151" s="9"/>
      <c r="M151" s="9"/>
    </row>
    <row r="153" spans="1:13" x14ac:dyDescent="0.25">
      <c r="A153" s="9"/>
      <c r="C153" s="9" t="s">
        <v>220</v>
      </c>
      <c r="D153" s="18" t="s">
        <v>321</v>
      </c>
      <c r="E153" s="24"/>
      <c r="F153" s="9"/>
      <c r="G153" s="9"/>
      <c r="H153" s="9"/>
      <c r="I153" s="9"/>
      <c r="J153" s="9"/>
      <c r="K153" s="9"/>
      <c r="L153" s="9"/>
      <c r="M153" s="9"/>
    </row>
    <row r="154" spans="1:13" x14ac:dyDescent="0.25">
      <c r="A154" s="9"/>
      <c r="C154" s="9" t="s">
        <v>147</v>
      </c>
      <c r="D154" s="28">
        <f>SUMPRODUCT(I113:I119,L113:L119)/SUM(L113:L119)</f>
        <v>0.6876955979119761</v>
      </c>
      <c r="E154" s="39"/>
      <c r="F154" s="39"/>
      <c r="G154" s="9"/>
      <c r="H154" s="9"/>
      <c r="I154" s="9"/>
      <c r="J154" s="9"/>
      <c r="K154" s="9"/>
      <c r="L154" s="9"/>
      <c r="M154" s="9"/>
    </row>
    <row r="155" spans="1:13" x14ac:dyDescent="0.25">
      <c r="A155" s="9"/>
      <c r="C155" s="9" t="s">
        <v>183</v>
      </c>
      <c r="D155" s="28">
        <f>SUMPRODUCT(I120:I126,L120:L126)/SUM(L120:L126)</f>
        <v>0.72887655829288744</v>
      </c>
      <c r="E155" s="39"/>
      <c r="F155" s="39"/>
      <c r="G155" s="9"/>
      <c r="H155" s="9"/>
      <c r="I155" s="9"/>
      <c r="J155" s="9"/>
      <c r="K155" s="9"/>
      <c r="L155" s="9"/>
      <c r="M155" s="9"/>
    </row>
    <row r="156" spans="1:13" x14ac:dyDescent="0.25">
      <c r="A156" s="9"/>
      <c r="C156" s="9" t="s">
        <v>196</v>
      </c>
      <c r="D156" s="28">
        <f>SUMPRODUCT(I127:I133,L127:L133)/SUM(L127:L133)</f>
        <v>0.77813841053540977</v>
      </c>
      <c r="E156" s="39"/>
      <c r="F156" s="39"/>
      <c r="G156" s="9"/>
      <c r="H156" s="9"/>
      <c r="I156" s="9"/>
      <c r="J156" s="9"/>
      <c r="K156" s="9"/>
      <c r="L156" s="9"/>
      <c r="M156" s="9"/>
    </row>
    <row r="157" spans="1:13" x14ac:dyDescent="0.25">
      <c r="A157" s="9"/>
      <c r="C157" s="9" t="s">
        <v>203</v>
      </c>
      <c r="D157" s="28">
        <f>SUMPRODUCT(I134:I141,L134:L141)/SUM(L134:L141)</f>
        <v>0.79215405420193852</v>
      </c>
      <c r="E157" s="39"/>
      <c r="F157" s="39"/>
      <c r="G157" s="9"/>
      <c r="H157" s="9"/>
      <c r="I157" s="9"/>
      <c r="J157" s="9"/>
      <c r="K157" s="9"/>
      <c r="L157" s="9"/>
      <c r="M157" s="9"/>
    </row>
    <row r="158" spans="1:13" x14ac:dyDescent="0.25">
      <c r="A158" s="9"/>
      <c r="C158" s="9" t="s">
        <v>211</v>
      </c>
      <c r="D158" s="28">
        <f>SUMPRODUCT(I142:I148,L142:L148)/SUM(L142:L148)</f>
        <v>0.98431569751402759</v>
      </c>
      <c r="E158" s="39"/>
      <c r="F158" s="39"/>
      <c r="G158" s="9"/>
      <c r="H158" s="9"/>
      <c r="I158" s="9"/>
      <c r="J158" s="9"/>
      <c r="K158" s="9"/>
      <c r="L158" s="9"/>
      <c r="M158" s="9"/>
    </row>
    <row r="161" spans="1:18" ht="13.8" x14ac:dyDescent="0.3">
      <c r="A161" s="8" t="s">
        <v>322</v>
      </c>
      <c r="B161" s="8"/>
      <c r="C161" s="8"/>
      <c r="D161" s="8"/>
      <c r="E161" s="8"/>
      <c r="F161" s="8"/>
      <c r="G161" s="8"/>
      <c r="H161" s="8"/>
      <c r="I161" s="8"/>
      <c r="J161" s="8"/>
      <c r="K161" s="8"/>
      <c r="L161" s="8"/>
      <c r="M161" s="8"/>
      <c r="N161" s="8"/>
      <c r="O161" s="8"/>
      <c r="P161" s="8"/>
      <c r="Q161" s="8"/>
      <c r="R161" s="8"/>
    </row>
    <row r="163" spans="1:18" x14ac:dyDescent="0.25">
      <c r="A163" s="9"/>
      <c r="C163" s="9"/>
      <c r="D163" s="9"/>
      <c r="E163" s="9"/>
      <c r="F163" s="9"/>
      <c r="G163" s="21" t="s">
        <v>178</v>
      </c>
      <c r="H163" s="9"/>
      <c r="I163" s="9"/>
      <c r="J163" s="9"/>
      <c r="K163" s="9"/>
      <c r="L163" s="9"/>
      <c r="M163" s="9"/>
      <c r="O163" s="9"/>
      <c r="P163" s="9"/>
      <c r="Q163" s="9"/>
      <c r="R163" s="9"/>
    </row>
    <row r="164" spans="1:18" ht="26.4" x14ac:dyDescent="0.25">
      <c r="A164" s="9"/>
      <c r="C164" s="9" t="s">
        <v>220</v>
      </c>
      <c r="D164" s="9" t="s">
        <v>149</v>
      </c>
      <c r="E164" s="9" t="s">
        <v>150</v>
      </c>
      <c r="F164" s="9" t="s">
        <v>227</v>
      </c>
      <c r="G164" s="18" t="s">
        <v>323</v>
      </c>
      <c r="H164" s="18" t="s">
        <v>324</v>
      </c>
      <c r="I164" s="18" t="s">
        <v>325</v>
      </c>
      <c r="J164" s="9"/>
      <c r="K164" s="9"/>
      <c r="L164" s="9"/>
      <c r="M164" s="9"/>
      <c r="O164" s="9"/>
      <c r="P164" s="9"/>
      <c r="Q164" s="9"/>
      <c r="R164" s="9"/>
    </row>
    <row r="165" spans="1:18" x14ac:dyDescent="0.25">
      <c r="A165" s="9"/>
      <c r="C165" s="9" t="s">
        <v>147</v>
      </c>
      <c r="D165" s="9" t="s">
        <v>156</v>
      </c>
      <c r="E165" s="9" t="s">
        <v>157</v>
      </c>
      <c r="F165" s="6" t="s">
        <v>233</v>
      </c>
      <c r="G165" s="48">
        <f t="shared" ref="G165:G188" si="19">IF(C165="Leakage",INDEX(Leakage_properties,MATCH(E165,Leakage_properties_companies,0),MATCH($G$163,Companydata_years,0)),IF(F165="Water",INDEX(Households_water,MATCH(E165,Households_water_company,0),MATCH($G$163,Companydata_years,0)),INDEX(Households_waste,MATCH(E165,Households_waste_company,0),MATCH($G$163,Companydata_years,0))))</f>
        <v>2416460</v>
      </c>
      <c r="H165" s="131">
        <f t="shared" ref="H165:H188" si="20">G165/IF(F165="Water",AVERAGEIF(Companydata_years,$G$163,Households_water),Households_waste_average)</f>
        <v>1.6340062859399427</v>
      </c>
      <c r="I165" s="131">
        <f>MIN(H165,1)</f>
        <v>1</v>
      </c>
      <c r="J165" s="28"/>
      <c r="K165" s="9"/>
      <c r="L165" s="9"/>
      <c r="M165" s="9"/>
      <c r="O165" s="9"/>
      <c r="P165" s="9"/>
      <c r="Q165" s="9"/>
      <c r="R165" s="9"/>
    </row>
    <row r="166" spans="1:18" x14ac:dyDescent="0.25">
      <c r="A166" s="9"/>
      <c r="C166" s="9" t="s">
        <v>147</v>
      </c>
      <c r="D166" s="21" t="s">
        <v>160</v>
      </c>
      <c r="E166" s="21" t="s">
        <v>161</v>
      </c>
      <c r="F166" s="6" t="s">
        <v>233</v>
      </c>
      <c r="G166" s="48">
        <f t="shared" si="19"/>
        <v>1264677.7233966</v>
      </c>
      <c r="H166" s="131">
        <f t="shared" si="20"/>
        <v>0.85517300088487314</v>
      </c>
      <c r="I166" s="131">
        <f t="shared" ref="I166:I188" si="21">MIN(H166,1)</f>
        <v>0.85517300088487314</v>
      </c>
      <c r="J166" s="28"/>
      <c r="K166" s="9"/>
      <c r="L166" s="9"/>
      <c r="M166" s="9"/>
      <c r="O166" s="9"/>
      <c r="P166" s="9"/>
      <c r="Q166" s="9"/>
      <c r="R166" s="9"/>
    </row>
    <row r="167" spans="1:18" x14ac:dyDescent="0.25">
      <c r="A167" s="9"/>
      <c r="C167" s="9" t="s">
        <v>147</v>
      </c>
      <c r="D167" s="21" t="s">
        <v>162</v>
      </c>
      <c r="E167" s="21" t="s">
        <v>163</v>
      </c>
      <c r="F167" s="6" t="s">
        <v>233</v>
      </c>
      <c r="G167" s="48">
        <f t="shared" si="19"/>
        <v>880701.27660340408</v>
      </c>
      <c r="H167" s="131">
        <f t="shared" si="20"/>
        <v>0.59552875777182102</v>
      </c>
      <c r="I167" s="131">
        <f t="shared" si="21"/>
        <v>0.59552875777182102</v>
      </c>
      <c r="J167" s="28"/>
      <c r="K167" s="9"/>
      <c r="L167" s="9"/>
      <c r="M167" s="9"/>
      <c r="O167" s="9"/>
      <c r="P167" s="9"/>
      <c r="Q167" s="9"/>
      <c r="R167" s="9"/>
    </row>
    <row r="168" spans="1:18" x14ac:dyDescent="0.25">
      <c r="A168" s="9"/>
      <c r="C168" s="9" t="s">
        <v>147</v>
      </c>
      <c r="D168" s="21" t="s">
        <v>164</v>
      </c>
      <c r="E168" s="21" t="s">
        <v>165</v>
      </c>
      <c r="F168" s="6" t="s">
        <v>233</v>
      </c>
      <c r="G168" s="48">
        <f t="shared" si="19"/>
        <v>308044.5</v>
      </c>
      <c r="H168" s="131">
        <f t="shared" si="20"/>
        <v>0.20829918531621741</v>
      </c>
      <c r="I168" s="131">
        <f t="shared" si="21"/>
        <v>0.20829918531621741</v>
      </c>
      <c r="J168" s="28"/>
      <c r="K168" s="9"/>
      <c r="L168" s="9"/>
      <c r="M168" s="9"/>
      <c r="O168" s="9"/>
      <c r="P168" s="9"/>
      <c r="Q168" s="9"/>
      <c r="R168" s="9"/>
    </row>
    <row r="169" spans="1:18" x14ac:dyDescent="0.25">
      <c r="A169" s="9"/>
      <c r="C169" s="9" t="s">
        <v>147</v>
      </c>
      <c r="D169" s="21" t="s">
        <v>166</v>
      </c>
      <c r="E169" s="21" t="s">
        <v>167</v>
      </c>
      <c r="F169" s="6" t="s">
        <v>233</v>
      </c>
      <c r="G169" s="48">
        <f t="shared" si="19"/>
        <v>1109942.7233026898</v>
      </c>
      <c r="H169" s="131">
        <f t="shared" si="20"/>
        <v>0.75054144778307685</v>
      </c>
      <c r="I169" s="131">
        <f t="shared" si="21"/>
        <v>0.75054144778307685</v>
      </c>
      <c r="J169" s="28"/>
      <c r="K169" s="9"/>
      <c r="L169" s="9"/>
      <c r="M169" s="9"/>
      <c r="O169" s="9"/>
      <c r="P169" s="9"/>
      <c r="Q169" s="9"/>
      <c r="R169" s="9"/>
    </row>
    <row r="170" spans="1:18" x14ac:dyDescent="0.25">
      <c r="A170" s="9"/>
      <c r="C170" s="9" t="s">
        <v>147</v>
      </c>
      <c r="D170" s="21" t="s">
        <v>250</v>
      </c>
      <c r="E170" s="21" t="s">
        <v>190</v>
      </c>
      <c r="F170" s="6" t="s">
        <v>233</v>
      </c>
      <c r="G170" s="48">
        <f t="shared" si="19"/>
        <v>3475502.3599735498</v>
      </c>
      <c r="H170" s="131">
        <f t="shared" si="20"/>
        <v>2.350128991581026</v>
      </c>
      <c r="I170" s="131">
        <f t="shared" si="21"/>
        <v>1</v>
      </c>
      <c r="J170" s="28"/>
      <c r="K170" s="9"/>
      <c r="L170" s="9"/>
      <c r="M170" s="9"/>
      <c r="O170" s="9"/>
      <c r="P170" s="9"/>
      <c r="Q170" s="9"/>
      <c r="R170" s="9"/>
    </row>
    <row r="171" spans="1:18" x14ac:dyDescent="0.25">
      <c r="A171" s="9"/>
      <c r="C171" s="9" t="s">
        <v>147</v>
      </c>
      <c r="D171" s="9" t="s">
        <v>168</v>
      </c>
      <c r="E171" s="9" t="s">
        <v>169</v>
      </c>
      <c r="F171" s="6" t="s">
        <v>233</v>
      </c>
      <c r="G171" s="48">
        <f t="shared" si="19"/>
        <v>660203</v>
      </c>
      <c r="H171" s="131">
        <f t="shared" si="20"/>
        <v>0.44642818502950932</v>
      </c>
      <c r="I171" s="131">
        <f t="shared" si="21"/>
        <v>0.44642818502950932</v>
      </c>
      <c r="J171" s="28"/>
      <c r="K171" s="9"/>
      <c r="L171" s="9"/>
      <c r="M171" s="9"/>
      <c r="O171" s="9"/>
      <c r="P171" s="9"/>
      <c r="Q171" s="9"/>
      <c r="R171" s="9"/>
    </row>
    <row r="172" spans="1:18" x14ac:dyDescent="0.25">
      <c r="A172" s="9"/>
      <c r="C172" s="9" t="s">
        <v>147</v>
      </c>
      <c r="D172" s="9" t="s">
        <v>170</v>
      </c>
      <c r="E172" s="9" t="s">
        <v>171</v>
      </c>
      <c r="F172" s="6" t="s">
        <v>233</v>
      </c>
      <c r="G172" s="48">
        <f t="shared" si="19"/>
        <v>2429219.4492581002</v>
      </c>
      <c r="H172" s="131">
        <f t="shared" si="20"/>
        <v>1.642634204586586</v>
      </c>
      <c r="I172" s="131">
        <f t="shared" si="21"/>
        <v>1</v>
      </c>
      <c r="J172" s="28"/>
      <c r="K172" s="9"/>
      <c r="L172" s="9"/>
      <c r="M172" s="9"/>
      <c r="O172" s="9"/>
      <c r="P172" s="9"/>
      <c r="Q172" s="9"/>
      <c r="R172" s="9"/>
    </row>
    <row r="173" spans="1:18" x14ac:dyDescent="0.25">
      <c r="A173" s="9"/>
      <c r="C173" s="9" t="s">
        <v>183</v>
      </c>
      <c r="D173" s="21" t="s">
        <v>185</v>
      </c>
      <c r="E173" s="21" t="s">
        <v>186</v>
      </c>
      <c r="F173" s="6" t="s">
        <v>256</v>
      </c>
      <c r="G173" s="48">
        <f t="shared" si="19"/>
        <v>1199146</v>
      </c>
      <c r="H173" s="131">
        <f t="shared" si="20"/>
        <v>0.54301775239296357</v>
      </c>
      <c r="I173" s="131">
        <f t="shared" si="21"/>
        <v>0.54301775239296357</v>
      </c>
      <c r="J173" s="28"/>
      <c r="K173" s="9"/>
      <c r="L173" s="9"/>
      <c r="M173" s="9"/>
      <c r="O173" s="9"/>
      <c r="P173" s="9"/>
      <c r="Q173" s="9"/>
      <c r="R173" s="9"/>
    </row>
    <row r="174" spans="1:18" x14ac:dyDescent="0.25">
      <c r="A174" s="9"/>
      <c r="C174" s="9" t="s">
        <v>183</v>
      </c>
      <c r="D174" s="9" t="s">
        <v>189</v>
      </c>
      <c r="E174" s="9" t="s">
        <v>190</v>
      </c>
      <c r="F174" s="6" t="s">
        <v>256</v>
      </c>
      <c r="G174" s="48">
        <f t="shared" si="19"/>
        <v>3065202.8522729091</v>
      </c>
      <c r="H174" s="131">
        <f t="shared" si="20"/>
        <v>1.3880374562144528</v>
      </c>
      <c r="I174" s="131">
        <f t="shared" si="21"/>
        <v>1</v>
      </c>
      <c r="J174" s="28"/>
      <c r="K174" s="9"/>
      <c r="L174" s="9"/>
      <c r="M174" s="9"/>
      <c r="O174" s="9"/>
      <c r="P174" s="9"/>
      <c r="Q174" s="9"/>
      <c r="R174" s="9"/>
    </row>
    <row r="175" spans="1:18" x14ac:dyDescent="0.25">
      <c r="A175" s="9"/>
      <c r="C175" s="9" t="s">
        <v>183</v>
      </c>
      <c r="D175" s="9" t="s">
        <v>191</v>
      </c>
      <c r="E175" s="9" t="s">
        <v>169</v>
      </c>
      <c r="F175" s="6" t="s">
        <v>256</v>
      </c>
      <c r="G175" s="48">
        <f t="shared" si="19"/>
        <v>1240117</v>
      </c>
      <c r="H175" s="131">
        <f t="shared" si="20"/>
        <v>0.56157093968899929</v>
      </c>
      <c r="I175" s="131">
        <f t="shared" si="21"/>
        <v>0.56157093968899929</v>
      </c>
      <c r="J175" s="28"/>
      <c r="K175" s="9"/>
      <c r="L175" s="9"/>
      <c r="M175" s="9"/>
      <c r="O175" s="9"/>
      <c r="P175" s="9"/>
      <c r="Q175" s="9"/>
      <c r="R175" s="9"/>
    </row>
    <row r="176" spans="1:18" x14ac:dyDescent="0.25">
      <c r="A176" s="9"/>
      <c r="C176" s="9" t="s">
        <v>183</v>
      </c>
      <c r="D176" s="9" t="s">
        <v>192</v>
      </c>
      <c r="E176" s="9" t="s">
        <v>171</v>
      </c>
      <c r="F176" s="6" t="s">
        <v>256</v>
      </c>
      <c r="G176" s="48">
        <f t="shared" si="19"/>
        <v>2188885</v>
      </c>
      <c r="H176" s="131">
        <f t="shared" si="20"/>
        <v>0.99120825399632073</v>
      </c>
      <c r="I176" s="131">
        <f t="shared" si="21"/>
        <v>0.99120825399632073</v>
      </c>
      <c r="J176" s="28"/>
      <c r="K176" s="9"/>
      <c r="L176" s="9"/>
      <c r="M176" s="9"/>
      <c r="O176" s="9"/>
      <c r="P176" s="9"/>
      <c r="Q176" s="9"/>
      <c r="R176" s="9"/>
    </row>
    <row r="177" spans="1:18" x14ac:dyDescent="0.25">
      <c r="A177" s="9"/>
      <c r="C177" s="9" t="s">
        <v>196</v>
      </c>
      <c r="D177" s="21" t="s">
        <v>197</v>
      </c>
      <c r="E177" s="21" t="s">
        <v>198</v>
      </c>
      <c r="F177" s="6" t="s">
        <v>256</v>
      </c>
      <c r="G177" s="48">
        <f t="shared" si="19"/>
        <v>3891703.0691519603</v>
      </c>
      <c r="H177" s="131">
        <f t="shared" si="20"/>
        <v>1.7623073867499832</v>
      </c>
      <c r="I177" s="131">
        <f t="shared" si="21"/>
        <v>1</v>
      </c>
      <c r="J177" s="28"/>
      <c r="K177" s="9"/>
      <c r="L177" s="9"/>
      <c r="M177" s="9"/>
      <c r="O177" s="9"/>
      <c r="P177" s="9"/>
      <c r="Q177" s="9"/>
      <c r="R177" s="9"/>
    </row>
    <row r="178" spans="1:18" x14ac:dyDescent="0.25">
      <c r="A178" s="9"/>
      <c r="C178" s="9" t="s">
        <v>196</v>
      </c>
      <c r="D178" s="21" t="s">
        <v>200</v>
      </c>
      <c r="E178" s="21" t="s">
        <v>167</v>
      </c>
      <c r="F178" s="6" t="s">
        <v>256</v>
      </c>
      <c r="G178" s="48">
        <f t="shared" si="19"/>
        <v>736848</v>
      </c>
      <c r="H178" s="131">
        <f t="shared" si="20"/>
        <v>0.3336720839791405</v>
      </c>
      <c r="I178" s="131">
        <f t="shared" si="21"/>
        <v>0.3336720839791405</v>
      </c>
      <c r="J178" s="28"/>
      <c r="K178" s="9"/>
      <c r="L178" s="9"/>
      <c r="M178" s="9"/>
      <c r="O178" s="9"/>
      <c r="P178" s="9"/>
      <c r="Q178" s="9"/>
      <c r="R178" s="9"/>
    </row>
    <row r="179" spans="1:18" x14ac:dyDescent="0.25">
      <c r="A179" s="9"/>
      <c r="C179" s="9" t="s">
        <v>196</v>
      </c>
      <c r="D179" s="21" t="s">
        <v>201</v>
      </c>
      <c r="E179" s="21" t="s">
        <v>169</v>
      </c>
      <c r="F179" s="6" t="s">
        <v>256</v>
      </c>
      <c r="G179" s="48">
        <f t="shared" si="19"/>
        <v>1240117</v>
      </c>
      <c r="H179" s="131">
        <f t="shared" si="20"/>
        <v>0.56157093968899929</v>
      </c>
      <c r="I179" s="131">
        <f t="shared" si="21"/>
        <v>0.56157093968899929</v>
      </c>
      <c r="J179" s="28"/>
      <c r="K179" s="9"/>
      <c r="L179" s="9"/>
      <c r="M179" s="9"/>
      <c r="O179" s="9"/>
      <c r="P179" s="9"/>
      <c r="Q179" s="9"/>
      <c r="R179" s="9"/>
    </row>
    <row r="180" spans="1:18" x14ac:dyDescent="0.25">
      <c r="A180" s="9"/>
      <c r="C180" s="9" t="s">
        <v>196</v>
      </c>
      <c r="D180" s="21" t="s">
        <v>271</v>
      </c>
      <c r="E180" s="21" t="s">
        <v>171</v>
      </c>
      <c r="F180" s="6" t="s">
        <v>256</v>
      </c>
      <c r="G180" s="48">
        <f t="shared" si="19"/>
        <v>2188885</v>
      </c>
      <c r="H180" s="131">
        <f t="shared" si="20"/>
        <v>0.99120825399632073</v>
      </c>
      <c r="I180" s="131">
        <f t="shared" si="21"/>
        <v>0.99120825399632073</v>
      </c>
      <c r="J180" s="28"/>
      <c r="K180" s="9"/>
      <c r="L180" s="9"/>
      <c r="M180" s="9"/>
      <c r="O180" s="9"/>
      <c r="P180" s="9"/>
      <c r="Q180" s="9"/>
      <c r="R180" s="9"/>
    </row>
    <row r="181" spans="1:18" x14ac:dyDescent="0.25">
      <c r="A181" s="9"/>
      <c r="C181" s="9" t="s">
        <v>203</v>
      </c>
      <c r="D181" s="9" t="s">
        <v>279</v>
      </c>
      <c r="E181" s="9" t="s">
        <v>165</v>
      </c>
      <c r="F181" s="6" t="s">
        <v>233</v>
      </c>
      <c r="G181" s="48">
        <f t="shared" si="19"/>
        <v>286862</v>
      </c>
      <c r="H181" s="131">
        <f t="shared" si="20"/>
        <v>0.19397561358239071</v>
      </c>
      <c r="I181" s="131">
        <f t="shared" si="21"/>
        <v>0.19397561358239071</v>
      </c>
      <c r="J181" s="28"/>
      <c r="K181" s="9"/>
      <c r="L181" s="9"/>
      <c r="M181" s="9"/>
      <c r="O181" s="9"/>
      <c r="P181" s="9"/>
      <c r="Q181" s="9"/>
      <c r="R181" s="9"/>
    </row>
    <row r="182" spans="1:18" x14ac:dyDescent="0.25">
      <c r="A182" s="9"/>
      <c r="C182" s="9" t="s">
        <v>203</v>
      </c>
      <c r="D182" s="9" t="s">
        <v>204</v>
      </c>
      <c r="E182" s="9" t="s">
        <v>205</v>
      </c>
      <c r="F182" s="6" t="s">
        <v>233</v>
      </c>
      <c r="G182" s="48">
        <f t="shared" si="19"/>
        <v>1103495</v>
      </c>
      <c r="H182" s="131">
        <f t="shared" si="20"/>
        <v>0.74618150786824411</v>
      </c>
      <c r="I182" s="131">
        <f t="shared" si="21"/>
        <v>0.74618150786824411</v>
      </c>
      <c r="J182" s="28"/>
      <c r="K182" s="9"/>
      <c r="L182" s="9"/>
      <c r="M182" s="9"/>
      <c r="O182" s="9"/>
      <c r="P182" s="9"/>
      <c r="Q182" s="9"/>
      <c r="R182" s="9"/>
    </row>
    <row r="183" spans="1:18" x14ac:dyDescent="0.25">
      <c r="A183" s="9"/>
      <c r="C183" s="9" t="s">
        <v>203</v>
      </c>
      <c r="D183" s="9" t="s">
        <v>207</v>
      </c>
      <c r="E183" s="9" t="s">
        <v>169</v>
      </c>
      <c r="F183" s="6" t="s">
        <v>233</v>
      </c>
      <c r="G183" s="48">
        <f t="shared" si="19"/>
        <v>598616</v>
      </c>
      <c r="H183" s="131">
        <f t="shared" si="20"/>
        <v>0.40478315671032206</v>
      </c>
      <c r="I183" s="131">
        <f t="shared" si="21"/>
        <v>0.40478315671032206</v>
      </c>
      <c r="J183" s="28"/>
      <c r="K183" s="9"/>
      <c r="L183" s="9"/>
      <c r="M183" s="9"/>
      <c r="O183" s="9"/>
      <c r="P183" s="9"/>
      <c r="Q183" s="9"/>
      <c r="R183" s="9"/>
    </row>
    <row r="184" spans="1:18" x14ac:dyDescent="0.25">
      <c r="A184" s="9"/>
      <c r="C184" s="9" t="s">
        <v>203</v>
      </c>
      <c r="D184" s="9" t="s">
        <v>208</v>
      </c>
      <c r="E184" s="9" t="s">
        <v>171</v>
      </c>
      <c r="F184" s="6" t="s">
        <v>233</v>
      </c>
      <c r="G184" s="48">
        <f t="shared" si="19"/>
        <v>2189679</v>
      </c>
      <c r="H184" s="131">
        <f t="shared" si="20"/>
        <v>1.48065734594849</v>
      </c>
      <c r="I184" s="131">
        <f t="shared" si="21"/>
        <v>1</v>
      </c>
      <c r="J184" s="28"/>
      <c r="K184" s="9"/>
      <c r="L184" s="9"/>
      <c r="M184" s="9"/>
      <c r="O184" s="9"/>
      <c r="P184" s="9"/>
      <c r="Q184" s="9"/>
      <c r="R184" s="9"/>
    </row>
    <row r="185" spans="1:18" x14ac:dyDescent="0.25">
      <c r="A185" s="9"/>
      <c r="C185" s="9" t="s">
        <v>211</v>
      </c>
      <c r="D185" s="9" t="s">
        <v>212</v>
      </c>
      <c r="E185" s="9" t="s">
        <v>186</v>
      </c>
      <c r="F185" s="6" t="s">
        <v>233</v>
      </c>
      <c r="G185" s="48">
        <f t="shared" si="19"/>
        <v>1950799</v>
      </c>
      <c r="H185" s="131">
        <f t="shared" si="20"/>
        <v>1.3191270820147465</v>
      </c>
      <c r="I185" s="131">
        <f t="shared" si="21"/>
        <v>1</v>
      </c>
      <c r="J185" s="28"/>
      <c r="K185" s="9"/>
      <c r="L185" s="9"/>
      <c r="M185" s="9"/>
      <c r="O185" s="9"/>
      <c r="P185" s="9"/>
      <c r="Q185" s="9"/>
      <c r="R185" s="9"/>
    </row>
    <row r="186" spans="1:18" x14ac:dyDescent="0.25">
      <c r="A186" s="9"/>
      <c r="C186" s="9" t="s">
        <v>211</v>
      </c>
      <c r="D186" s="9" t="s">
        <v>214</v>
      </c>
      <c r="E186" s="9" t="s">
        <v>165</v>
      </c>
      <c r="F186" s="6" t="s">
        <v>233</v>
      </c>
      <c r="G186" s="48">
        <f t="shared" si="19"/>
        <v>286862</v>
      </c>
      <c r="H186" s="131">
        <f t="shared" si="20"/>
        <v>0.19397561358239071</v>
      </c>
      <c r="I186" s="131">
        <f t="shared" si="21"/>
        <v>0.19397561358239071</v>
      </c>
      <c r="J186" s="28"/>
      <c r="K186" s="9"/>
      <c r="L186" s="9"/>
      <c r="M186" s="9"/>
      <c r="O186" s="9"/>
      <c r="P186" s="9"/>
      <c r="Q186" s="9"/>
      <c r="R186" s="9"/>
    </row>
    <row r="187" spans="1:18" x14ac:dyDescent="0.25">
      <c r="A187" s="9"/>
      <c r="C187" s="9" t="s">
        <v>211</v>
      </c>
      <c r="D187" s="9" t="s">
        <v>215</v>
      </c>
      <c r="E187" s="9" t="s">
        <v>169</v>
      </c>
      <c r="F187" s="6" t="s">
        <v>233</v>
      </c>
      <c r="G187" s="48">
        <f t="shared" si="19"/>
        <v>598616</v>
      </c>
      <c r="H187" s="131">
        <f t="shared" si="20"/>
        <v>0.40478315671032206</v>
      </c>
      <c r="I187" s="131">
        <f>MIN(H187,1)</f>
        <v>0.40478315671032206</v>
      </c>
      <c r="J187" s="28"/>
      <c r="K187" s="9"/>
      <c r="L187" s="9"/>
      <c r="M187" s="9"/>
      <c r="O187" s="9"/>
      <c r="P187" s="9"/>
      <c r="Q187" s="9"/>
      <c r="R187" s="9"/>
    </row>
    <row r="188" spans="1:18" x14ac:dyDescent="0.25">
      <c r="A188" s="9"/>
      <c r="C188" s="9" t="s">
        <v>211</v>
      </c>
      <c r="D188" s="9" t="s">
        <v>216</v>
      </c>
      <c r="E188" s="9" t="s">
        <v>171</v>
      </c>
      <c r="F188" s="6" t="s">
        <v>233</v>
      </c>
      <c r="G188" s="48">
        <f t="shared" si="19"/>
        <v>2189679</v>
      </c>
      <c r="H188" s="131">
        <f t="shared" si="20"/>
        <v>1.48065734594849</v>
      </c>
      <c r="I188" s="131">
        <f t="shared" si="21"/>
        <v>1</v>
      </c>
      <c r="J188" s="28"/>
      <c r="K188" s="9"/>
      <c r="L188" s="9"/>
      <c r="M188" s="9"/>
      <c r="O188" s="9"/>
      <c r="P188" s="9"/>
      <c r="Q188" s="9"/>
      <c r="R188" s="9"/>
    </row>
    <row r="189" spans="1:18" x14ac:dyDescent="0.25">
      <c r="A189" s="9"/>
      <c r="C189" s="9"/>
      <c r="D189" s="9"/>
      <c r="E189" s="9"/>
      <c r="F189" s="9"/>
      <c r="G189" s="48"/>
      <c r="H189" s="53"/>
      <c r="I189" s="53"/>
      <c r="J189" s="9"/>
      <c r="K189" s="9"/>
      <c r="L189" s="9"/>
      <c r="M189" s="9"/>
      <c r="O189" s="9"/>
      <c r="P189" s="9"/>
      <c r="Q189" s="9"/>
      <c r="R189" s="9"/>
    </row>
    <row r="190" spans="1:18" x14ac:dyDescent="0.25">
      <c r="A190" s="9"/>
      <c r="C190" s="9"/>
      <c r="D190" s="9"/>
      <c r="E190" s="9"/>
      <c r="F190" s="9"/>
      <c r="G190" s="48"/>
      <c r="H190" s="53"/>
      <c r="I190" s="53"/>
      <c r="J190" s="9"/>
      <c r="K190" s="9"/>
      <c r="L190" s="9"/>
      <c r="M190" s="9"/>
      <c r="O190" s="9"/>
      <c r="P190" s="9"/>
      <c r="Q190" s="9"/>
      <c r="R190" s="9"/>
    </row>
    <row r="191" spans="1:18" ht="13.8" x14ac:dyDescent="0.3">
      <c r="A191" s="10" t="s">
        <v>22</v>
      </c>
      <c r="B191" s="10"/>
      <c r="C191" s="10"/>
      <c r="D191" s="10"/>
      <c r="E191" s="10"/>
      <c r="F191" s="10"/>
      <c r="G191" s="56"/>
      <c r="H191" s="57"/>
      <c r="I191" s="57"/>
      <c r="J191" s="10"/>
      <c r="K191" s="10"/>
      <c r="L191" s="10"/>
      <c r="M191" s="10"/>
      <c r="N191" s="10"/>
      <c r="O191" s="10"/>
      <c r="P191" s="10"/>
      <c r="Q191" s="10"/>
      <c r="R191" s="10"/>
    </row>
    <row r="192" spans="1:18" x14ac:dyDescent="0.25">
      <c r="A192" s="9"/>
      <c r="C192" s="9"/>
      <c r="D192" s="9"/>
      <c r="E192" s="9"/>
      <c r="F192" s="9"/>
      <c r="G192" s="9"/>
      <c r="H192" s="9"/>
      <c r="I192" s="9"/>
      <c r="J192" s="9"/>
      <c r="K192" s="9"/>
      <c r="L192" s="9"/>
      <c r="M192" s="9"/>
      <c r="O192" s="9"/>
      <c r="P192" s="9"/>
      <c r="Q192" s="9"/>
      <c r="R192" s="9"/>
    </row>
    <row r="193" spans="3:13" x14ac:dyDescent="0.25">
      <c r="C193" s="9"/>
      <c r="D193" s="9"/>
      <c r="E193" s="9"/>
      <c r="F193" s="9"/>
      <c r="G193" s="9"/>
      <c r="H193" s="9"/>
      <c r="I193" s="9"/>
      <c r="J193" s="9"/>
      <c r="K193" s="9"/>
      <c r="L193" s="9"/>
      <c r="M193" s="9"/>
    </row>
    <row r="194" spans="3:13" x14ac:dyDescent="0.25">
      <c r="C194" s="9"/>
      <c r="D194" s="9"/>
      <c r="E194" s="9"/>
      <c r="F194" s="9"/>
      <c r="G194" s="9"/>
      <c r="H194" s="9"/>
      <c r="I194" s="9"/>
      <c r="J194" s="9"/>
      <c r="K194" s="9"/>
      <c r="L194" s="9"/>
      <c r="M194" s="9"/>
    </row>
    <row r="195" spans="3:13" x14ac:dyDescent="0.25">
      <c r="C195" s="9"/>
      <c r="D195" s="9"/>
      <c r="E195" s="9"/>
      <c r="F195" s="9"/>
      <c r="G195" s="9"/>
      <c r="H195" s="9"/>
      <c r="I195" s="9"/>
      <c r="J195" s="9"/>
      <c r="K195" s="9"/>
      <c r="L195" s="9"/>
      <c r="M195" s="9"/>
    </row>
    <row r="196" spans="3:13" x14ac:dyDescent="0.25">
      <c r="C196" s="9"/>
      <c r="D196" s="9"/>
      <c r="E196" s="9"/>
      <c r="F196" s="9"/>
      <c r="G196" s="9"/>
      <c r="H196" s="9"/>
      <c r="I196" s="9"/>
      <c r="J196" s="9"/>
      <c r="K196" s="9"/>
      <c r="L196" s="9"/>
      <c r="M196" s="9"/>
    </row>
    <row r="197" spans="3:13" x14ac:dyDescent="0.25">
      <c r="C197" s="9"/>
      <c r="D197" s="9"/>
      <c r="E197" s="9"/>
      <c r="F197" s="9"/>
      <c r="G197" s="9"/>
      <c r="H197" s="9"/>
      <c r="I197" s="9"/>
      <c r="J197" s="9"/>
      <c r="K197" s="9"/>
      <c r="L197" s="9"/>
      <c r="M197" s="9"/>
    </row>
    <row r="198" spans="3:13" x14ac:dyDescent="0.25">
      <c r="C198" s="9"/>
      <c r="D198" s="9"/>
      <c r="E198" s="9"/>
      <c r="F198" s="9"/>
      <c r="G198" s="9"/>
      <c r="H198" s="9"/>
      <c r="I198" s="9"/>
      <c r="J198" s="9"/>
      <c r="K198" s="9"/>
      <c r="L198" s="9"/>
      <c r="M198" s="9"/>
    </row>
    <row r="199" spans="3:13" x14ac:dyDescent="0.25">
      <c r="C199" s="9"/>
      <c r="D199" s="9"/>
      <c r="E199" s="9"/>
      <c r="F199" s="9"/>
      <c r="G199" s="9"/>
      <c r="H199" s="9"/>
      <c r="I199" s="9"/>
      <c r="J199" s="9"/>
      <c r="K199" s="9"/>
      <c r="L199" s="9"/>
      <c r="M199" s="9"/>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0DCD8"/>
  </sheetPr>
  <dimension ref="A1:T160"/>
  <sheetViews>
    <sheetView zoomScaleNormal="100" workbookViewId="0">
      <pane ySplit="1" topLeftCell="A2" activePane="bottomLeft" state="frozen"/>
      <selection pane="bottomLeft" activeCell="A2" sqref="A2"/>
    </sheetView>
  </sheetViews>
  <sheetFormatPr defaultRowHeight="13.2" x14ac:dyDescent="0.25"/>
  <cols>
    <col min="1" max="2" width="2.77734375" customWidth="1"/>
    <col min="3" max="3" width="51.21875" customWidth="1"/>
    <col min="4" max="4" width="31.88671875" style="9" bestFit="1" customWidth="1"/>
    <col min="5" max="5" width="2.77734375" style="9" customWidth="1"/>
    <col min="6" max="12" width="19.21875" customWidth="1"/>
  </cols>
  <sheetData>
    <row r="1" spans="1:20" ht="30" x14ac:dyDescent="0.5">
      <c r="A1" s="3" t="s">
        <v>326</v>
      </c>
      <c r="B1" s="3"/>
      <c r="C1" s="3"/>
      <c r="D1" s="3"/>
      <c r="E1" s="3"/>
      <c r="F1" s="3"/>
      <c r="G1" s="3"/>
      <c r="H1" s="3"/>
      <c r="I1" s="3"/>
      <c r="J1" s="3"/>
      <c r="K1" s="3"/>
      <c r="L1" s="3"/>
      <c r="M1" s="3"/>
      <c r="N1" s="3"/>
      <c r="O1" s="3"/>
      <c r="P1" s="3"/>
      <c r="Q1" s="3"/>
      <c r="R1" s="9"/>
      <c r="S1" s="9"/>
      <c r="T1" s="9"/>
    </row>
    <row r="3" spans="1:20" x14ac:dyDescent="0.25">
      <c r="A3" s="9"/>
      <c r="B3" s="4" t="s">
        <v>327</v>
      </c>
      <c r="C3" s="9"/>
      <c r="F3" s="9"/>
      <c r="G3" s="9"/>
      <c r="H3" s="9"/>
      <c r="I3" s="9"/>
      <c r="J3" s="9"/>
      <c r="K3" s="9"/>
      <c r="L3" s="9"/>
      <c r="M3" s="9"/>
      <c r="N3" s="9"/>
      <c r="O3" s="9"/>
      <c r="P3" s="9"/>
      <c r="Q3" s="9"/>
      <c r="R3" s="9"/>
      <c r="S3" s="9"/>
      <c r="T3" s="9"/>
    </row>
    <row r="4" spans="1:20" s="9" customFormat="1" x14ac:dyDescent="0.25">
      <c r="B4" s="4" t="s">
        <v>328</v>
      </c>
    </row>
    <row r="5" spans="1:20" s="9" customFormat="1" x14ac:dyDescent="0.25">
      <c r="B5" s="4" t="s">
        <v>329</v>
      </c>
    </row>
    <row r="7" spans="1:20" ht="13.8" x14ac:dyDescent="0.3">
      <c r="A7" s="8" t="s">
        <v>147</v>
      </c>
      <c r="B7" s="8"/>
      <c r="C7" s="8"/>
      <c r="D7" s="8"/>
      <c r="E7" s="8"/>
      <c r="F7" s="8"/>
      <c r="G7" s="8"/>
      <c r="H7" s="8"/>
      <c r="I7" s="8"/>
      <c r="J7" s="8"/>
      <c r="K7" s="8"/>
      <c r="L7" s="8"/>
      <c r="M7" s="8"/>
      <c r="N7" s="8"/>
      <c r="O7" s="8"/>
      <c r="P7" s="8"/>
      <c r="Q7" s="8"/>
      <c r="R7" s="9"/>
      <c r="S7" s="9"/>
      <c r="T7" s="9"/>
    </row>
    <row r="9" spans="1:20" ht="15" x14ac:dyDescent="0.35">
      <c r="A9" s="1" t="s">
        <v>330</v>
      </c>
      <c r="B9" s="9"/>
      <c r="C9" s="9"/>
      <c r="F9" s="9"/>
      <c r="G9" s="9"/>
      <c r="H9" s="9"/>
      <c r="I9" s="9"/>
      <c r="J9" s="9"/>
      <c r="K9" s="9"/>
      <c r="L9" s="9"/>
      <c r="M9" s="9"/>
      <c r="N9" s="9"/>
      <c r="O9" s="9"/>
      <c r="P9" s="9"/>
      <c r="Q9" s="9"/>
      <c r="R9" s="9"/>
      <c r="S9" s="9"/>
      <c r="T9" s="9"/>
    </row>
    <row r="10" spans="1:20" x14ac:dyDescent="0.25">
      <c r="A10" s="9"/>
      <c r="B10" s="9"/>
      <c r="C10" s="9"/>
      <c r="F10" s="9"/>
      <c r="G10" s="9"/>
      <c r="H10" s="9"/>
      <c r="I10" s="9"/>
      <c r="J10" s="9"/>
      <c r="K10" s="24"/>
      <c r="L10" s="9"/>
      <c r="M10" s="9"/>
      <c r="N10" s="9"/>
      <c r="O10" s="9"/>
      <c r="P10" s="9"/>
      <c r="Q10" s="9"/>
      <c r="R10" s="9"/>
      <c r="S10" s="9"/>
      <c r="T10" s="9"/>
    </row>
    <row r="11" spans="1:20" x14ac:dyDescent="0.25">
      <c r="A11" s="9"/>
      <c r="B11" s="9"/>
      <c r="C11" s="9"/>
      <c r="F11" s="9" t="s">
        <v>157</v>
      </c>
      <c r="G11" s="9" t="s">
        <v>161</v>
      </c>
      <c r="H11" s="9" t="s">
        <v>163</v>
      </c>
      <c r="I11" s="9" t="s">
        <v>165</v>
      </c>
      <c r="J11" s="9" t="s">
        <v>167</v>
      </c>
      <c r="K11" s="9" t="s">
        <v>169</v>
      </c>
      <c r="L11" s="9" t="s">
        <v>171</v>
      </c>
      <c r="M11" s="9"/>
      <c r="N11" s="9"/>
      <c r="O11" s="9"/>
      <c r="P11" s="9"/>
      <c r="Q11" s="9"/>
      <c r="R11" s="9"/>
      <c r="S11" s="9"/>
      <c r="T11" s="9"/>
    </row>
    <row r="12" spans="1:20" x14ac:dyDescent="0.25">
      <c r="A12" s="9"/>
      <c r="B12" s="9"/>
      <c r="C12" s="9"/>
      <c r="D12" s="9" t="s">
        <v>224</v>
      </c>
      <c r="F12" s="9" t="s">
        <v>156</v>
      </c>
      <c r="G12" s="21" t="s">
        <v>160</v>
      </c>
      <c r="H12" s="21" t="s">
        <v>162</v>
      </c>
      <c r="I12" s="21" t="s">
        <v>164</v>
      </c>
      <c r="J12" s="21" t="s">
        <v>166</v>
      </c>
      <c r="K12" s="9" t="s">
        <v>168</v>
      </c>
      <c r="L12" s="9" t="s">
        <v>170</v>
      </c>
      <c r="M12" s="9"/>
      <c r="N12" s="9"/>
      <c r="O12" s="9"/>
      <c r="P12" s="9"/>
      <c r="Q12" s="9"/>
      <c r="R12" s="9"/>
      <c r="S12" s="9"/>
      <c r="T12" s="9"/>
    </row>
    <row r="13" spans="1:20" ht="26.4" x14ac:dyDescent="0.25">
      <c r="A13" s="9"/>
      <c r="B13" s="9" t="s">
        <v>331</v>
      </c>
      <c r="C13" s="54" t="s">
        <v>332</v>
      </c>
      <c r="F13" s="38">
        <f t="shared" ref="F13:L13" si="0">INDEX(A_output,MATCH($A$7,A_PC,0))</f>
        <v>0.25</v>
      </c>
      <c r="G13" s="38">
        <f t="shared" si="0"/>
        <v>0.25</v>
      </c>
      <c r="H13" s="38">
        <f t="shared" si="0"/>
        <v>0.25</v>
      </c>
      <c r="I13" s="38">
        <f t="shared" si="0"/>
        <v>0.25</v>
      </c>
      <c r="J13" s="38">
        <f t="shared" si="0"/>
        <v>0.25</v>
      </c>
      <c r="K13" s="38">
        <f t="shared" si="0"/>
        <v>0.25</v>
      </c>
      <c r="L13" s="38">
        <f t="shared" si="0"/>
        <v>0.25</v>
      </c>
      <c r="M13" s="9"/>
      <c r="N13" s="9"/>
      <c r="O13" s="9"/>
      <c r="P13" s="9"/>
      <c r="Q13" s="9"/>
      <c r="R13" s="9"/>
      <c r="S13" s="9"/>
      <c r="T13" s="9"/>
    </row>
    <row r="14" spans="1:20" x14ac:dyDescent="0.25">
      <c r="A14" s="9"/>
      <c r="B14" s="9" t="s">
        <v>333</v>
      </c>
      <c r="C14" s="54" t="s">
        <v>334</v>
      </c>
      <c r="F14" s="38">
        <f>INDEX(B_output,MATCH($A$7,B_PC,0))</f>
        <v>0.31444402950689587</v>
      </c>
      <c r="G14" s="38">
        <f t="shared" ref="G14:L14" si="1">INDEX(B_output,MATCH($A$7,B_PC,0))</f>
        <v>0.31444402950689587</v>
      </c>
      <c r="H14" s="38">
        <f t="shared" si="1"/>
        <v>0.31444402950689587</v>
      </c>
      <c r="I14" s="38">
        <f t="shared" si="1"/>
        <v>0.31444402950689587</v>
      </c>
      <c r="J14" s="38">
        <f t="shared" si="1"/>
        <v>0.31444402950689587</v>
      </c>
      <c r="K14" s="38">
        <f t="shared" si="1"/>
        <v>0.31444402950689587</v>
      </c>
      <c r="L14" s="38">
        <f t="shared" si="1"/>
        <v>0.31444402950689587</v>
      </c>
      <c r="M14" s="9"/>
      <c r="N14" s="9"/>
      <c r="O14" s="9"/>
      <c r="P14" s="9"/>
      <c r="Q14" s="9"/>
      <c r="R14" s="9"/>
      <c r="S14" s="9"/>
      <c r="T14" s="9"/>
    </row>
    <row r="15" spans="1:20" ht="26.4" x14ac:dyDescent="0.25">
      <c r="A15" s="9"/>
      <c r="B15" s="9" t="s">
        <v>335</v>
      </c>
      <c r="C15" s="54" t="s">
        <v>336</v>
      </c>
      <c r="F15" s="44">
        <f t="shared" ref="F15:L15" si="2">MIN(1,INDEX(C_output,MATCH($A$7,C_PC,0)))</f>
        <v>0.6876955979119761</v>
      </c>
      <c r="G15" s="44">
        <f t="shared" si="2"/>
        <v>0.6876955979119761</v>
      </c>
      <c r="H15" s="44">
        <f t="shared" si="2"/>
        <v>0.6876955979119761</v>
      </c>
      <c r="I15" s="44">
        <f t="shared" si="2"/>
        <v>0.6876955979119761</v>
      </c>
      <c r="J15" s="44">
        <f t="shared" si="2"/>
        <v>0.6876955979119761</v>
      </c>
      <c r="K15" s="44">
        <f t="shared" si="2"/>
        <v>0.6876955979119761</v>
      </c>
      <c r="L15" s="44">
        <f t="shared" si="2"/>
        <v>0.6876955979119761</v>
      </c>
      <c r="M15" s="9"/>
      <c r="N15" s="9"/>
      <c r="O15" s="9"/>
      <c r="P15" s="9"/>
      <c r="Q15" s="9"/>
      <c r="R15" s="9"/>
      <c r="S15" s="9"/>
      <c r="T15" s="9"/>
    </row>
    <row r="16" spans="1:20" x14ac:dyDescent="0.25">
      <c r="A16" s="9"/>
      <c r="B16" s="9" t="s">
        <v>337</v>
      </c>
      <c r="C16" s="54" t="s">
        <v>338</v>
      </c>
      <c r="F16" s="44">
        <f t="shared" ref="F16:L16" si="3">1/(1+Discountfactor)^Years</f>
        <v>0.84197316685852419</v>
      </c>
      <c r="G16" s="44">
        <f t="shared" si="3"/>
        <v>0.84197316685852419</v>
      </c>
      <c r="H16" s="44">
        <f t="shared" si="3"/>
        <v>0.84197316685852419</v>
      </c>
      <c r="I16" s="44">
        <f t="shared" si="3"/>
        <v>0.84197316685852419</v>
      </c>
      <c r="J16" s="44">
        <f t="shared" si="3"/>
        <v>0.84197316685852419</v>
      </c>
      <c r="K16" s="44">
        <f t="shared" si="3"/>
        <v>0.84197316685852419</v>
      </c>
      <c r="L16" s="44">
        <f t="shared" si="3"/>
        <v>0.84197316685852419</v>
      </c>
      <c r="M16" s="9"/>
      <c r="N16" s="9"/>
      <c r="O16" s="9"/>
      <c r="P16" s="9"/>
      <c r="Q16" s="9"/>
      <c r="R16" s="9"/>
      <c r="S16" s="9"/>
      <c r="T16" s="9"/>
    </row>
    <row r="17" spans="1:17" ht="26.4" x14ac:dyDescent="0.25">
      <c r="A17" s="9"/>
      <c r="B17" s="9" t="s">
        <v>339</v>
      </c>
      <c r="C17" s="54" t="s">
        <v>340</v>
      </c>
      <c r="F17" s="48">
        <f t="shared" ref="F17:L17" si="4">IF(INDEX(Type,MATCH($A7,Type_PC,0))="Water",Households_water_sum,Households_waste_sum)</f>
        <v>24967061.951404665</v>
      </c>
      <c r="G17" s="48">
        <f t="shared" si="4"/>
        <v>24967061.951404665</v>
      </c>
      <c r="H17" s="48">
        <f t="shared" si="4"/>
        <v>24967061.951404665</v>
      </c>
      <c r="I17" s="48">
        <f t="shared" si="4"/>
        <v>24967061.951404665</v>
      </c>
      <c r="J17" s="48">
        <f t="shared" si="4"/>
        <v>24967061.951404665</v>
      </c>
      <c r="K17" s="48">
        <f t="shared" si="4"/>
        <v>24967061.951404665</v>
      </c>
      <c r="L17" s="48">
        <f t="shared" si="4"/>
        <v>24967061.951404665</v>
      </c>
      <c r="M17" s="9"/>
      <c r="N17" s="9"/>
      <c r="O17" s="9"/>
      <c r="P17" s="9"/>
      <c r="Q17" s="9"/>
    </row>
    <row r="18" spans="1:17" x14ac:dyDescent="0.25">
      <c r="A18" s="9"/>
      <c r="B18" s="9" t="s">
        <v>341</v>
      </c>
      <c r="C18" s="54" t="s">
        <v>342</v>
      </c>
      <c r="F18" s="38">
        <f t="shared" ref="F18:L18" si="5">Costincentive_calib</f>
        <v>0.5</v>
      </c>
      <c r="G18" s="38">
        <f t="shared" si="5"/>
        <v>0.5</v>
      </c>
      <c r="H18" s="38">
        <f t="shared" si="5"/>
        <v>0.5</v>
      </c>
      <c r="I18" s="38">
        <f t="shared" si="5"/>
        <v>0.5</v>
      </c>
      <c r="J18" s="38">
        <f t="shared" si="5"/>
        <v>0.5</v>
      </c>
      <c r="K18" s="38">
        <f t="shared" si="5"/>
        <v>0.5</v>
      </c>
      <c r="L18" s="38">
        <f t="shared" si="5"/>
        <v>0.5</v>
      </c>
      <c r="M18" s="9"/>
      <c r="N18" s="9"/>
      <c r="O18" s="9"/>
      <c r="P18" s="9"/>
      <c r="Q18" s="9"/>
    </row>
    <row r="19" spans="1:17" ht="26.4" x14ac:dyDescent="0.25">
      <c r="A19" s="9"/>
      <c r="B19" s="9" t="s">
        <v>343</v>
      </c>
      <c r="C19" s="18" t="s">
        <v>344</v>
      </c>
      <c r="F19" s="44">
        <f>PRODUCT(F13:F18)/million</f>
        <v>0.56821840963826464</v>
      </c>
      <c r="G19" s="44">
        <f t="shared" ref="G19:L19" si="6">PRODUCT(G13:G18)/million</f>
        <v>0.56821840963826464</v>
      </c>
      <c r="H19" s="44">
        <f t="shared" si="6"/>
        <v>0.56821840963826464</v>
      </c>
      <c r="I19" s="44">
        <f t="shared" si="6"/>
        <v>0.56821840963826464</v>
      </c>
      <c r="J19" s="44">
        <f t="shared" si="6"/>
        <v>0.56821840963826464</v>
      </c>
      <c r="K19" s="44">
        <f t="shared" si="6"/>
        <v>0.56821840963826464</v>
      </c>
      <c r="L19" s="44">
        <f t="shared" si="6"/>
        <v>0.56821840963826464</v>
      </c>
      <c r="M19" s="9"/>
      <c r="N19" s="9"/>
      <c r="O19" s="9"/>
      <c r="P19" s="9"/>
      <c r="Q19" s="9"/>
    </row>
    <row r="20" spans="1:17" x14ac:dyDescent="0.25">
      <c r="A20" s="9"/>
      <c r="B20" s="9" t="s">
        <v>345</v>
      </c>
      <c r="C20" s="54" t="s">
        <v>325</v>
      </c>
      <c r="F20" s="38">
        <f t="shared" ref="F20:L20" si="7">INDEX(H_output,MATCH(F$12,H_ID,0))</f>
        <v>1</v>
      </c>
      <c r="G20" s="38">
        <f t="shared" si="7"/>
        <v>0.85517300088487314</v>
      </c>
      <c r="H20" s="38">
        <f t="shared" si="7"/>
        <v>0.59552875777182102</v>
      </c>
      <c r="I20" s="38">
        <f t="shared" si="7"/>
        <v>0.20829918531621741</v>
      </c>
      <c r="J20" s="38">
        <f t="shared" si="7"/>
        <v>0.75054144778307685</v>
      </c>
      <c r="K20" s="38">
        <f t="shared" si="7"/>
        <v>0.44642818502950932</v>
      </c>
      <c r="L20" s="38">
        <f t="shared" si="7"/>
        <v>1</v>
      </c>
      <c r="M20" s="9"/>
      <c r="N20" s="9"/>
      <c r="O20" s="9"/>
      <c r="P20" s="9"/>
      <c r="Q20" s="9"/>
    </row>
    <row r="21" spans="1:17" x14ac:dyDescent="0.25">
      <c r="A21" s="9"/>
      <c r="B21" s="9" t="s">
        <v>346</v>
      </c>
      <c r="C21" s="18" t="s">
        <v>347</v>
      </c>
      <c r="D21" s="9" t="s">
        <v>348</v>
      </c>
      <c r="F21" s="44">
        <f>F19*F20</f>
        <v>0.56821840963826464</v>
      </c>
      <c r="G21" s="44">
        <f t="shared" ref="G21:L21" si="8">G19*G20</f>
        <v>0.48592504252838492</v>
      </c>
      <c r="H21" s="44">
        <f t="shared" si="8"/>
        <v>0.33839040363495548</v>
      </c>
      <c r="I21" s="44">
        <f t="shared" si="8"/>
        <v>0.11835943180932723</v>
      </c>
      <c r="J21" s="44">
        <f t="shared" si="8"/>
        <v>0.4264714678269006</v>
      </c>
      <c r="K21" s="44">
        <f t="shared" si="8"/>
        <v>0.25366871331516472</v>
      </c>
      <c r="L21" s="44">
        <f t="shared" si="8"/>
        <v>0.56821840963826464</v>
      </c>
      <c r="M21" s="9"/>
      <c r="N21" s="9"/>
      <c r="O21" s="9"/>
      <c r="P21" s="9"/>
      <c r="Q21" s="9"/>
    </row>
    <row r="22" spans="1:17" x14ac:dyDescent="0.25">
      <c r="A22" s="9"/>
      <c r="B22" s="9" t="s">
        <v>349</v>
      </c>
      <c r="C22" s="54" t="s">
        <v>350</v>
      </c>
      <c r="D22" s="9" t="s">
        <v>348</v>
      </c>
      <c r="F22" s="38">
        <f>INDEX(ODI_out,MATCH(F12,ODI_ID,0))</f>
        <v>0.21935499999999999</v>
      </c>
      <c r="G22" s="38">
        <f t="shared" ref="G22:L22" si="9">INDEX(ODI_out,MATCH(G12,ODI_ID,0))</f>
        <v>0.14960761268858241</v>
      </c>
      <c r="H22" s="38">
        <f t="shared" si="9"/>
        <v>0.15411062568731976</v>
      </c>
      <c r="I22" s="38">
        <f t="shared" si="9"/>
        <v>0.34554765912136354</v>
      </c>
      <c r="J22" s="38">
        <f t="shared" si="9"/>
        <v>0.37</v>
      </c>
      <c r="K22" s="38">
        <f t="shared" si="9"/>
        <v>0.22</v>
      </c>
      <c r="L22" s="38">
        <f t="shared" si="9"/>
        <v>0.13895244177505731</v>
      </c>
      <c r="M22" s="9"/>
      <c r="N22" s="9"/>
      <c r="O22" s="9"/>
      <c r="P22" s="9"/>
      <c r="Q22" s="9"/>
    </row>
    <row r="23" spans="1:17" x14ac:dyDescent="0.25">
      <c r="A23" s="9"/>
      <c r="B23" s="9" t="s">
        <v>351</v>
      </c>
      <c r="C23" s="18" t="s">
        <v>352</v>
      </c>
      <c r="D23" s="9" t="s">
        <v>348</v>
      </c>
      <c r="F23" s="28">
        <f>F22+F21</f>
        <v>0.78757340963826461</v>
      </c>
      <c r="G23" s="28">
        <f t="shared" ref="G23:L23" si="10">G22+G21</f>
        <v>0.63553265521696733</v>
      </c>
      <c r="H23" s="28">
        <f t="shared" si="10"/>
        <v>0.49250102932227524</v>
      </c>
      <c r="I23" s="28">
        <f t="shared" si="10"/>
        <v>0.46390709093069077</v>
      </c>
      <c r="J23" s="28">
        <f t="shared" si="10"/>
        <v>0.79647146782690059</v>
      </c>
      <c r="K23" s="28">
        <f t="shared" si="10"/>
        <v>0.47366871331516469</v>
      </c>
      <c r="L23" s="28">
        <f t="shared" si="10"/>
        <v>0.70717085141332192</v>
      </c>
      <c r="M23" s="9"/>
      <c r="N23" s="9"/>
      <c r="O23" s="9"/>
      <c r="P23" s="9"/>
      <c r="Q23" s="9"/>
    </row>
    <row r="24" spans="1:17" x14ac:dyDescent="0.25">
      <c r="A24" s="9"/>
      <c r="B24" s="9" t="s">
        <v>353</v>
      </c>
      <c r="C24" s="55" t="s">
        <v>354</v>
      </c>
      <c r="D24" s="9" t="s">
        <v>348</v>
      </c>
      <c r="F24" s="38">
        <f t="shared" ref="F24:L24" si="11">INDEX(enhanced_out,MATCH(F$12,enhanced_ID,0))</f>
        <v>0.94103499999999995</v>
      </c>
      <c r="G24" s="38">
        <f t="shared" si="11"/>
        <v>0.26645000000000002</v>
      </c>
      <c r="H24" s="38">
        <f t="shared" si="11"/>
        <v>0.48801299999999997</v>
      </c>
      <c r="I24" s="38">
        <f t="shared" si="11"/>
        <v>1.0764590000000001</v>
      </c>
      <c r="J24" s="38">
        <f t="shared" si="11"/>
        <v>0.74</v>
      </c>
      <c r="K24" s="38">
        <f t="shared" si="11"/>
        <v>0.87780000000000014</v>
      </c>
      <c r="L24" s="38">
        <f t="shared" si="11"/>
        <v>2.7401119999999999</v>
      </c>
      <c r="M24" s="9"/>
      <c r="N24" s="9"/>
      <c r="O24" s="9"/>
      <c r="P24" s="9"/>
      <c r="Q24" s="9"/>
    </row>
    <row r="25" spans="1:17" x14ac:dyDescent="0.25">
      <c r="A25" s="9"/>
      <c r="B25" s="9" t="s">
        <v>355</v>
      </c>
      <c r="C25" s="55" t="s">
        <v>356</v>
      </c>
      <c r="D25" s="9" t="s">
        <v>348</v>
      </c>
      <c r="F25" s="38">
        <f t="shared" ref="F25:L25" si="12">INDEX(enhanced_under,MATCH(F$12,enhanced_ID,0))</f>
        <v>-1.5661119999999999</v>
      </c>
      <c r="G25" s="38">
        <f t="shared" si="12"/>
        <v>-0.26645000000000002</v>
      </c>
      <c r="H25" s="38">
        <f t="shared" si="12"/>
        <v>-0.48801299999999997</v>
      </c>
      <c r="I25" s="38">
        <f t="shared" si="12"/>
        <v>-1.1181000000000001</v>
      </c>
      <c r="J25" s="38">
        <f t="shared" si="12"/>
        <v>-1.4495530000000001</v>
      </c>
      <c r="K25" s="38">
        <f t="shared" si="12"/>
        <v>-0.95760000000000001</v>
      </c>
      <c r="L25" s="38">
        <f t="shared" si="12"/>
        <v>-1.41</v>
      </c>
      <c r="M25" s="9"/>
      <c r="N25" s="9"/>
      <c r="O25" s="9"/>
      <c r="P25" s="9"/>
      <c r="Q25" s="9"/>
    </row>
    <row r="26" spans="1:17" x14ac:dyDescent="0.25">
      <c r="A26" s="9"/>
      <c r="B26" s="9"/>
      <c r="C26" s="9"/>
      <c r="F26" s="9"/>
      <c r="G26" s="9"/>
      <c r="H26" s="9"/>
      <c r="I26" s="9"/>
      <c r="J26" s="9"/>
      <c r="K26" s="9"/>
      <c r="L26" s="9"/>
      <c r="M26" s="9"/>
      <c r="N26" s="9"/>
      <c r="O26" s="9"/>
      <c r="P26" s="9"/>
      <c r="Q26" s="9"/>
    </row>
    <row r="27" spans="1:17" x14ac:dyDescent="0.25">
      <c r="A27" s="9"/>
      <c r="B27" s="9"/>
      <c r="C27" s="9"/>
      <c r="F27" s="9"/>
      <c r="G27" s="9"/>
      <c r="H27" s="9"/>
      <c r="I27" s="9"/>
      <c r="J27" s="9"/>
      <c r="K27" s="9"/>
      <c r="L27" s="9"/>
      <c r="M27" s="9"/>
      <c r="N27" s="9"/>
      <c r="O27" s="9"/>
      <c r="P27" s="9"/>
      <c r="Q27" s="9"/>
    </row>
    <row r="28" spans="1:17" ht="15" x14ac:dyDescent="0.35">
      <c r="A28" s="1" t="s">
        <v>357</v>
      </c>
      <c r="B28" s="9"/>
      <c r="C28" s="9"/>
      <c r="F28" s="42"/>
      <c r="G28" s="42"/>
      <c r="H28" s="42"/>
      <c r="I28" s="42"/>
      <c r="J28" s="42"/>
      <c r="K28" s="42"/>
      <c r="L28" s="42"/>
      <c r="M28" s="9"/>
      <c r="N28" s="9"/>
      <c r="O28" s="9"/>
      <c r="P28" s="9"/>
      <c r="Q28" s="9"/>
    </row>
    <row r="29" spans="1:17" x14ac:dyDescent="0.25">
      <c r="A29" s="9"/>
      <c r="B29" s="9"/>
      <c r="C29" s="9" t="s">
        <v>358</v>
      </c>
      <c r="D29" s="9" t="s">
        <v>348</v>
      </c>
      <c r="F29" s="132">
        <f>IF(F11=$F$36,$F$38,MIN(F23,F24))</f>
        <v>0.78757340963826461</v>
      </c>
      <c r="G29" s="132">
        <f t="shared" ref="G29:L29" si="13">IF(G11=$F$36,$F$38,MIN(G23,G24))</f>
        <v>0.26645000000000002</v>
      </c>
      <c r="H29" s="132">
        <f t="shared" si="13"/>
        <v>0.48801299999999997</v>
      </c>
      <c r="I29" s="132">
        <f t="shared" si="13"/>
        <v>0.46390709093069077</v>
      </c>
      <c r="J29" s="132">
        <f t="shared" si="13"/>
        <v>0.74</v>
      </c>
      <c r="K29" s="132">
        <f t="shared" si="13"/>
        <v>0.47366871331516469</v>
      </c>
      <c r="L29" s="132">
        <f t="shared" si="13"/>
        <v>0.70717085141332192</v>
      </c>
      <c r="M29" s="9"/>
      <c r="N29" s="9"/>
      <c r="O29" s="9"/>
      <c r="P29" s="9"/>
      <c r="Q29" s="9"/>
    </row>
    <row r="30" spans="1:17" x14ac:dyDescent="0.25">
      <c r="A30" s="9"/>
      <c r="B30" s="9"/>
      <c r="C30" s="9" t="s">
        <v>359</v>
      </c>
      <c r="D30" s="9" t="s">
        <v>348</v>
      </c>
      <c r="F30" s="28">
        <f t="shared" ref="F30:L30" si="14">F24-F29</f>
        <v>0.15346159036173534</v>
      </c>
      <c r="G30" s="28">
        <f t="shared" si="14"/>
        <v>0</v>
      </c>
      <c r="H30" s="28">
        <f t="shared" si="14"/>
        <v>0</v>
      </c>
      <c r="I30" s="28">
        <f t="shared" si="14"/>
        <v>0.61255190906930923</v>
      </c>
      <c r="J30" s="28">
        <f t="shared" si="14"/>
        <v>0</v>
      </c>
      <c r="K30" s="28">
        <f t="shared" si="14"/>
        <v>0.40413128668483544</v>
      </c>
      <c r="L30" s="28">
        <f t="shared" si="14"/>
        <v>2.0329411485866782</v>
      </c>
      <c r="M30" s="9"/>
      <c r="N30" s="28"/>
      <c r="O30" s="28"/>
      <c r="P30" s="28"/>
      <c r="Q30" s="28"/>
    </row>
    <row r="31" spans="1:17" x14ac:dyDescent="0.25">
      <c r="A31" s="9"/>
      <c r="B31" s="9"/>
      <c r="C31" s="9" t="s">
        <v>360</v>
      </c>
      <c r="D31" s="9" t="s">
        <v>348</v>
      </c>
      <c r="F31" s="132">
        <f>IF(F11=$F$36,$F$39,IF(F30&gt;0,(F29*-1),MIN((F29*-1),F25)))</f>
        <v>-0.78757340963826461</v>
      </c>
      <c r="G31" s="132">
        <f t="shared" ref="G31:L31" si="15">IF(G11=$F$36,$F$39,IF(G30&gt;0,(G29*-1),MIN((G29*-1),G25)))</f>
        <v>-0.26645000000000002</v>
      </c>
      <c r="H31" s="132">
        <f t="shared" si="15"/>
        <v>-0.48801299999999997</v>
      </c>
      <c r="I31" s="132">
        <f t="shared" si="15"/>
        <v>-0.46390709093069077</v>
      </c>
      <c r="J31" s="132">
        <f>IF(J11=$F$36,$F$39,IF(J30&gt;0,(J29*-1),MIN((J29*-1),J25)))</f>
        <v>-1.2305200000000001</v>
      </c>
      <c r="K31" s="132">
        <f t="shared" si="15"/>
        <v>-0.47366871331516469</v>
      </c>
      <c r="L31" s="132">
        <f t="shared" si="15"/>
        <v>-0.70717085141332192</v>
      </c>
      <c r="M31" s="9"/>
      <c r="N31" s="39"/>
      <c r="O31" s="39"/>
      <c r="P31" s="39"/>
      <c r="Q31" s="39"/>
    </row>
    <row r="32" spans="1:17" x14ac:dyDescent="0.25">
      <c r="A32" s="9"/>
      <c r="B32" s="9"/>
      <c r="C32" s="9"/>
      <c r="F32" s="28"/>
      <c r="G32" s="28"/>
      <c r="H32" s="28"/>
      <c r="I32" s="28"/>
      <c r="J32" s="28"/>
      <c r="K32" s="28"/>
      <c r="L32" s="28"/>
      <c r="M32" s="9"/>
      <c r="N32" s="28"/>
      <c r="O32" s="28"/>
      <c r="P32" s="28"/>
      <c r="Q32" s="28"/>
    </row>
    <row r="33" spans="1:17" ht="15" x14ac:dyDescent="0.35">
      <c r="A33" s="1" t="s">
        <v>361</v>
      </c>
      <c r="B33" s="9"/>
      <c r="C33" s="9"/>
      <c r="F33" s="28"/>
      <c r="G33" s="28"/>
      <c r="H33" s="28"/>
      <c r="I33" s="28"/>
      <c r="J33" s="28"/>
      <c r="K33" s="28"/>
      <c r="L33" s="28"/>
      <c r="M33" s="9"/>
      <c r="N33" s="28"/>
      <c r="O33" s="28"/>
      <c r="P33" s="28"/>
      <c r="Q33" s="28"/>
    </row>
    <row r="34" spans="1:17" x14ac:dyDescent="0.25">
      <c r="A34" s="4" t="s">
        <v>362</v>
      </c>
      <c r="B34" s="9"/>
      <c r="C34" s="9"/>
      <c r="F34" s="28"/>
      <c r="G34" s="28"/>
      <c r="H34" s="9"/>
      <c r="I34" s="9"/>
      <c r="J34" s="28"/>
      <c r="K34" s="28"/>
      <c r="L34" s="28"/>
      <c r="M34" s="9"/>
      <c r="N34" s="9"/>
      <c r="O34" s="9"/>
      <c r="P34" s="9"/>
      <c r="Q34" s="9"/>
    </row>
    <row r="35" spans="1:17" x14ac:dyDescent="0.25">
      <c r="A35" s="4"/>
      <c r="B35" s="9"/>
      <c r="C35" s="9"/>
      <c r="F35" s="28"/>
      <c r="G35" s="28"/>
      <c r="H35" s="9"/>
      <c r="I35" s="9"/>
      <c r="J35" s="28"/>
      <c r="K35" s="28"/>
      <c r="L35" s="28"/>
      <c r="M35" s="9"/>
      <c r="N35" s="9"/>
      <c r="O35" s="9"/>
      <c r="P35" s="9"/>
      <c r="Q35" s="9"/>
    </row>
    <row r="36" spans="1:17" x14ac:dyDescent="0.25">
      <c r="A36" s="4"/>
      <c r="B36" s="9"/>
      <c r="C36" s="9"/>
      <c r="D36" s="24"/>
      <c r="E36" s="24"/>
      <c r="F36" s="21" t="s">
        <v>167</v>
      </c>
      <c r="G36" s="9"/>
      <c r="H36" s="9"/>
      <c r="I36" s="9"/>
      <c r="J36" s="28"/>
      <c r="K36" s="28"/>
      <c r="L36" s="28"/>
      <c r="M36" s="9"/>
      <c r="N36" s="9"/>
      <c r="O36" s="9"/>
      <c r="P36" s="9"/>
      <c r="Q36" s="9"/>
    </row>
    <row r="37" spans="1:17" x14ac:dyDescent="0.25">
      <c r="A37" s="4"/>
      <c r="B37" s="9"/>
      <c r="C37" s="9"/>
      <c r="D37" s="21"/>
      <c r="E37" s="21"/>
      <c r="F37" s="21" t="s">
        <v>166</v>
      </c>
      <c r="G37" s="9"/>
      <c r="H37" s="9"/>
      <c r="I37" s="9"/>
      <c r="J37" s="28"/>
      <c r="K37" s="28"/>
      <c r="L37" s="28"/>
      <c r="M37" s="9"/>
      <c r="N37" s="9"/>
      <c r="O37" s="9"/>
      <c r="P37" s="9"/>
      <c r="Q37" s="9"/>
    </row>
    <row r="38" spans="1:17" x14ac:dyDescent="0.25">
      <c r="A38" s="9"/>
      <c r="B38" s="9"/>
      <c r="C38" s="9"/>
      <c r="D38" s="21" t="s">
        <v>153</v>
      </c>
      <c r="E38" s="21"/>
      <c r="F38" s="46">
        <f>INDEX(early_out,MATCH(F$37,early_ID,0))</f>
        <v>0.74</v>
      </c>
      <c r="G38" s="9"/>
      <c r="H38" s="9"/>
      <c r="I38" s="9"/>
      <c r="J38" s="9"/>
      <c r="K38" s="9"/>
      <c r="L38" s="9"/>
      <c r="M38" s="9"/>
      <c r="N38" s="9"/>
      <c r="O38" s="9"/>
      <c r="P38" s="9"/>
      <c r="Q38" s="9"/>
    </row>
    <row r="39" spans="1:17" x14ac:dyDescent="0.25">
      <c r="A39" s="9"/>
      <c r="B39" s="9"/>
      <c r="C39" s="9"/>
      <c r="D39" s="21" t="s">
        <v>152</v>
      </c>
      <c r="E39" s="21"/>
      <c r="F39" s="46">
        <f>INDEX(early_under,MATCH(F$37,early_ID,0))</f>
        <v>-1.2305200000000001</v>
      </c>
      <c r="G39" s="9"/>
      <c r="H39" s="9"/>
      <c r="I39" s="9"/>
      <c r="J39" s="9"/>
      <c r="K39" s="9"/>
      <c r="L39" s="9"/>
      <c r="M39" s="9"/>
      <c r="N39" s="9"/>
      <c r="O39" s="9"/>
      <c r="P39" s="9"/>
      <c r="Q39" s="9"/>
    </row>
    <row r="41" spans="1:17" ht="13.8" x14ac:dyDescent="0.3">
      <c r="A41" s="8" t="s">
        <v>183</v>
      </c>
      <c r="B41" s="8"/>
      <c r="C41" s="8"/>
      <c r="D41" s="8"/>
      <c r="E41" s="8"/>
      <c r="F41" s="8"/>
      <c r="G41" s="8"/>
      <c r="H41" s="8"/>
      <c r="I41" s="8"/>
      <c r="J41" s="8"/>
      <c r="K41" s="8"/>
      <c r="L41" s="8"/>
      <c r="M41" s="8"/>
      <c r="N41" s="8"/>
      <c r="O41" s="8"/>
      <c r="P41" s="8"/>
      <c r="Q41" s="8"/>
    </row>
    <row r="42" spans="1:17" x14ac:dyDescent="0.25">
      <c r="A42" s="9"/>
      <c r="B42" s="9"/>
      <c r="C42" s="9"/>
      <c r="F42" s="9"/>
      <c r="G42" s="9"/>
      <c r="H42" s="9"/>
      <c r="I42" s="9"/>
      <c r="J42" s="9"/>
      <c r="K42" s="9"/>
      <c r="L42" s="9"/>
      <c r="M42" s="9"/>
      <c r="N42" s="9"/>
      <c r="O42" s="9"/>
      <c r="P42" s="9"/>
      <c r="Q42" s="9"/>
    </row>
    <row r="43" spans="1:17" ht="15" x14ac:dyDescent="0.35">
      <c r="A43" s="1" t="s">
        <v>330</v>
      </c>
      <c r="B43" s="9"/>
      <c r="C43" s="9"/>
      <c r="F43" s="9"/>
      <c r="G43" s="9"/>
      <c r="H43" s="9"/>
      <c r="I43" s="9"/>
      <c r="J43" s="9"/>
      <c r="K43" s="9"/>
      <c r="L43" s="9"/>
      <c r="M43" s="9"/>
      <c r="N43" s="9"/>
      <c r="O43" s="9"/>
      <c r="P43" s="9"/>
      <c r="Q43" s="9"/>
    </row>
    <row r="44" spans="1:17" x14ac:dyDescent="0.25">
      <c r="A44" s="9"/>
      <c r="B44" s="9"/>
      <c r="C44" s="9"/>
      <c r="F44" s="9"/>
      <c r="G44" s="9"/>
      <c r="H44" s="9"/>
      <c r="I44" s="9"/>
      <c r="J44" s="9"/>
      <c r="K44" s="24"/>
      <c r="L44" s="9"/>
      <c r="M44" s="9"/>
      <c r="N44" s="9"/>
      <c r="O44" s="9"/>
      <c r="P44" s="9"/>
      <c r="Q44" s="9"/>
    </row>
    <row r="45" spans="1:17" x14ac:dyDescent="0.25">
      <c r="A45" s="9"/>
      <c r="B45" s="9"/>
      <c r="C45" s="9"/>
      <c r="F45" s="9" t="s">
        <v>186</v>
      </c>
      <c r="G45" s="9" t="s">
        <v>190</v>
      </c>
      <c r="H45" s="9" t="s">
        <v>169</v>
      </c>
      <c r="I45" s="9" t="s">
        <v>171</v>
      </c>
      <c r="J45" s="9"/>
      <c r="K45" s="70"/>
      <c r="L45" s="9"/>
      <c r="M45" s="9"/>
      <c r="N45" s="9"/>
      <c r="O45" s="9"/>
      <c r="P45" s="9"/>
      <c r="Q45" s="9"/>
    </row>
    <row r="46" spans="1:17" x14ac:dyDescent="0.25">
      <c r="A46" s="9"/>
      <c r="B46" s="9"/>
      <c r="C46" s="9"/>
      <c r="D46" s="9" t="s">
        <v>224</v>
      </c>
      <c r="F46" s="21" t="s">
        <v>185</v>
      </c>
      <c r="G46" s="9" t="s">
        <v>189</v>
      </c>
      <c r="H46" s="9" t="s">
        <v>191</v>
      </c>
      <c r="I46" s="9" t="s">
        <v>192</v>
      </c>
      <c r="J46" s="21"/>
      <c r="K46" s="21"/>
      <c r="L46" s="9"/>
      <c r="M46" s="9"/>
      <c r="N46" s="9"/>
      <c r="O46" s="9"/>
      <c r="P46" s="9"/>
      <c r="Q46" s="9"/>
    </row>
    <row r="47" spans="1:17" ht="26.4" x14ac:dyDescent="0.25">
      <c r="A47" s="9"/>
      <c r="B47" s="9" t="s">
        <v>331</v>
      </c>
      <c r="C47" s="54" t="s">
        <v>332</v>
      </c>
      <c r="F47" s="38">
        <f>INDEX(A_output,MATCH($A41,A_PC,0))</f>
        <v>0.4</v>
      </c>
      <c r="G47" s="38">
        <f>INDEX(A_output,MATCH($A41,A_PC,0))</f>
        <v>0.4</v>
      </c>
      <c r="H47" s="38">
        <f>INDEX(A_output,MATCH($A41,A_PC,0))</f>
        <v>0.4</v>
      </c>
      <c r="I47" s="38">
        <f>INDEX(A_output,MATCH($A41,A_PC,0))</f>
        <v>0.4</v>
      </c>
      <c r="J47" s="38"/>
      <c r="K47" s="38"/>
      <c r="L47" s="38"/>
      <c r="M47" s="9"/>
      <c r="N47" s="9"/>
      <c r="O47" s="9"/>
      <c r="P47" s="9"/>
      <c r="Q47" s="9"/>
    </row>
    <row r="48" spans="1:17" x14ac:dyDescent="0.25">
      <c r="A48" s="9"/>
      <c r="B48" s="9" t="s">
        <v>333</v>
      </c>
      <c r="C48" s="54" t="s">
        <v>334</v>
      </c>
      <c r="F48" s="38">
        <f>INDEX(B_output,MATCH($A41,B_PC,0))</f>
        <v>0.35488338414083559</v>
      </c>
      <c r="G48" s="38">
        <f>INDEX(B_output,MATCH($A41,B_PC,0))</f>
        <v>0.35488338414083559</v>
      </c>
      <c r="H48" s="38">
        <f>INDEX(B_output,MATCH($A41,B_PC,0))</f>
        <v>0.35488338414083559</v>
      </c>
      <c r="I48" s="38">
        <f>INDEX(B_output,MATCH($A41,B_PC,0))</f>
        <v>0.35488338414083559</v>
      </c>
      <c r="J48" s="38"/>
      <c r="K48" s="38"/>
      <c r="L48" s="38"/>
      <c r="M48" s="9"/>
      <c r="N48" s="9"/>
      <c r="O48" s="9"/>
      <c r="P48" s="9"/>
      <c r="Q48" s="9"/>
    </row>
    <row r="49" spans="1:17" ht="26.4" x14ac:dyDescent="0.25">
      <c r="A49" s="9"/>
      <c r="B49" s="9" t="s">
        <v>335</v>
      </c>
      <c r="C49" s="54" t="s">
        <v>336</v>
      </c>
      <c r="F49" s="44">
        <f>MIN(1,INDEX(C_output,MATCH($A41,C_PC,0)))</f>
        <v>0.72887655829288744</v>
      </c>
      <c r="G49" s="44">
        <f>MIN(1,INDEX(C_output,MATCH($A41,C_PC,0)))</f>
        <v>0.72887655829288744</v>
      </c>
      <c r="H49" s="44">
        <f>MIN(1,INDEX(C_output,MATCH($A41,C_PC,0)))</f>
        <v>0.72887655829288744</v>
      </c>
      <c r="I49" s="44">
        <f>MIN(1,INDEX(C_output,MATCH($A41,C_PC,0)))</f>
        <v>0.72887655829288744</v>
      </c>
      <c r="J49" s="44"/>
      <c r="K49" s="44"/>
      <c r="L49" s="44"/>
      <c r="M49" s="9"/>
      <c r="N49" s="9"/>
      <c r="O49" s="9"/>
      <c r="P49" s="9"/>
      <c r="Q49" s="9"/>
    </row>
    <row r="50" spans="1:17" x14ac:dyDescent="0.25">
      <c r="A50" s="9"/>
      <c r="B50" s="9" t="s">
        <v>337</v>
      </c>
      <c r="C50" s="54" t="s">
        <v>338</v>
      </c>
      <c r="F50" s="44">
        <f>1/(1+Discountfactor)^Years</f>
        <v>0.84197316685852419</v>
      </c>
      <c r="G50" s="44">
        <f>1/(1+Discountfactor)^Years</f>
        <v>0.84197316685852419</v>
      </c>
      <c r="H50" s="44">
        <f>1/(1+Discountfactor)^Years</f>
        <v>0.84197316685852419</v>
      </c>
      <c r="I50" s="44">
        <f>1/(1+Discountfactor)^Years</f>
        <v>0.84197316685852419</v>
      </c>
      <c r="J50" s="44"/>
      <c r="K50" s="44"/>
      <c r="L50" s="44"/>
      <c r="M50" s="9"/>
      <c r="N50" s="9"/>
      <c r="O50" s="9"/>
      <c r="P50" s="9"/>
      <c r="Q50" s="9"/>
    </row>
    <row r="51" spans="1:17" ht="26.4" x14ac:dyDescent="0.25">
      <c r="A51" s="9"/>
      <c r="B51" s="9" t="s">
        <v>339</v>
      </c>
      <c r="C51" s="54" t="s">
        <v>340</v>
      </c>
      <c r="F51" s="48">
        <f>IF(INDEX(Type,MATCH($A41,Type_PC,0))="Water",Households_water_sum,Households_waste_sum)</f>
        <v>24291297.921424869</v>
      </c>
      <c r="G51" s="48">
        <f>IF(INDEX(Type,MATCH($A41,Type_PC,0))="Water",Households_water_sum,Households_waste_sum)</f>
        <v>24291297.921424869</v>
      </c>
      <c r="H51" s="48">
        <f>IF(INDEX(Type,MATCH($A41,Type_PC,0))="Water",Households_water_sum,Households_waste_sum)</f>
        <v>24291297.921424869</v>
      </c>
      <c r="I51" s="48">
        <f>IF(INDEX(Type,MATCH($A41,Type_PC,0))="Water",Households_water_sum,Households_waste_sum)</f>
        <v>24291297.921424869</v>
      </c>
      <c r="J51" s="48"/>
      <c r="K51" s="48"/>
      <c r="L51" s="48"/>
      <c r="M51" s="9"/>
      <c r="N51" s="9"/>
      <c r="O51" s="9"/>
      <c r="P51" s="9"/>
      <c r="Q51" s="9"/>
    </row>
    <row r="52" spans="1:17" x14ac:dyDescent="0.25">
      <c r="A52" s="9"/>
      <c r="B52" s="9" t="s">
        <v>341</v>
      </c>
      <c r="C52" s="54" t="s">
        <v>342</v>
      </c>
      <c r="F52" s="38">
        <f>Costincentive_calib</f>
        <v>0.5</v>
      </c>
      <c r="G52" s="38">
        <f>Costincentive_calib</f>
        <v>0.5</v>
      </c>
      <c r="H52" s="38">
        <f>Costincentive_calib</f>
        <v>0.5</v>
      </c>
      <c r="I52" s="38">
        <f>Costincentive_calib</f>
        <v>0.5</v>
      </c>
      <c r="J52" s="46"/>
      <c r="K52" s="46"/>
      <c r="L52" s="46"/>
      <c r="M52" s="9"/>
      <c r="N52" s="9"/>
      <c r="O52" s="9"/>
      <c r="P52" s="9"/>
      <c r="Q52" s="9"/>
    </row>
    <row r="53" spans="1:17" ht="26.4" x14ac:dyDescent="0.25">
      <c r="A53" s="9"/>
      <c r="B53" s="9" t="s">
        <v>343</v>
      </c>
      <c r="C53" s="18" t="s">
        <v>344</v>
      </c>
      <c r="D53" s="18"/>
      <c r="E53" s="18"/>
      <c r="F53" s="44">
        <f>PRODUCT(F47:F52)/million</f>
        <v>1.0580802694556648</v>
      </c>
      <c r="G53" s="44">
        <f>PRODUCT(G47:G52)/million</f>
        <v>1.0580802694556648</v>
      </c>
      <c r="H53" s="44">
        <f>PRODUCT(H47:H52)/million</f>
        <v>1.0580802694556648</v>
      </c>
      <c r="I53" s="44">
        <f>PRODUCT(I47:I52)/million</f>
        <v>1.0580802694556648</v>
      </c>
      <c r="J53" s="44"/>
      <c r="K53" s="44"/>
      <c r="L53" s="9"/>
      <c r="M53" s="9"/>
      <c r="N53" s="9"/>
      <c r="O53" s="9"/>
      <c r="P53" s="9"/>
      <c r="Q53" s="9"/>
    </row>
    <row r="54" spans="1:17" x14ac:dyDescent="0.25">
      <c r="A54" s="9"/>
      <c r="B54" s="9" t="s">
        <v>345</v>
      </c>
      <c r="C54" s="54" t="s">
        <v>325</v>
      </c>
      <c r="F54" s="38">
        <f>INDEX(H_output,MATCH(F46,H_ID,0))</f>
        <v>0.54301775239296357</v>
      </c>
      <c r="G54" s="38">
        <f>INDEX(H_output,MATCH(G46,H_ID,0))</f>
        <v>1</v>
      </c>
      <c r="H54" s="38">
        <f>INDEX(H_output,MATCH(H46,H_ID,0))</f>
        <v>0.56157093968899929</v>
      </c>
      <c r="I54" s="38">
        <f>INDEX(H_output,MATCH(I46,H_ID,0))</f>
        <v>0.99120825399632073</v>
      </c>
      <c r="J54" s="46"/>
      <c r="K54" s="46"/>
      <c r="L54" s="9"/>
      <c r="M54" s="9"/>
      <c r="N54" s="9"/>
      <c r="O54" s="9"/>
      <c r="P54" s="9"/>
      <c r="Q54" s="9"/>
    </row>
    <row r="55" spans="1:17" x14ac:dyDescent="0.25">
      <c r="A55" s="9"/>
      <c r="B55" s="9" t="s">
        <v>346</v>
      </c>
      <c r="C55" s="18" t="s">
        <v>347</v>
      </c>
      <c r="D55" s="18" t="s">
        <v>254</v>
      </c>
      <c r="E55" s="18"/>
      <c r="F55" s="44">
        <f>F53*F54</f>
        <v>0.57455636977115632</v>
      </c>
      <c r="G55" s="44">
        <f t="shared" ref="G55" si="16">G53*G54</f>
        <v>1.0580802694556648</v>
      </c>
      <c r="H55" s="44">
        <f t="shared" ref="H55" si="17">H53*H54</f>
        <v>0.59418713118460731</v>
      </c>
      <c r="I55" s="44">
        <f t="shared" ref="I55" si="18">I53*I54</f>
        <v>1.048777896475106</v>
      </c>
      <c r="J55" s="23"/>
      <c r="K55" s="23"/>
      <c r="L55" s="9"/>
      <c r="M55" s="9"/>
      <c r="N55" s="9"/>
      <c r="O55" s="9"/>
      <c r="P55" s="9"/>
      <c r="Q55" s="9"/>
    </row>
    <row r="56" spans="1:17" x14ac:dyDescent="0.25">
      <c r="A56" s="9"/>
      <c r="B56" s="9" t="s">
        <v>349</v>
      </c>
      <c r="C56" s="54" t="s">
        <v>350</v>
      </c>
      <c r="D56" s="18" t="s">
        <v>254</v>
      </c>
      <c r="E56" s="18"/>
      <c r="F56" s="38">
        <f>INDEX(ODI_out,MATCH(F46,ODI_ID,0))</f>
        <v>0.29922500000000002</v>
      </c>
      <c r="G56" s="38">
        <f>INDEX(ODI_out,MATCH(G46,ODI_ID,0))</f>
        <v>0.76</v>
      </c>
      <c r="H56" s="38">
        <f>INDEX(ODI_out,MATCH(H46,ODI_ID,0))</f>
        <v>0.26</v>
      </c>
      <c r="I56" s="38">
        <f>INDEX(ODI_out,MATCH(I46,ODI_ID,0))</f>
        <v>0.43614199999999997</v>
      </c>
      <c r="J56" s="38"/>
      <c r="K56" s="38"/>
      <c r="L56" s="9"/>
      <c r="M56" s="9"/>
      <c r="N56" s="9"/>
      <c r="O56" s="9"/>
      <c r="P56" s="9"/>
      <c r="Q56" s="9"/>
    </row>
    <row r="57" spans="1:17" x14ac:dyDescent="0.25">
      <c r="A57" s="9"/>
      <c r="B57" s="9" t="s">
        <v>351</v>
      </c>
      <c r="C57" s="18" t="s">
        <v>352</v>
      </c>
      <c r="D57" s="18" t="s">
        <v>254</v>
      </c>
      <c r="E57" s="18"/>
      <c r="F57" s="28">
        <f>F56+F55</f>
        <v>0.87378136977115628</v>
      </c>
      <c r="G57" s="28">
        <f>G56+G55</f>
        <v>1.8180802694556648</v>
      </c>
      <c r="H57" s="28">
        <f t="shared" ref="H57" si="19">H56+H55</f>
        <v>0.85418713118460732</v>
      </c>
      <c r="I57" s="28">
        <f t="shared" ref="I57" si="20">I56+I55</f>
        <v>1.484919896475106</v>
      </c>
      <c r="J57" s="28"/>
      <c r="K57" s="28"/>
      <c r="L57" s="28"/>
      <c r="M57" s="9"/>
      <c r="N57" s="9"/>
      <c r="O57" s="9"/>
      <c r="P57" s="9"/>
      <c r="Q57" s="9"/>
    </row>
    <row r="58" spans="1:17" x14ac:dyDescent="0.25">
      <c r="A58" s="9"/>
      <c r="B58" s="9" t="s">
        <v>353</v>
      </c>
      <c r="C58" s="55" t="s">
        <v>354</v>
      </c>
      <c r="D58" s="18" t="s">
        <v>254</v>
      </c>
      <c r="E58" s="18"/>
      <c r="F58" s="38">
        <f>INDEX(enhanced_out,MATCH(F46,enhanced_ID,0))</f>
        <v>1.4961260000000001</v>
      </c>
      <c r="G58" s="38">
        <f>INDEX(enhanced_out,MATCH(G46,enhanced_ID,0))</f>
        <v>1.52</v>
      </c>
      <c r="H58" s="38">
        <f>INDEX(enhanced_out,MATCH(H46,enhanced_ID,0))</f>
        <v>1.1000000000000001</v>
      </c>
      <c r="I58" s="38">
        <f>INDEX(enhanced_out,MATCH(I46,enhanced_ID,0))</f>
        <v>0.59977100000000005</v>
      </c>
      <c r="J58" s="38"/>
      <c r="K58" s="38"/>
      <c r="L58" s="38"/>
      <c r="M58" s="9"/>
      <c r="N58" s="9"/>
      <c r="O58" s="9"/>
      <c r="P58" s="9"/>
      <c r="Q58" s="9"/>
    </row>
    <row r="59" spans="1:17" x14ac:dyDescent="0.25">
      <c r="A59" s="9"/>
      <c r="B59" s="9" t="s">
        <v>355</v>
      </c>
      <c r="C59" s="55" t="s">
        <v>356</v>
      </c>
      <c r="D59" s="18" t="s">
        <v>254</v>
      </c>
      <c r="E59" s="18"/>
      <c r="F59" s="38">
        <f>INDEX(enhanced_under,MATCH(F46,enhanced_ID,0))</f>
        <v>-1.4961260000000001</v>
      </c>
      <c r="G59" s="38">
        <f>INDEX(enhanced_under,MATCH(G46,enhanced_ID,0))</f>
        <v>-1.52</v>
      </c>
      <c r="H59" s="38">
        <f>INDEX(enhanced_under,MATCH(H46,enhanced_ID,0))</f>
        <v>-1.2</v>
      </c>
      <c r="I59" s="38">
        <f>INDEX(enhanced_under,MATCH(I46,enhanced_ID,0))</f>
        <v>-1.195465</v>
      </c>
      <c r="J59" s="38"/>
      <c r="K59" s="38"/>
      <c r="L59" s="38"/>
      <c r="M59" s="9"/>
      <c r="N59" s="9"/>
      <c r="O59" s="9"/>
      <c r="P59" s="9"/>
      <c r="Q59" s="9"/>
    </row>
    <row r="60" spans="1:17" x14ac:dyDescent="0.25">
      <c r="A60" s="9"/>
      <c r="B60" s="9"/>
      <c r="C60" s="9"/>
      <c r="F60" s="9"/>
      <c r="G60" s="9"/>
      <c r="H60" s="9"/>
      <c r="I60" s="9"/>
      <c r="J60" s="9"/>
      <c r="K60" s="38"/>
      <c r="L60" s="9"/>
      <c r="M60" s="9"/>
      <c r="N60" s="9"/>
      <c r="O60" s="9"/>
      <c r="P60" s="9"/>
      <c r="Q60" s="9"/>
    </row>
    <row r="61" spans="1:17" x14ac:dyDescent="0.25">
      <c r="A61" s="9"/>
      <c r="B61" s="9"/>
      <c r="C61" s="9"/>
      <c r="F61" s="9"/>
      <c r="G61" s="9"/>
      <c r="H61" s="9"/>
      <c r="I61" s="9"/>
      <c r="J61" s="9"/>
      <c r="K61" s="9"/>
      <c r="L61" s="9"/>
      <c r="M61" s="9"/>
      <c r="N61" s="9"/>
      <c r="O61" s="9"/>
      <c r="P61" s="9"/>
      <c r="Q61" s="9"/>
    </row>
    <row r="62" spans="1:17" ht="15" x14ac:dyDescent="0.35">
      <c r="A62" s="1" t="s">
        <v>357</v>
      </c>
      <c r="B62" s="9"/>
      <c r="C62" s="9"/>
      <c r="F62" s="44"/>
      <c r="G62" s="46"/>
      <c r="H62" s="23"/>
      <c r="I62" s="38"/>
      <c r="J62" s="9"/>
      <c r="K62" s="38"/>
      <c r="L62" s="9"/>
      <c r="M62" s="9"/>
      <c r="N62" s="9"/>
      <c r="O62" s="9"/>
      <c r="P62" s="9"/>
      <c r="Q62" s="9"/>
    </row>
    <row r="63" spans="1:17" x14ac:dyDescent="0.25">
      <c r="A63" s="9"/>
      <c r="B63" s="9"/>
      <c r="C63" s="9" t="s">
        <v>358</v>
      </c>
      <c r="D63" s="18" t="s">
        <v>254</v>
      </c>
      <c r="F63" s="132">
        <f>MIN(F57,F58)</f>
        <v>0.87378136977115628</v>
      </c>
      <c r="G63" s="132">
        <f>MIN(G57,G58)</f>
        <v>1.52</v>
      </c>
      <c r="H63" s="132">
        <f>MIN(H57,H58)</f>
        <v>0.85418713118460732</v>
      </c>
      <c r="I63" s="132">
        <f>MIN(I57,I58)</f>
        <v>0.59977100000000005</v>
      </c>
      <c r="J63" s="28"/>
      <c r="K63" s="28"/>
      <c r="L63" s="28"/>
      <c r="M63" s="9"/>
      <c r="N63" s="9"/>
      <c r="O63" s="9"/>
      <c r="P63" s="9"/>
      <c r="Q63" s="9"/>
    </row>
    <row r="64" spans="1:17" x14ac:dyDescent="0.25">
      <c r="A64" s="9"/>
      <c r="B64" s="9"/>
      <c r="C64" s="9" t="s">
        <v>359</v>
      </c>
      <c r="D64" s="18" t="s">
        <v>254</v>
      </c>
      <c r="F64" s="28">
        <f>F58-F63</f>
        <v>0.62234463022884379</v>
      </c>
      <c r="G64" s="28">
        <f>G58-G63</f>
        <v>0</v>
      </c>
      <c r="H64" s="28">
        <f>H58-H63</f>
        <v>0.24581286881539277</v>
      </c>
      <c r="I64" s="28">
        <f>I58-I63</f>
        <v>0</v>
      </c>
      <c r="J64" s="28"/>
      <c r="K64" s="28"/>
      <c r="L64" s="28"/>
      <c r="M64" s="9"/>
      <c r="N64" s="9"/>
      <c r="O64" s="9"/>
      <c r="P64" s="9"/>
      <c r="Q64" s="9"/>
    </row>
    <row r="65" spans="1:17" x14ac:dyDescent="0.25">
      <c r="A65" s="9"/>
      <c r="B65" s="9"/>
      <c r="C65" s="9" t="s">
        <v>360</v>
      </c>
      <c r="D65" s="18" t="s">
        <v>254</v>
      </c>
      <c r="F65" s="132">
        <f>IF(F64&gt;0,(F63*-1),MIN((F63*-1),F59))</f>
        <v>-0.87378136977115628</v>
      </c>
      <c r="G65" s="132">
        <f>IF(G64&gt;0,(G63*-1),MIN((G63*-1),G59))</f>
        <v>-1.52</v>
      </c>
      <c r="H65" s="132">
        <f>IF(H64&gt;0,(H63*-1),MIN((H63*-1),H59))</f>
        <v>-0.85418713118460732</v>
      </c>
      <c r="I65" s="132">
        <f>IF(I64&gt;0,(I63*-1),MIN((I63*-1),I59))</f>
        <v>-1.195465</v>
      </c>
      <c r="J65" s="28"/>
      <c r="K65" s="28"/>
      <c r="L65" s="28"/>
      <c r="M65" s="9"/>
      <c r="N65" s="9"/>
      <c r="O65" s="9"/>
      <c r="P65" s="9"/>
      <c r="Q65" s="9"/>
    </row>
    <row r="68" spans="1:17" ht="13.8" x14ac:dyDescent="0.3">
      <c r="A68" s="8" t="s">
        <v>196</v>
      </c>
      <c r="B68" s="8"/>
      <c r="C68" s="8"/>
      <c r="D68" s="8"/>
      <c r="E68" s="8"/>
      <c r="F68" s="8"/>
      <c r="G68" s="8"/>
      <c r="H68" s="8"/>
      <c r="I68" s="8"/>
      <c r="J68" s="8"/>
      <c r="K68" s="8"/>
      <c r="L68" s="8"/>
      <c r="M68" s="8"/>
      <c r="N68" s="8"/>
      <c r="O68" s="8"/>
      <c r="P68" s="8"/>
      <c r="Q68" s="8"/>
    </row>
    <row r="69" spans="1:17" x14ac:dyDescent="0.25">
      <c r="A69" s="9"/>
      <c r="B69" s="9"/>
      <c r="C69" s="9"/>
      <c r="F69" s="9"/>
      <c r="G69" s="9"/>
      <c r="H69" s="9"/>
      <c r="I69" s="9"/>
      <c r="J69" s="9"/>
      <c r="K69" s="9"/>
      <c r="L69" s="9"/>
      <c r="M69" s="9"/>
      <c r="N69" s="9"/>
      <c r="O69" s="9"/>
      <c r="P69" s="9"/>
      <c r="Q69" s="9"/>
    </row>
    <row r="70" spans="1:17" ht="15" x14ac:dyDescent="0.35">
      <c r="A70" s="1" t="s">
        <v>330</v>
      </c>
      <c r="B70" s="9"/>
      <c r="C70" s="9"/>
      <c r="F70" s="9"/>
      <c r="G70" s="24"/>
      <c r="H70" s="9"/>
      <c r="I70" s="9"/>
      <c r="J70" s="9"/>
      <c r="K70" s="9"/>
      <c r="L70" s="9"/>
      <c r="M70" s="9"/>
      <c r="N70" s="9"/>
      <c r="O70" s="9"/>
      <c r="P70" s="9"/>
      <c r="Q70" s="9"/>
    </row>
    <row r="71" spans="1:17" x14ac:dyDescent="0.25">
      <c r="A71" s="9"/>
      <c r="B71" s="9"/>
      <c r="C71" s="9"/>
      <c r="F71" s="9"/>
      <c r="G71" s="9"/>
      <c r="H71" s="9"/>
      <c r="I71" s="9"/>
      <c r="J71" s="9"/>
      <c r="K71" s="24"/>
      <c r="L71" s="9"/>
      <c r="M71" s="9"/>
      <c r="N71" s="9"/>
      <c r="O71" s="9"/>
      <c r="P71" s="9"/>
      <c r="Q71" s="9"/>
    </row>
    <row r="72" spans="1:17" x14ac:dyDescent="0.25">
      <c r="A72" s="9"/>
      <c r="B72" s="9"/>
      <c r="C72" s="9"/>
      <c r="F72" s="21" t="s">
        <v>198</v>
      </c>
      <c r="G72" s="21" t="s">
        <v>167</v>
      </c>
      <c r="H72" s="21" t="s">
        <v>169</v>
      </c>
      <c r="I72" s="21"/>
      <c r="J72" s="9"/>
      <c r="K72" s="9"/>
      <c r="L72" s="9"/>
      <c r="M72" s="9"/>
      <c r="N72" s="9"/>
      <c r="O72" s="9"/>
      <c r="P72" s="9"/>
      <c r="Q72" s="9"/>
    </row>
    <row r="73" spans="1:17" x14ac:dyDescent="0.25">
      <c r="A73" s="9"/>
      <c r="B73" s="9"/>
      <c r="C73" s="9"/>
      <c r="D73" s="9" t="s">
        <v>224</v>
      </c>
      <c r="F73" s="21" t="s">
        <v>197</v>
      </c>
      <c r="G73" s="21" t="s">
        <v>200</v>
      </c>
      <c r="H73" s="21" t="s">
        <v>201</v>
      </c>
      <c r="I73" s="21"/>
      <c r="J73" s="21"/>
      <c r="K73" s="21"/>
      <c r="L73" s="9"/>
      <c r="M73" s="9"/>
      <c r="N73" s="9"/>
      <c r="O73" s="9"/>
      <c r="P73" s="9"/>
      <c r="Q73" s="9"/>
    </row>
    <row r="74" spans="1:17" ht="26.4" x14ac:dyDescent="0.25">
      <c r="A74" s="9"/>
      <c r="B74" s="9" t="s">
        <v>331</v>
      </c>
      <c r="C74" s="54" t="s">
        <v>332</v>
      </c>
      <c r="F74" s="38">
        <f>INDEX(A_output,MATCH($A68,A_PC,0))</f>
        <v>0.4</v>
      </c>
      <c r="G74" s="38">
        <f>INDEX(A_output,MATCH($A68,A_PC,0))</f>
        <v>0.4</v>
      </c>
      <c r="H74" s="38">
        <f>INDEX(A_output,MATCH($A68,A_PC,0))</f>
        <v>0.4</v>
      </c>
      <c r="I74" s="38"/>
      <c r="J74" s="38"/>
      <c r="K74" s="38"/>
      <c r="L74" s="38"/>
      <c r="M74" s="9"/>
      <c r="N74" s="9"/>
      <c r="O74" s="9"/>
      <c r="P74" s="9"/>
      <c r="Q74" s="9"/>
    </row>
    <row r="75" spans="1:17" x14ac:dyDescent="0.25">
      <c r="A75" s="9"/>
      <c r="B75" s="9" t="s">
        <v>333</v>
      </c>
      <c r="C75" s="54" t="s">
        <v>334</v>
      </c>
      <c r="F75" s="38">
        <f>INDEX(B_output,MATCH($A68,B_PC,0))</f>
        <v>6.9861007647658031</v>
      </c>
      <c r="G75" s="38">
        <f>INDEX(B_output,MATCH($A68,B_PC,0))</f>
        <v>6.9861007647658031</v>
      </c>
      <c r="H75" s="38">
        <f>INDEX(B_output,MATCH($A68,B_PC,0))</f>
        <v>6.9861007647658031</v>
      </c>
      <c r="I75" s="38"/>
      <c r="J75" s="38"/>
      <c r="K75" s="38"/>
      <c r="L75" s="38"/>
      <c r="M75" s="9"/>
      <c r="N75" s="9"/>
      <c r="O75" s="9"/>
      <c r="P75" s="9"/>
      <c r="Q75" s="9"/>
    </row>
    <row r="76" spans="1:17" ht="26.4" x14ac:dyDescent="0.25">
      <c r="A76" s="9"/>
      <c r="B76" s="9" t="s">
        <v>335</v>
      </c>
      <c r="C76" s="54" t="s">
        <v>336</v>
      </c>
      <c r="F76" s="44">
        <f>MIN(1,INDEX(C_output,MATCH($A68,C_PC,0)))</f>
        <v>0.77813841053540977</v>
      </c>
      <c r="G76" s="44">
        <f>MIN(1,INDEX(C_output,MATCH($A68,C_PC,0)))</f>
        <v>0.77813841053540977</v>
      </c>
      <c r="H76" s="44">
        <f>MIN(1,INDEX(C_output,MATCH($A68,C_PC,0)))</f>
        <v>0.77813841053540977</v>
      </c>
      <c r="I76" s="44"/>
      <c r="J76" s="44"/>
      <c r="K76" s="44"/>
      <c r="L76" s="44"/>
      <c r="M76" s="9"/>
      <c r="N76" s="9"/>
      <c r="O76" s="9"/>
      <c r="P76" s="9"/>
      <c r="Q76" s="9"/>
    </row>
    <row r="77" spans="1:17" x14ac:dyDescent="0.25">
      <c r="A77" s="9"/>
      <c r="B77" s="9" t="s">
        <v>337</v>
      </c>
      <c r="C77" s="54" t="s">
        <v>338</v>
      </c>
      <c r="F77" s="44">
        <f>1/(1+Discountfactor)^Years</f>
        <v>0.84197316685852419</v>
      </c>
      <c r="G77" s="44">
        <f>1/(1+Discountfactor)^Years</f>
        <v>0.84197316685852419</v>
      </c>
      <c r="H77" s="44">
        <f>1/(1+Discountfactor)^Years</f>
        <v>0.84197316685852419</v>
      </c>
      <c r="I77" s="44"/>
      <c r="J77" s="44"/>
      <c r="K77" s="44"/>
      <c r="L77" s="44"/>
      <c r="M77" s="9"/>
      <c r="N77" s="9"/>
      <c r="O77" s="9"/>
      <c r="P77" s="9"/>
      <c r="Q77" s="9"/>
    </row>
    <row r="78" spans="1:17" ht="26.4" x14ac:dyDescent="0.25">
      <c r="A78" s="9"/>
      <c r="B78" s="9" t="s">
        <v>339</v>
      </c>
      <c r="C78" s="54" t="s">
        <v>340</v>
      </c>
      <c r="F78" s="48">
        <f>IF(INDEX(Type,MATCH($A68,Type_PC,0))="Water",Households_water_sum,Households_waste_sum)</f>
        <v>24291297.921424869</v>
      </c>
      <c r="G78" s="48">
        <f>IF(INDEX(Type,MATCH($A68,Type_PC,0))="Water",Households_water_sum,Households_waste_sum)</f>
        <v>24291297.921424869</v>
      </c>
      <c r="H78" s="48">
        <f>IF(INDEX(Type,MATCH($A68,Type_PC,0))="Water",Households_water_sum,Households_waste_sum)</f>
        <v>24291297.921424869</v>
      </c>
      <c r="I78" s="48"/>
      <c r="J78" s="48"/>
      <c r="K78" s="48"/>
      <c r="L78" s="48"/>
      <c r="M78" s="9"/>
      <c r="N78" s="9"/>
      <c r="O78" s="9"/>
      <c r="P78" s="9"/>
      <c r="Q78" s="9"/>
    </row>
    <row r="79" spans="1:17" x14ac:dyDescent="0.25">
      <c r="A79" s="9"/>
      <c r="B79" s="9" t="s">
        <v>341</v>
      </c>
      <c r="C79" s="54" t="s">
        <v>342</v>
      </c>
      <c r="F79" s="38">
        <f>Costincentive_calib</f>
        <v>0.5</v>
      </c>
      <c r="G79" s="38">
        <f>Costincentive_calib</f>
        <v>0.5</v>
      </c>
      <c r="H79" s="38">
        <f>Costincentive_calib</f>
        <v>0.5</v>
      </c>
      <c r="I79" s="46"/>
      <c r="J79" s="46"/>
      <c r="K79" s="46"/>
      <c r="L79" s="46"/>
      <c r="M79" s="9"/>
      <c r="N79" s="9"/>
      <c r="O79" s="9"/>
      <c r="P79" s="9"/>
      <c r="Q79" s="9"/>
    </row>
    <row r="80" spans="1:17" ht="26.4" x14ac:dyDescent="0.25">
      <c r="A80" s="9"/>
      <c r="B80" s="9" t="s">
        <v>343</v>
      </c>
      <c r="C80" s="18" t="s">
        <v>344</v>
      </c>
      <c r="D80" s="18"/>
      <c r="E80" s="18"/>
      <c r="F80" s="44">
        <f>PRODUCT(F74:F79)/million</f>
        <v>22.236716853689135</v>
      </c>
      <c r="G80" s="44">
        <f>PRODUCT(G74:G79)/million</f>
        <v>22.236716853689135</v>
      </c>
      <c r="H80" s="44">
        <f>PRODUCT(H74:H79)/million</f>
        <v>22.236716853689135</v>
      </c>
      <c r="I80" s="44"/>
      <c r="J80" s="44"/>
      <c r="K80" s="44"/>
      <c r="L80" s="44"/>
      <c r="M80" s="9"/>
      <c r="N80" s="9"/>
      <c r="O80" s="9"/>
      <c r="P80" s="9"/>
      <c r="Q80" s="9"/>
    </row>
    <row r="81" spans="1:17" x14ac:dyDescent="0.25">
      <c r="A81" s="9"/>
      <c r="B81" s="9" t="s">
        <v>345</v>
      </c>
      <c r="C81" s="54" t="s">
        <v>325</v>
      </c>
      <c r="F81" s="38">
        <f>INDEX(H_output,MATCH(F73,H_ID,0))</f>
        <v>1</v>
      </c>
      <c r="G81" s="38">
        <f>INDEX(H_output,MATCH(G73,H_ID,0))</f>
        <v>0.3336720839791405</v>
      </c>
      <c r="H81" s="38">
        <f>INDEX(H_output,MATCH(H73,H_ID,0))</f>
        <v>0.56157093968899929</v>
      </c>
      <c r="I81" s="46"/>
      <c r="J81" s="46"/>
      <c r="K81" s="46"/>
      <c r="L81" s="46"/>
      <c r="M81" s="9"/>
      <c r="N81" s="9"/>
      <c r="O81" s="9"/>
      <c r="P81" s="9"/>
      <c r="Q81" s="9"/>
    </row>
    <row r="82" spans="1:17" ht="13.5" customHeight="1" x14ac:dyDescent="0.25">
      <c r="A82" s="9"/>
      <c r="B82" s="9" t="s">
        <v>346</v>
      </c>
      <c r="C82" s="18" t="s">
        <v>347</v>
      </c>
      <c r="D82" s="18" t="s">
        <v>264</v>
      </c>
      <c r="E82" s="18"/>
      <c r="F82" s="44">
        <f>F80*F81</f>
        <v>22.236716853689135</v>
      </c>
      <c r="G82" s="44">
        <f t="shared" ref="G82" si="21">G80*G81</f>
        <v>7.4197716534245295</v>
      </c>
      <c r="H82" s="44">
        <f t="shared" ref="H82" si="22">H80*H81</f>
        <v>12.487493979124416</v>
      </c>
      <c r="I82" s="23"/>
      <c r="J82" s="23"/>
      <c r="K82" s="23"/>
      <c r="L82" s="23"/>
      <c r="M82" s="9"/>
      <c r="N82" s="9"/>
      <c r="O82" s="9"/>
      <c r="P82" s="9"/>
      <c r="Q82" s="9"/>
    </row>
    <row r="83" spans="1:17" ht="16.5" customHeight="1" x14ac:dyDescent="0.25">
      <c r="A83" s="9"/>
      <c r="B83" s="9" t="s">
        <v>349</v>
      </c>
      <c r="C83" s="54" t="s">
        <v>350</v>
      </c>
      <c r="D83" s="18" t="s">
        <v>264</v>
      </c>
      <c r="E83" s="18"/>
      <c r="F83" s="38">
        <f>INDEX(ODI_out,MATCH(F73,ODI_ID,0))</f>
        <v>18.72</v>
      </c>
      <c r="G83" s="38">
        <f>INDEX(ODI_out,MATCH(G73,ODI_ID,0))</f>
        <v>3.52</v>
      </c>
      <c r="H83" s="38">
        <f>INDEX(ODI_out,MATCH(H73,ODI_ID,0))</f>
        <v>5.6896105026868344</v>
      </c>
      <c r="I83" s="38"/>
      <c r="J83" s="38"/>
      <c r="K83" s="38"/>
      <c r="L83" s="38"/>
      <c r="M83" s="9"/>
      <c r="N83" s="9"/>
      <c r="O83" s="9"/>
      <c r="P83" s="9"/>
      <c r="Q83" s="9"/>
    </row>
    <row r="84" spans="1:17" ht="16.5" customHeight="1" x14ac:dyDescent="0.25">
      <c r="A84" s="9"/>
      <c r="B84" s="9" t="s">
        <v>351</v>
      </c>
      <c r="C84" s="18" t="s">
        <v>352</v>
      </c>
      <c r="D84" s="18" t="s">
        <v>264</v>
      </c>
      <c r="E84" s="18"/>
      <c r="F84" s="28">
        <f>F83+F82</f>
        <v>40.95671685368913</v>
      </c>
      <c r="G84" s="28">
        <f t="shared" ref="G84" si="23">G83+G82</f>
        <v>10.939771653424529</v>
      </c>
      <c r="H84" s="28">
        <f>H83+H82</f>
        <v>18.177104481811249</v>
      </c>
      <c r="I84" s="28"/>
      <c r="J84" s="28"/>
      <c r="K84" s="28"/>
      <c r="L84" s="28"/>
      <c r="M84" s="9"/>
      <c r="N84" s="9"/>
      <c r="O84" s="9"/>
      <c r="P84" s="9"/>
      <c r="Q84" s="9"/>
    </row>
    <row r="85" spans="1:17" ht="16.5" customHeight="1" x14ac:dyDescent="0.25">
      <c r="A85" s="9"/>
      <c r="B85" s="9" t="s">
        <v>353</v>
      </c>
      <c r="C85" s="55" t="s">
        <v>354</v>
      </c>
      <c r="D85" s="18" t="s">
        <v>264</v>
      </c>
      <c r="E85" s="18"/>
      <c r="F85" s="38">
        <f>INDEX(enhanced_out,MATCH(F73,enhanced_ID,0))</f>
        <v>28.08</v>
      </c>
      <c r="G85" s="38">
        <f>INDEX(enhanced_out,MATCH(G73,enhanced_ID,0))</f>
        <v>12.47124</v>
      </c>
      <c r="H85" s="38">
        <f>INDEX(enhanced_out,MATCH(H73,enhanced_ID,0))</f>
        <v>31</v>
      </c>
      <c r="I85" s="38"/>
      <c r="J85" s="38"/>
      <c r="K85" s="38"/>
      <c r="L85" s="38"/>
      <c r="M85" s="9"/>
      <c r="N85" s="9"/>
      <c r="O85" s="9"/>
      <c r="P85" s="9"/>
      <c r="Q85" s="9"/>
    </row>
    <row r="86" spans="1:17" ht="16.5" customHeight="1" x14ac:dyDescent="0.25">
      <c r="A86" s="9"/>
      <c r="B86" s="9" t="s">
        <v>355</v>
      </c>
      <c r="C86" s="55" t="s">
        <v>356</v>
      </c>
      <c r="D86" s="18" t="s">
        <v>264</v>
      </c>
      <c r="E86" s="18"/>
      <c r="F86" s="38">
        <f>INDEX(enhanced_under,MATCH(F73,enhanced_ID,0))</f>
        <v>-33.903727000000003</v>
      </c>
      <c r="G86" s="38">
        <f>INDEX(enhanced_under,MATCH(G73,enhanced_ID,0))</f>
        <v>-19.024132999999999</v>
      </c>
      <c r="H86" s="38">
        <f>INDEX(enhanced_under,MATCH(H73,enhanced_ID,0))</f>
        <v>-51</v>
      </c>
      <c r="I86" s="38"/>
      <c r="J86" s="38"/>
      <c r="K86" s="38"/>
      <c r="L86" s="38"/>
      <c r="M86" s="9"/>
      <c r="N86" s="9"/>
      <c r="O86" s="9"/>
      <c r="P86" s="9"/>
      <c r="Q86" s="9"/>
    </row>
    <row r="87" spans="1:17" x14ac:dyDescent="0.25">
      <c r="A87" s="9"/>
      <c r="B87" s="9"/>
      <c r="C87" s="9"/>
      <c r="F87" s="9"/>
      <c r="G87" s="9"/>
      <c r="H87" s="9"/>
      <c r="I87" s="9"/>
      <c r="J87" s="9"/>
      <c r="K87" s="9"/>
      <c r="L87" s="9"/>
      <c r="M87" s="9"/>
      <c r="N87" s="9"/>
      <c r="O87" s="9"/>
      <c r="P87" s="9"/>
      <c r="Q87" s="9"/>
    </row>
    <row r="88" spans="1:17" x14ac:dyDescent="0.25">
      <c r="A88" s="9"/>
      <c r="B88" s="9"/>
      <c r="C88" s="9"/>
      <c r="F88" s="9"/>
      <c r="G88" s="9"/>
      <c r="H88" s="9"/>
      <c r="I88" s="9"/>
      <c r="J88" s="9"/>
      <c r="K88" s="9"/>
      <c r="L88" s="9"/>
      <c r="M88" s="9"/>
      <c r="N88" s="9"/>
      <c r="O88" s="9"/>
      <c r="P88" s="9"/>
      <c r="Q88" s="9"/>
    </row>
    <row r="89" spans="1:17" ht="15" x14ac:dyDescent="0.35">
      <c r="A89" s="1" t="s">
        <v>357</v>
      </c>
      <c r="B89" s="9"/>
      <c r="C89" s="9"/>
      <c r="F89" s="9"/>
      <c r="G89" s="9"/>
      <c r="H89" s="9"/>
      <c r="I89" s="9"/>
      <c r="J89" s="9"/>
      <c r="K89" s="9"/>
      <c r="L89" s="9"/>
      <c r="M89" s="9"/>
      <c r="N89" s="9"/>
      <c r="O89" s="9"/>
      <c r="P89" s="9"/>
      <c r="Q89" s="9"/>
    </row>
    <row r="90" spans="1:17" ht="26.4" x14ac:dyDescent="0.25">
      <c r="A90" s="9"/>
      <c r="B90" s="9"/>
      <c r="C90" s="9" t="s">
        <v>358</v>
      </c>
      <c r="D90" s="18" t="s">
        <v>264</v>
      </c>
      <c r="F90" s="133">
        <f>F99</f>
        <v>28.08</v>
      </c>
      <c r="G90" s="133">
        <f>G99</f>
        <v>7.04</v>
      </c>
      <c r="H90" s="132">
        <f>MIN(H84,H85)</f>
        <v>18.177104481811249</v>
      </c>
      <c r="I90" s="25"/>
      <c r="J90" s="28"/>
      <c r="K90" s="28"/>
      <c r="L90" s="28"/>
      <c r="M90" s="9"/>
      <c r="N90" s="9"/>
      <c r="O90" s="9"/>
      <c r="P90" s="9"/>
      <c r="Q90" s="9"/>
    </row>
    <row r="91" spans="1:17" ht="26.4" x14ac:dyDescent="0.25">
      <c r="A91" s="9"/>
      <c r="B91" s="9"/>
      <c r="C91" s="9" t="s">
        <v>359</v>
      </c>
      <c r="D91" s="18" t="s">
        <v>264</v>
      </c>
      <c r="F91" s="28">
        <f t="shared" ref="F91:G91" si="24">F85-F90</f>
        <v>0</v>
      </c>
      <c r="G91" s="28">
        <f t="shared" si="24"/>
        <v>5.4312399999999998</v>
      </c>
      <c r="H91" s="28">
        <f>H85-H90</f>
        <v>12.822895518188751</v>
      </c>
      <c r="I91" s="25"/>
      <c r="J91" s="28"/>
      <c r="K91" s="28"/>
      <c r="L91" s="28"/>
      <c r="M91" s="9"/>
      <c r="N91" s="9"/>
      <c r="O91" s="9"/>
      <c r="P91" s="9"/>
      <c r="Q91" s="9"/>
    </row>
    <row r="92" spans="1:17" ht="26.4" x14ac:dyDescent="0.25">
      <c r="A92" s="9"/>
      <c r="B92" s="9"/>
      <c r="C92" s="9" t="s">
        <v>360</v>
      </c>
      <c r="D92" s="18" t="s">
        <v>264</v>
      </c>
      <c r="F92" s="133">
        <f>F100</f>
        <v>-33.903727000000003</v>
      </c>
      <c r="G92" s="133">
        <f>G100</f>
        <v>-19.024132999999999</v>
      </c>
      <c r="H92" s="132">
        <f>IF(H91&gt;0,(H90*-1),MIN((H90*-1),H86))</f>
        <v>-18.177104481811249</v>
      </c>
      <c r="I92" s="25"/>
      <c r="J92" s="28"/>
      <c r="K92" s="28"/>
      <c r="L92" s="28"/>
      <c r="M92" s="9"/>
      <c r="N92" s="9"/>
      <c r="O92" s="9"/>
      <c r="P92" s="9"/>
      <c r="Q92" s="9"/>
    </row>
    <row r="93" spans="1:17" x14ac:dyDescent="0.25">
      <c r="A93" s="9"/>
      <c r="B93" s="9"/>
      <c r="C93" s="24"/>
      <c r="D93" s="24"/>
      <c r="E93" s="24"/>
      <c r="F93" s="40"/>
      <c r="G93" s="40"/>
      <c r="H93" s="40"/>
      <c r="I93" s="40"/>
      <c r="J93" s="39"/>
      <c r="K93" s="9"/>
      <c r="L93" s="39"/>
      <c r="M93" s="9"/>
      <c r="N93" s="9"/>
      <c r="O93" s="9"/>
      <c r="P93" s="9"/>
      <c r="Q93" s="9"/>
    </row>
    <row r="94" spans="1:17" ht="15" x14ac:dyDescent="0.35">
      <c r="A94" s="1" t="s">
        <v>361</v>
      </c>
      <c r="B94" s="9"/>
      <c r="C94" s="24"/>
      <c r="D94" s="24"/>
      <c r="E94" s="24"/>
      <c r="F94" s="40"/>
      <c r="G94" s="40"/>
      <c r="H94" s="40"/>
      <c r="I94" s="40"/>
      <c r="J94" s="39"/>
      <c r="K94" s="9"/>
      <c r="L94" s="39"/>
      <c r="M94" s="9"/>
      <c r="N94" s="9"/>
      <c r="O94" s="9"/>
      <c r="P94" s="9"/>
      <c r="Q94" s="9"/>
    </row>
    <row r="95" spans="1:17" x14ac:dyDescent="0.25">
      <c r="A95" s="4" t="s">
        <v>363</v>
      </c>
      <c r="B95" s="9"/>
      <c r="C95" s="24"/>
      <c r="D95" s="24"/>
      <c r="E95" s="24"/>
      <c r="F95" s="40"/>
      <c r="G95" s="40"/>
      <c r="H95" s="40"/>
      <c r="I95" s="40"/>
      <c r="J95" s="9"/>
      <c r="K95" s="9"/>
      <c r="L95" s="9"/>
      <c r="M95" s="9"/>
      <c r="N95" s="9"/>
      <c r="O95" s="9"/>
      <c r="P95" s="9"/>
      <c r="Q95" s="9"/>
    </row>
    <row r="96" spans="1:17" x14ac:dyDescent="0.25">
      <c r="A96" s="4"/>
      <c r="B96" s="9"/>
      <c r="C96" s="24"/>
      <c r="D96" s="24"/>
      <c r="E96" s="24"/>
      <c r="F96" s="40"/>
      <c r="G96" s="40"/>
      <c r="H96" s="40"/>
      <c r="I96" s="40"/>
      <c r="J96" s="9"/>
      <c r="K96" s="9"/>
      <c r="L96" s="9"/>
      <c r="M96" s="9"/>
      <c r="N96" s="9"/>
      <c r="O96" s="9"/>
      <c r="P96" s="9"/>
      <c r="Q96" s="9"/>
    </row>
    <row r="97" spans="1:17" x14ac:dyDescent="0.25">
      <c r="A97" s="4"/>
      <c r="B97" s="9"/>
      <c r="C97" s="24"/>
      <c r="D97" s="24"/>
      <c r="E97" s="24"/>
      <c r="F97" s="21" t="s">
        <v>198</v>
      </c>
      <c r="G97" s="21" t="s">
        <v>167</v>
      </c>
      <c r="H97" s="40"/>
      <c r="I97" s="9"/>
      <c r="J97" s="9"/>
      <c r="K97" s="9"/>
      <c r="L97" s="9"/>
      <c r="M97" s="9"/>
      <c r="N97" s="9"/>
      <c r="O97" s="9"/>
      <c r="P97" s="9"/>
      <c r="Q97" s="9"/>
    </row>
    <row r="98" spans="1:17" x14ac:dyDescent="0.25">
      <c r="A98" s="4"/>
      <c r="B98" s="9"/>
      <c r="C98" s="21"/>
      <c r="D98" s="21"/>
      <c r="E98" s="21"/>
      <c r="F98" s="21" t="s">
        <v>197</v>
      </c>
      <c r="G98" s="21" t="s">
        <v>200</v>
      </c>
      <c r="H98" s="40"/>
      <c r="I98" s="9"/>
      <c r="J98" s="9"/>
      <c r="K98" s="9"/>
      <c r="L98" s="9"/>
      <c r="M98" s="9"/>
      <c r="N98" s="9"/>
      <c r="O98" s="9"/>
      <c r="P98" s="9"/>
      <c r="Q98" s="9"/>
    </row>
    <row r="99" spans="1:17" x14ac:dyDescent="0.25">
      <c r="A99" s="4"/>
      <c r="B99" s="9"/>
      <c r="C99" s="21"/>
      <c r="D99" s="21" t="s">
        <v>364</v>
      </c>
      <c r="E99" s="21"/>
      <c r="F99" s="46">
        <f>INDEX(early_out,MATCH(F$98,early_ID,0))</f>
        <v>28.08</v>
      </c>
      <c r="G99" s="46">
        <f>INDEX(early_out,MATCH(G$98,early_ID,0))</f>
        <v>7.04</v>
      </c>
      <c r="H99" s="40"/>
      <c r="I99" s="9"/>
      <c r="J99" s="9"/>
      <c r="K99" s="9"/>
      <c r="L99" s="9"/>
      <c r="M99" s="9"/>
      <c r="N99" s="9"/>
      <c r="O99" s="9"/>
      <c r="P99" s="9"/>
      <c r="Q99" s="9"/>
    </row>
    <row r="100" spans="1:17" x14ac:dyDescent="0.25">
      <c r="A100" s="9"/>
      <c r="B100" s="9"/>
      <c r="C100" s="9"/>
      <c r="D100" s="9" t="s">
        <v>365</v>
      </c>
      <c r="F100" s="46">
        <f>INDEX(early_under,MATCH(F$98,early_ID,0))</f>
        <v>-33.903727000000003</v>
      </c>
      <c r="G100" s="46">
        <f>INDEX(early_under,MATCH(G$98,early_ID,0))</f>
        <v>-19.024132999999999</v>
      </c>
      <c r="H100" s="9"/>
      <c r="I100" s="9"/>
      <c r="J100" s="9"/>
      <c r="K100" s="9"/>
      <c r="L100" s="9"/>
      <c r="M100" s="9"/>
      <c r="N100" s="9"/>
      <c r="O100" s="9"/>
      <c r="P100" s="9"/>
      <c r="Q100" s="9"/>
    </row>
    <row r="102" spans="1:17" ht="13.8" x14ac:dyDescent="0.3">
      <c r="A102" s="8" t="s">
        <v>203</v>
      </c>
      <c r="B102" s="8"/>
      <c r="C102" s="8"/>
      <c r="D102" s="8"/>
      <c r="E102" s="8"/>
      <c r="F102" s="8"/>
      <c r="G102" s="8"/>
      <c r="H102" s="8"/>
      <c r="I102" s="8"/>
      <c r="J102" s="8"/>
      <c r="K102" s="8"/>
      <c r="L102" s="8"/>
      <c r="M102" s="8"/>
      <c r="N102" s="8"/>
      <c r="O102" s="8"/>
      <c r="P102" s="8"/>
      <c r="Q102" s="8"/>
    </row>
    <row r="103" spans="1:17" x14ac:dyDescent="0.25">
      <c r="A103" s="9"/>
      <c r="B103" s="9"/>
      <c r="C103" s="9"/>
      <c r="F103" s="9"/>
      <c r="G103" s="9"/>
      <c r="H103" s="9"/>
      <c r="I103" s="9"/>
      <c r="J103" s="9"/>
      <c r="K103" s="9"/>
      <c r="L103" s="9"/>
      <c r="M103" s="9"/>
      <c r="N103" s="9"/>
      <c r="O103" s="9"/>
      <c r="P103" s="9"/>
      <c r="Q103" s="9"/>
    </row>
    <row r="104" spans="1:17" ht="15" x14ac:dyDescent="0.35">
      <c r="A104" s="1" t="s">
        <v>330</v>
      </c>
      <c r="B104" s="9"/>
      <c r="C104" s="9"/>
      <c r="F104" s="9"/>
      <c r="G104" s="9"/>
      <c r="H104" s="9"/>
      <c r="I104" s="9"/>
      <c r="J104" s="9"/>
      <c r="K104" s="9"/>
      <c r="L104" s="9"/>
      <c r="M104" s="9"/>
      <c r="N104" s="9"/>
      <c r="O104" s="9"/>
      <c r="P104" s="9"/>
      <c r="Q104" s="9"/>
    </row>
    <row r="105" spans="1:17" x14ac:dyDescent="0.25">
      <c r="A105" s="9"/>
      <c r="B105" s="9"/>
      <c r="C105" s="9"/>
      <c r="F105" s="9"/>
      <c r="G105" s="9"/>
      <c r="H105" s="9"/>
      <c r="I105" s="9"/>
      <c r="J105" s="9"/>
      <c r="K105" s="24"/>
      <c r="L105" s="9"/>
      <c r="M105" s="9"/>
      <c r="N105" s="9"/>
      <c r="O105" s="9"/>
      <c r="P105" s="9"/>
      <c r="Q105" s="9"/>
    </row>
    <row r="106" spans="1:17" x14ac:dyDescent="0.25">
      <c r="A106" s="9"/>
      <c r="B106" s="9"/>
      <c r="C106" s="9"/>
      <c r="F106" s="9" t="s">
        <v>205</v>
      </c>
      <c r="G106" s="9" t="s">
        <v>171</v>
      </c>
      <c r="H106" s="9"/>
      <c r="I106" s="9"/>
      <c r="J106" s="9"/>
      <c r="K106" s="9"/>
      <c r="L106" s="9"/>
      <c r="M106" s="9"/>
      <c r="N106" s="9"/>
      <c r="O106" s="9"/>
      <c r="P106" s="9"/>
      <c r="Q106" s="9"/>
    </row>
    <row r="107" spans="1:17" x14ac:dyDescent="0.25">
      <c r="A107" s="9"/>
      <c r="B107" s="9"/>
      <c r="C107" s="9"/>
      <c r="D107" s="9" t="s">
        <v>224</v>
      </c>
      <c r="F107" s="9" t="s">
        <v>204</v>
      </c>
      <c r="G107" s="9" t="s">
        <v>208</v>
      </c>
      <c r="H107" s="9"/>
      <c r="I107" s="21"/>
      <c r="J107" s="21"/>
      <c r="K107" s="9"/>
      <c r="L107" s="9"/>
      <c r="M107" s="9"/>
      <c r="N107" s="9"/>
      <c r="O107" s="9"/>
      <c r="P107" s="9"/>
      <c r="Q107" s="9"/>
    </row>
    <row r="108" spans="1:17" ht="26.4" x14ac:dyDescent="0.25">
      <c r="A108" s="9"/>
      <c r="B108" s="9" t="s">
        <v>331</v>
      </c>
      <c r="C108" s="54" t="s">
        <v>332</v>
      </c>
      <c r="F108" s="38">
        <f>INDEX(A_output,MATCH($A102,A_PC,0))</f>
        <v>0.25</v>
      </c>
      <c r="G108" s="38">
        <f>INDEX(A_output,MATCH($A102,A_PC,0))</f>
        <v>0.25</v>
      </c>
      <c r="H108" s="9"/>
      <c r="I108" s="38"/>
      <c r="J108" s="38"/>
      <c r="K108" s="38"/>
      <c r="L108" s="38"/>
      <c r="M108" s="9"/>
      <c r="N108" s="9"/>
      <c r="O108" s="9"/>
      <c r="P108" s="9"/>
      <c r="Q108" s="9"/>
    </row>
    <row r="109" spans="1:17" x14ac:dyDescent="0.25">
      <c r="A109" s="9"/>
      <c r="B109" s="9" t="s">
        <v>333</v>
      </c>
      <c r="C109" s="54" t="s">
        <v>334</v>
      </c>
      <c r="F109" s="38">
        <f>INDEX(B_output,MATCH($A102,B_PC,0))</f>
        <v>0.28941634756048917</v>
      </c>
      <c r="G109" s="38">
        <f>INDEX(B_output,MATCH($A102,B_PC,0))</f>
        <v>0.28941634756048917</v>
      </c>
      <c r="H109" s="9"/>
      <c r="I109" s="38"/>
      <c r="J109" s="38"/>
      <c r="K109" s="38"/>
      <c r="L109" s="38"/>
      <c r="M109" s="9"/>
      <c r="N109" s="9"/>
      <c r="O109" s="9"/>
      <c r="P109" s="9"/>
      <c r="Q109" s="9"/>
    </row>
    <row r="110" spans="1:17" ht="26.4" x14ac:dyDescent="0.25">
      <c r="A110" s="9"/>
      <c r="B110" s="9" t="s">
        <v>335</v>
      </c>
      <c r="C110" s="54" t="s">
        <v>336</v>
      </c>
      <c r="F110" s="44">
        <f>MIN(1,INDEX(C_output,MATCH($A102,C_PC,0)))</f>
        <v>0.79215405420193852</v>
      </c>
      <c r="G110" s="44">
        <f>MIN(1,INDEX(C_output,MATCH($A102,C_PC,0)))</f>
        <v>0.79215405420193852</v>
      </c>
      <c r="H110" s="9"/>
      <c r="I110" s="9"/>
      <c r="J110" s="71"/>
      <c r="K110" s="44"/>
      <c r="L110" s="44"/>
      <c r="M110" s="9"/>
      <c r="N110" s="9"/>
      <c r="O110" s="9"/>
      <c r="P110" s="9"/>
      <c r="Q110" s="9"/>
    </row>
    <row r="111" spans="1:17" x14ac:dyDescent="0.25">
      <c r="A111" s="9"/>
      <c r="B111" s="9" t="s">
        <v>337</v>
      </c>
      <c r="C111" s="54" t="s">
        <v>338</v>
      </c>
      <c r="F111" s="44">
        <f>1/(1+Discountfactor)^Years</f>
        <v>0.84197316685852419</v>
      </c>
      <c r="G111" s="44">
        <f>1/(1+Discountfactor)^Years</f>
        <v>0.84197316685852419</v>
      </c>
      <c r="H111" s="9"/>
      <c r="I111" s="44"/>
      <c r="J111" s="44"/>
      <c r="K111" s="44"/>
      <c r="L111" s="44"/>
      <c r="M111" s="9"/>
      <c r="N111" s="9"/>
      <c r="O111" s="9"/>
      <c r="P111" s="9"/>
      <c r="Q111" s="9"/>
    </row>
    <row r="112" spans="1:17" ht="26.4" x14ac:dyDescent="0.25">
      <c r="A112" s="9"/>
      <c r="B112" s="9" t="s">
        <v>339</v>
      </c>
      <c r="C112" s="54" t="s">
        <v>340</v>
      </c>
      <c r="F112" s="48">
        <f>IF(INDEX(Type,MATCH($A102,Type_PC,0))="Water",Households_water_sum,Households_waste_sum)</f>
        <v>24967061.951404665</v>
      </c>
      <c r="G112" s="48">
        <f>IF(INDEX(Type,MATCH($A102,Type_PC,0))="Water",Households_water_sum,Households_waste_sum)</f>
        <v>24967061.951404665</v>
      </c>
      <c r="H112" s="9"/>
      <c r="I112" s="48"/>
      <c r="J112" s="48"/>
      <c r="K112" s="48"/>
      <c r="L112" s="48"/>
      <c r="M112" s="9"/>
      <c r="N112" s="9"/>
      <c r="O112" s="9"/>
      <c r="P112" s="9"/>
      <c r="Q112" s="9"/>
    </row>
    <row r="113" spans="1:17" x14ac:dyDescent="0.25">
      <c r="A113" s="9"/>
      <c r="B113" s="9" t="s">
        <v>341</v>
      </c>
      <c r="C113" s="54" t="s">
        <v>342</v>
      </c>
      <c r="F113" s="38">
        <f>Costincentive_calib</f>
        <v>0.5</v>
      </c>
      <c r="G113" s="38">
        <f>Costincentive_calib</f>
        <v>0.5</v>
      </c>
      <c r="H113" s="9"/>
      <c r="I113" s="46"/>
      <c r="J113" s="46"/>
      <c r="K113" s="46"/>
      <c r="L113" s="46"/>
      <c r="M113" s="9"/>
      <c r="N113" s="9"/>
      <c r="O113" s="9"/>
      <c r="P113" s="9"/>
      <c r="Q113" s="9"/>
    </row>
    <row r="114" spans="1:17" ht="26.4" x14ac:dyDescent="0.25">
      <c r="A114" s="9"/>
      <c r="B114" s="9" t="s">
        <v>343</v>
      </c>
      <c r="C114" s="18" t="s">
        <v>344</v>
      </c>
      <c r="D114" s="18"/>
      <c r="E114" s="18"/>
      <c r="F114" s="44">
        <f>PRODUCT(F108:F113)/million</f>
        <v>0.60243252424127758</v>
      </c>
      <c r="G114" s="44">
        <f>PRODUCT(G108:G113)/million</f>
        <v>0.60243252424127758</v>
      </c>
      <c r="H114" s="9"/>
      <c r="I114" s="44"/>
      <c r="J114" s="44"/>
      <c r="K114" s="44"/>
      <c r="L114" s="44"/>
      <c r="M114" s="9"/>
      <c r="N114" s="9"/>
      <c r="O114" s="9"/>
      <c r="P114" s="9"/>
      <c r="Q114" s="9"/>
    </row>
    <row r="115" spans="1:17" x14ac:dyDescent="0.25">
      <c r="A115" s="9"/>
      <c r="B115" s="9" t="s">
        <v>345</v>
      </c>
      <c r="C115" s="54" t="s">
        <v>325</v>
      </c>
      <c r="F115" s="38">
        <f>INDEX(H_output,MATCH(F107,H_ID,0))</f>
        <v>0.74618150786824411</v>
      </c>
      <c r="G115" s="38">
        <f>INDEX(H_output,MATCH(G107,H_ID,0))</f>
        <v>1</v>
      </c>
      <c r="H115" s="9"/>
      <c r="I115" s="46"/>
      <c r="J115" s="46"/>
      <c r="K115" s="46"/>
      <c r="L115" s="46"/>
      <c r="M115" s="9"/>
      <c r="N115" s="9"/>
      <c r="O115" s="9"/>
      <c r="P115" s="9"/>
      <c r="Q115" s="9"/>
    </row>
    <row r="116" spans="1:17" x14ac:dyDescent="0.25">
      <c r="A116" s="9"/>
      <c r="B116" s="9" t="s">
        <v>346</v>
      </c>
      <c r="C116" s="18" t="s">
        <v>347</v>
      </c>
      <c r="D116" s="18" t="s">
        <v>206</v>
      </c>
      <c r="E116" s="18"/>
      <c r="F116" s="44">
        <f t="shared" ref="F116" si="25">F114*F115</f>
        <v>0.44952400932722902</v>
      </c>
      <c r="G116" s="44">
        <f t="shared" ref="G116" si="26">G114*G115</f>
        <v>0.60243252424127758</v>
      </c>
      <c r="H116" s="9"/>
      <c r="I116" s="23"/>
      <c r="J116" s="23"/>
      <c r="K116" s="23"/>
      <c r="L116" s="23"/>
      <c r="M116" s="9"/>
      <c r="N116" s="9"/>
      <c r="O116" s="9"/>
      <c r="P116" s="9"/>
      <c r="Q116" s="9"/>
    </row>
    <row r="117" spans="1:17" x14ac:dyDescent="0.25">
      <c r="A117" s="9"/>
      <c r="B117" s="9" t="s">
        <v>349</v>
      </c>
      <c r="C117" s="54" t="s">
        <v>350</v>
      </c>
      <c r="D117" s="18" t="s">
        <v>206</v>
      </c>
      <c r="E117" s="18"/>
      <c r="F117" s="38">
        <f>INDEX(ODI_out,MATCH(F107,ODI_ID,0))</f>
        <v>7.0148181521278968E-2</v>
      </c>
      <c r="G117" s="38">
        <f>INDEX(ODI_out,MATCH(G107,ODI_ID,0))</f>
        <v>0.18502625343193327</v>
      </c>
      <c r="H117" s="9"/>
      <c r="I117" s="37"/>
      <c r="J117" s="38"/>
      <c r="K117" s="38"/>
      <c r="L117" s="38"/>
      <c r="M117" s="9"/>
      <c r="N117" s="9"/>
      <c r="O117" s="9"/>
      <c r="P117" s="9"/>
      <c r="Q117" s="9"/>
    </row>
    <row r="118" spans="1:17" x14ac:dyDescent="0.25">
      <c r="A118" s="9"/>
      <c r="B118" s="9" t="s">
        <v>351</v>
      </c>
      <c r="C118" s="18" t="s">
        <v>352</v>
      </c>
      <c r="D118" s="18" t="s">
        <v>206</v>
      </c>
      <c r="E118" s="18"/>
      <c r="F118" s="28">
        <f t="shared" ref="F118" si="27">F117+F116</f>
        <v>0.51967219084850802</v>
      </c>
      <c r="G118" s="28">
        <f t="shared" ref="G118" si="28">G117+G116</f>
        <v>0.78745877767321082</v>
      </c>
      <c r="H118" s="9"/>
      <c r="I118" s="28"/>
      <c r="J118" s="28"/>
      <c r="K118" s="28"/>
      <c r="L118" s="28"/>
      <c r="M118" s="9"/>
      <c r="N118" s="9"/>
      <c r="O118" s="9"/>
      <c r="P118" s="9"/>
      <c r="Q118" s="9"/>
    </row>
    <row r="119" spans="1:17" x14ac:dyDescent="0.25">
      <c r="A119" s="9"/>
      <c r="B119" s="9" t="s">
        <v>353</v>
      </c>
      <c r="C119" s="55" t="s">
        <v>354</v>
      </c>
      <c r="D119" s="18" t="s">
        <v>206</v>
      </c>
      <c r="E119" s="18"/>
      <c r="F119" s="38">
        <f>INDEX(enhanced_out,MATCH(F107,enhanced_ID,0))</f>
        <v>0.35603099999999999</v>
      </c>
      <c r="G119" s="38">
        <f>INDEX(enhanced_out,MATCH(G107,enhanced_ID,0))</f>
        <v>1.5114000000000001</v>
      </c>
      <c r="H119" s="9"/>
      <c r="I119" s="38"/>
      <c r="J119" s="38"/>
      <c r="K119" s="38"/>
      <c r="L119" s="38"/>
      <c r="M119" s="9"/>
      <c r="N119" s="9"/>
      <c r="O119" s="9"/>
      <c r="P119" s="9"/>
      <c r="Q119" s="9"/>
    </row>
    <row r="120" spans="1:17" x14ac:dyDescent="0.25">
      <c r="A120" s="9"/>
      <c r="B120" s="9" t="s">
        <v>355</v>
      </c>
      <c r="C120" s="55" t="s">
        <v>356</v>
      </c>
      <c r="D120" s="18" t="s">
        <v>206</v>
      </c>
      <c r="E120" s="18"/>
      <c r="F120" s="38">
        <f>INDEX(enhanced_under,MATCH(F107,enhanced_ID,0))</f>
        <v>-0.35603099999999999</v>
      </c>
      <c r="G120" s="38">
        <f>INDEX(enhanced_under,MATCH(G107,enhanced_ID,0))</f>
        <v>-1.5114000000000001</v>
      </c>
      <c r="H120" s="9"/>
      <c r="I120" s="38"/>
      <c r="J120" s="38"/>
      <c r="K120" s="38"/>
      <c r="L120" s="38"/>
      <c r="M120" s="9"/>
      <c r="N120" s="9"/>
      <c r="O120" s="9"/>
      <c r="P120" s="9"/>
      <c r="Q120" s="9"/>
    </row>
    <row r="121" spans="1:17" x14ac:dyDescent="0.25">
      <c r="A121" s="9"/>
      <c r="B121" s="9"/>
      <c r="C121" s="9"/>
      <c r="F121" s="9"/>
      <c r="G121" s="9"/>
      <c r="H121" s="9"/>
      <c r="I121" s="9"/>
      <c r="J121" s="38"/>
      <c r="K121" s="9"/>
      <c r="L121" s="9"/>
      <c r="M121" s="9"/>
      <c r="N121" s="9"/>
      <c r="O121" s="9"/>
      <c r="P121" s="9"/>
      <c r="Q121" s="9"/>
    </row>
    <row r="122" spans="1:17" x14ac:dyDescent="0.25">
      <c r="A122" s="9"/>
      <c r="B122" s="9"/>
      <c r="C122" s="9"/>
      <c r="F122" s="9"/>
      <c r="G122" s="9"/>
      <c r="H122" s="9"/>
      <c r="I122" s="9"/>
      <c r="J122" s="38"/>
      <c r="K122" s="9"/>
      <c r="L122" s="9"/>
      <c r="M122" s="9"/>
      <c r="N122" s="9"/>
      <c r="O122" s="9"/>
      <c r="P122" s="9"/>
      <c r="Q122" s="9"/>
    </row>
    <row r="123" spans="1:17" ht="15" x14ac:dyDescent="0.35">
      <c r="A123" s="1" t="s">
        <v>357</v>
      </c>
      <c r="B123" s="9"/>
      <c r="C123" s="9"/>
      <c r="F123" s="9"/>
      <c r="G123" s="9"/>
      <c r="H123" s="9"/>
      <c r="I123" s="9"/>
      <c r="J123" s="9"/>
      <c r="K123" s="9"/>
      <c r="L123" s="9"/>
      <c r="M123" s="9"/>
      <c r="N123" s="9"/>
      <c r="O123" s="9"/>
      <c r="P123" s="9"/>
      <c r="Q123" s="9"/>
    </row>
    <row r="124" spans="1:17" x14ac:dyDescent="0.25">
      <c r="A124" s="9"/>
      <c r="B124" s="9"/>
      <c r="C124" s="9" t="s">
        <v>358</v>
      </c>
      <c r="D124" s="18" t="s">
        <v>206</v>
      </c>
      <c r="F124" s="132">
        <f>MIN(F118,F119)</f>
        <v>0.35603099999999999</v>
      </c>
      <c r="G124" s="132">
        <f>MIN(G118,G119)</f>
        <v>0.78745877767321082</v>
      </c>
      <c r="H124" s="9"/>
      <c r="I124" s="28"/>
      <c r="J124" s="28"/>
      <c r="K124" s="28"/>
      <c r="L124" s="28"/>
      <c r="M124" s="9"/>
      <c r="N124" s="9"/>
      <c r="O124" s="9"/>
      <c r="P124" s="9"/>
      <c r="Q124" s="9"/>
    </row>
    <row r="125" spans="1:17" x14ac:dyDescent="0.25">
      <c r="A125" s="9"/>
      <c r="B125" s="9"/>
      <c r="C125" s="9" t="s">
        <v>359</v>
      </c>
      <c r="D125" s="18" t="s">
        <v>206</v>
      </c>
      <c r="F125" s="28">
        <f>F119-F124</f>
        <v>0</v>
      </c>
      <c r="G125" s="28">
        <f>G119-G124</f>
        <v>0.72394122232678926</v>
      </c>
      <c r="H125" s="9"/>
      <c r="I125" s="28"/>
      <c r="J125" s="28"/>
      <c r="K125" s="28"/>
      <c r="L125" s="28"/>
      <c r="M125" s="9"/>
      <c r="N125" s="9"/>
      <c r="O125" s="9"/>
      <c r="P125" s="9"/>
      <c r="Q125" s="9"/>
    </row>
    <row r="126" spans="1:17" x14ac:dyDescent="0.25">
      <c r="A126" s="9"/>
      <c r="B126" s="9"/>
      <c r="C126" s="9" t="s">
        <v>360</v>
      </c>
      <c r="D126" s="18" t="s">
        <v>206</v>
      </c>
      <c r="F126" s="132">
        <f>IF(F125&gt;0,(F124*-1),MIN((F124*-1),F120))</f>
        <v>-0.35603099999999999</v>
      </c>
      <c r="G126" s="132">
        <f>IF(G125&gt;0,(G124*-1),MIN((G124*-1),G120))</f>
        <v>-0.78745877767321082</v>
      </c>
      <c r="H126" s="9"/>
      <c r="I126" s="28"/>
      <c r="J126" s="28"/>
      <c r="K126" s="28"/>
      <c r="L126" s="28"/>
      <c r="M126" s="9"/>
      <c r="N126" s="9"/>
      <c r="O126" s="9"/>
      <c r="P126" s="9"/>
      <c r="Q126" s="9"/>
    </row>
    <row r="127" spans="1:17" x14ac:dyDescent="0.25">
      <c r="A127" s="9"/>
      <c r="B127" s="9"/>
      <c r="C127" s="24"/>
      <c r="D127" s="24"/>
      <c r="E127" s="24"/>
      <c r="F127" s="39"/>
      <c r="G127" s="39"/>
      <c r="H127" s="39"/>
      <c r="I127" s="39"/>
      <c r="J127" s="39"/>
      <c r="K127" s="9"/>
      <c r="L127" s="39"/>
      <c r="M127" s="9"/>
      <c r="N127" s="9"/>
      <c r="O127" s="9"/>
      <c r="P127" s="9"/>
      <c r="Q127" s="9"/>
    </row>
    <row r="129" spans="1:17" ht="13.8" x14ac:dyDescent="0.3">
      <c r="A129" s="8" t="s">
        <v>211</v>
      </c>
      <c r="B129" s="8"/>
      <c r="C129" s="8"/>
      <c r="D129" s="8"/>
      <c r="E129" s="8"/>
      <c r="F129" s="8"/>
      <c r="G129" s="8"/>
      <c r="H129" s="8"/>
      <c r="I129" s="8"/>
      <c r="J129" s="8"/>
      <c r="K129" s="8"/>
      <c r="L129" s="8"/>
      <c r="M129" s="8"/>
      <c r="N129" s="8"/>
      <c r="O129" s="8"/>
      <c r="P129" s="8"/>
      <c r="Q129" s="8"/>
    </row>
    <row r="130" spans="1:17" x14ac:dyDescent="0.25">
      <c r="A130" s="9"/>
      <c r="B130" s="9"/>
      <c r="C130" s="9"/>
      <c r="F130" s="9"/>
      <c r="G130" s="9"/>
      <c r="H130" s="9"/>
      <c r="I130" s="9"/>
      <c r="J130" s="9"/>
      <c r="K130" s="9"/>
      <c r="L130" s="9"/>
      <c r="M130" s="9"/>
      <c r="N130" s="9"/>
      <c r="O130" s="9"/>
      <c r="P130" s="9"/>
      <c r="Q130" s="9"/>
    </row>
    <row r="131" spans="1:17" ht="15" x14ac:dyDescent="0.35">
      <c r="A131" s="1" t="s">
        <v>330</v>
      </c>
      <c r="B131" s="9"/>
      <c r="C131" s="9"/>
      <c r="F131" s="9"/>
      <c r="G131" s="9"/>
      <c r="H131" s="9"/>
      <c r="I131" s="9"/>
      <c r="J131" s="9"/>
      <c r="K131" s="9"/>
      <c r="L131" s="9"/>
      <c r="M131" s="9"/>
      <c r="N131" s="9"/>
      <c r="O131" s="9"/>
      <c r="P131" s="9"/>
      <c r="Q131" s="9"/>
    </row>
    <row r="132" spans="1:17" x14ac:dyDescent="0.25">
      <c r="A132" s="9"/>
      <c r="B132" s="9"/>
      <c r="C132" s="9"/>
      <c r="F132" s="9"/>
      <c r="G132" s="9"/>
      <c r="H132" s="9"/>
      <c r="I132" s="9"/>
      <c r="J132" s="9"/>
      <c r="K132" s="24"/>
      <c r="L132" s="9"/>
      <c r="M132" s="9"/>
      <c r="N132" s="9"/>
      <c r="O132" s="9"/>
      <c r="P132" s="9"/>
      <c r="Q132" s="9"/>
    </row>
    <row r="133" spans="1:17" x14ac:dyDescent="0.25">
      <c r="A133" s="9"/>
      <c r="B133" s="9"/>
      <c r="C133" s="9"/>
      <c r="F133" s="9" t="s">
        <v>186</v>
      </c>
      <c r="G133" s="9" t="s">
        <v>165</v>
      </c>
      <c r="H133" s="9" t="s">
        <v>169</v>
      </c>
      <c r="I133" s="9" t="s">
        <v>171</v>
      </c>
      <c r="J133" s="9"/>
      <c r="K133" s="9"/>
      <c r="L133" s="9"/>
      <c r="M133" s="9"/>
      <c r="N133" s="9"/>
      <c r="O133" s="9"/>
      <c r="P133" s="9"/>
      <c r="Q133" s="9"/>
    </row>
    <row r="134" spans="1:17" x14ac:dyDescent="0.25">
      <c r="A134" s="9"/>
      <c r="B134" s="9"/>
      <c r="C134" s="9"/>
      <c r="D134" s="9" t="s">
        <v>224</v>
      </c>
      <c r="F134" s="9" t="s">
        <v>212</v>
      </c>
      <c r="G134" s="9" t="s">
        <v>214</v>
      </c>
      <c r="H134" s="9" t="s">
        <v>215</v>
      </c>
      <c r="I134" s="9" t="s">
        <v>216</v>
      </c>
      <c r="J134" s="21"/>
      <c r="K134" s="21"/>
      <c r="L134" s="9"/>
      <c r="M134" s="9"/>
      <c r="N134" s="9"/>
      <c r="O134" s="9"/>
      <c r="P134" s="9"/>
      <c r="Q134" s="9"/>
    </row>
    <row r="135" spans="1:17" ht="26.4" x14ac:dyDescent="0.25">
      <c r="A135" s="9"/>
      <c r="B135" s="9" t="s">
        <v>331</v>
      </c>
      <c r="C135" s="54" t="s">
        <v>332</v>
      </c>
      <c r="F135" s="38">
        <f>INDEX(A_output,MATCH($A129,A_PC,0))</f>
        <v>0.25</v>
      </c>
      <c r="G135" s="38">
        <f>INDEX(A_output,MATCH($A129,A_PC,0))</f>
        <v>0.25</v>
      </c>
      <c r="H135" s="38">
        <f>INDEX(A_output,MATCH($A129,A_PC,0))</f>
        <v>0.25</v>
      </c>
      <c r="I135" s="38">
        <f>INDEX(A_output,MATCH($A129,A_PC,0))</f>
        <v>0.25</v>
      </c>
      <c r="J135" s="38"/>
      <c r="K135" s="38"/>
      <c r="L135" s="38"/>
      <c r="M135" s="9"/>
      <c r="N135" s="9"/>
      <c r="O135" s="9"/>
      <c r="P135" s="9"/>
      <c r="Q135" s="9"/>
    </row>
    <row r="136" spans="1:17" x14ac:dyDescent="0.25">
      <c r="A136" s="9"/>
      <c r="B136" s="9" t="s">
        <v>333</v>
      </c>
      <c r="C136" s="54" t="s">
        <v>334</v>
      </c>
      <c r="F136" s="38">
        <f>INDEX(B_output,MATCH($A129,B_PC,0))</f>
        <v>0.74934152524713948</v>
      </c>
      <c r="G136" s="38">
        <f>INDEX(B_output,MATCH($A129,B_PC,0))</f>
        <v>0.74934152524713948</v>
      </c>
      <c r="H136" s="38">
        <f>INDEX(B_output,MATCH($A129,B_PC,0))</f>
        <v>0.74934152524713948</v>
      </c>
      <c r="I136" s="38">
        <f>INDEX(B_output,MATCH($A129,B_PC,0))</f>
        <v>0.74934152524713948</v>
      </c>
      <c r="J136" s="38"/>
      <c r="K136" s="38"/>
      <c r="L136" s="38"/>
      <c r="M136" s="9"/>
      <c r="N136" s="9"/>
      <c r="O136" s="9"/>
      <c r="P136" s="9"/>
      <c r="Q136" s="9"/>
    </row>
    <row r="137" spans="1:17" ht="26.4" x14ac:dyDescent="0.25">
      <c r="A137" s="9"/>
      <c r="B137" s="9" t="s">
        <v>335</v>
      </c>
      <c r="C137" s="54" t="s">
        <v>336</v>
      </c>
      <c r="F137" s="44">
        <f>MIN(1,INDEX(C_output,MATCH($A129,C_PC,0)))</f>
        <v>0.98431569751402759</v>
      </c>
      <c r="G137" s="44">
        <f>MIN(1,INDEX(C_output,MATCH($A129,C_PC,0)))</f>
        <v>0.98431569751402759</v>
      </c>
      <c r="H137" s="44">
        <f>MIN(1,INDEX(C_output,MATCH($A129,C_PC,0)))</f>
        <v>0.98431569751402759</v>
      </c>
      <c r="I137" s="44">
        <f>MIN(1,INDEX(C_output,MATCH($A129,C_PC,0)))</f>
        <v>0.98431569751402759</v>
      </c>
      <c r="J137" s="44"/>
      <c r="K137" s="44"/>
      <c r="L137" s="44"/>
      <c r="M137" s="9"/>
      <c r="N137" s="9"/>
      <c r="O137" s="9"/>
      <c r="P137" s="9"/>
      <c r="Q137" s="9"/>
    </row>
    <row r="138" spans="1:17" x14ac:dyDescent="0.25">
      <c r="A138" s="9"/>
      <c r="B138" s="9" t="s">
        <v>337</v>
      </c>
      <c r="C138" s="54" t="s">
        <v>338</v>
      </c>
      <c r="F138" s="44">
        <f>1/(1+Discountfactor)^Years</f>
        <v>0.84197316685852419</v>
      </c>
      <c r="G138" s="44">
        <f>1/(1+Discountfactor)^Years</f>
        <v>0.84197316685852419</v>
      </c>
      <c r="H138" s="44">
        <f>1/(1+Discountfactor)^Years</f>
        <v>0.84197316685852419</v>
      </c>
      <c r="I138" s="44">
        <f>1/(1+Discountfactor)^Years</f>
        <v>0.84197316685852419</v>
      </c>
      <c r="J138" s="44"/>
      <c r="K138" s="44"/>
      <c r="L138" s="44"/>
      <c r="M138" s="9"/>
      <c r="N138" s="9"/>
      <c r="O138" s="9"/>
      <c r="P138" s="9"/>
      <c r="Q138" s="9"/>
    </row>
    <row r="139" spans="1:17" ht="26.4" x14ac:dyDescent="0.25">
      <c r="A139" s="9"/>
      <c r="B139" s="9" t="s">
        <v>339</v>
      </c>
      <c r="C139" s="54" t="s">
        <v>340</v>
      </c>
      <c r="F139" s="48">
        <f>IF(INDEX(Type,MATCH($A129,Type_PC,0))="Water",Households_water_sum,Households_waste_sum)</f>
        <v>24967061.951404665</v>
      </c>
      <c r="G139" s="48">
        <f>IF(INDEX(Type,MATCH($A129,Type_PC,0))="Water",Households_water_sum,Households_waste_sum)</f>
        <v>24967061.951404665</v>
      </c>
      <c r="H139" s="48">
        <f>IF(INDEX(Type,MATCH($A129,Type_PC,0))="Water",Households_water_sum,Households_waste_sum)</f>
        <v>24967061.951404665</v>
      </c>
      <c r="I139" s="48">
        <f>IF(INDEX(Type,MATCH($A129,Type_PC,0))="Water",Households_water_sum,Households_waste_sum)</f>
        <v>24967061.951404665</v>
      </c>
      <c r="J139" s="48"/>
      <c r="K139" s="48"/>
      <c r="L139" s="48"/>
      <c r="M139" s="9"/>
      <c r="N139" s="9"/>
      <c r="O139" s="9"/>
      <c r="P139" s="9"/>
      <c r="Q139" s="9"/>
    </row>
    <row r="140" spans="1:17" x14ac:dyDescent="0.25">
      <c r="A140" s="9"/>
      <c r="B140" s="9" t="s">
        <v>341</v>
      </c>
      <c r="C140" s="54" t="s">
        <v>342</v>
      </c>
      <c r="F140" s="46">
        <f>Costincentive_calib</f>
        <v>0.5</v>
      </c>
      <c r="G140" s="46">
        <f>Costincentive_calib</f>
        <v>0.5</v>
      </c>
      <c r="H140" s="46">
        <f>Costincentive_calib</f>
        <v>0.5</v>
      </c>
      <c r="I140" s="46">
        <f>Costincentive_calib</f>
        <v>0.5</v>
      </c>
      <c r="J140" s="46"/>
      <c r="K140" s="46"/>
      <c r="L140" s="46"/>
      <c r="M140" s="9"/>
      <c r="N140" s="9"/>
      <c r="O140" s="9"/>
      <c r="P140" s="9"/>
      <c r="Q140" s="9"/>
    </row>
    <row r="141" spans="1:17" ht="26.4" x14ac:dyDescent="0.25">
      <c r="A141" s="9"/>
      <c r="B141" s="9" t="s">
        <v>343</v>
      </c>
      <c r="C141" s="18" t="s">
        <v>344</v>
      </c>
      <c r="D141" s="18"/>
      <c r="E141" s="18"/>
      <c r="F141" s="44">
        <f>PRODUCT(F135:F140)/million</f>
        <v>1.9381612841423608</v>
      </c>
      <c r="G141" s="44">
        <f>PRODUCT(G135:G140)/million</f>
        <v>1.9381612841423608</v>
      </c>
      <c r="H141" s="44">
        <f>PRODUCT(H135:H140)/million</f>
        <v>1.9381612841423608</v>
      </c>
      <c r="I141" s="44">
        <f>PRODUCT(I135:I140)/million</f>
        <v>1.9381612841423608</v>
      </c>
      <c r="J141" s="44"/>
      <c r="K141" s="44"/>
      <c r="L141" s="72"/>
      <c r="M141" s="9"/>
      <c r="N141" s="9"/>
      <c r="O141" s="9"/>
      <c r="P141" s="9"/>
      <c r="Q141" s="9"/>
    </row>
    <row r="142" spans="1:17" x14ac:dyDescent="0.25">
      <c r="A142" s="9"/>
      <c r="B142" s="9" t="s">
        <v>345</v>
      </c>
      <c r="C142" s="54" t="s">
        <v>325</v>
      </c>
      <c r="F142" s="38">
        <f>INDEX(H_output,MATCH(F134,H_ID,0))</f>
        <v>1</v>
      </c>
      <c r="G142" s="38">
        <f>INDEX(H_output,MATCH(G134,H_ID,0))</f>
        <v>0.19397561358239071</v>
      </c>
      <c r="H142" s="38">
        <f>INDEX(H_output,MATCH(H134,H_ID,0))</f>
        <v>0.40478315671032206</v>
      </c>
      <c r="I142" s="38">
        <f>INDEX(H_output,MATCH(I134,H_ID,0))</f>
        <v>1</v>
      </c>
      <c r="J142" s="46"/>
      <c r="K142" s="46"/>
      <c r="L142" s="72"/>
      <c r="M142" s="9"/>
      <c r="N142" s="9"/>
      <c r="O142" s="9"/>
      <c r="P142" s="9"/>
      <c r="Q142" s="9"/>
    </row>
    <row r="143" spans="1:17" x14ac:dyDescent="0.25">
      <c r="A143" s="9"/>
      <c r="B143" s="9" t="s">
        <v>346</v>
      </c>
      <c r="C143" s="18" t="s">
        <v>347</v>
      </c>
      <c r="D143" s="18" t="s">
        <v>366</v>
      </c>
      <c r="E143" s="18"/>
      <c r="F143" s="44">
        <f>F141*F142</f>
        <v>1.9381612841423608</v>
      </c>
      <c r="G143" s="44">
        <f t="shared" ref="G143" si="29">G141*G142</f>
        <v>0.37595602431314873</v>
      </c>
      <c r="H143" s="44">
        <f t="shared" ref="H143" si="30">H141*H142</f>
        <v>0.7845350428088762</v>
      </c>
      <c r="I143" s="44">
        <f t="shared" ref="I143" si="31">I141*I142</f>
        <v>1.9381612841423608</v>
      </c>
      <c r="J143" s="23"/>
      <c r="K143" s="23"/>
      <c r="L143" s="53"/>
      <c r="M143" s="9"/>
      <c r="N143" s="9"/>
      <c r="O143" s="9"/>
      <c r="P143" s="9"/>
      <c r="Q143" s="9"/>
    </row>
    <row r="144" spans="1:17" x14ac:dyDescent="0.25">
      <c r="A144" s="9"/>
      <c r="B144" s="9" t="s">
        <v>349</v>
      </c>
      <c r="C144" s="54" t="s">
        <v>350</v>
      </c>
      <c r="D144" s="18" t="s">
        <v>366</v>
      </c>
      <c r="E144" s="18"/>
      <c r="F144" s="38">
        <f>INDEX(ODI_out,MATCH(F134,ODI_ID,0))</f>
        <v>1.0279830000000001</v>
      </c>
      <c r="G144" s="38">
        <f>INDEX(ODI_out,MATCH(G134,ODI_ID,0))</f>
        <v>0.12109334356734959</v>
      </c>
      <c r="H144" s="38">
        <f>INDEX(ODI_out,MATCH(H134,ODI_ID,0))</f>
        <v>0.1401367956670854</v>
      </c>
      <c r="I144" s="38">
        <f>INDEX(ODI_out,MATCH(I134,ODI_ID,0))</f>
        <v>1.2353169968620092</v>
      </c>
      <c r="J144" s="37"/>
      <c r="K144" s="38"/>
      <c r="L144" s="53"/>
      <c r="M144" s="9"/>
      <c r="N144" s="9"/>
      <c r="O144" s="9"/>
      <c r="P144" s="9"/>
      <c r="Q144" s="9"/>
    </row>
    <row r="145" spans="1:17" x14ac:dyDescent="0.25">
      <c r="A145" s="9"/>
      <c r="B145" s="9" t="s">
        <v>351</v>
      </c>
      <c r="C145" s="18" t="s">
        <v>352</v>
      </c>
      <c r="D145" s="18" t="s">
        <v>366</v>
      </c>
      <c r="E145" s="18"/>
      <c r="F145" s="28">
        <f>F144+F143</f>
        <v>2.9661442841423611</v>
      </c>
      <c r="G145" s="28">
        <f t="shared" ref="G145" si="32">G144+G143</f>
        <v>0.49704936788049831</v>
      </c>
      <c r="H145" s="28">
        <f t="shared" ref="H145" si="33">H144+H143</f>
        <v>0.92467183847596157</v>
      </c>
      <c r="I145" s="28">
        <f t="shared" ref="I145" si="34">I144+I143</f>
        <v>3.1734782810043702</v>
      </c>
      <c r="J145" s="28"/>
      <c r="K145" s="28"/>
      <c r="L145" s="28"/>
      <c r="M145" s="9"/>
      <c r="N145" s="9"/>
      <c r="O145" s="9"/>
      <c r="P145" s="9"/>
      <c r="Q145" s="9"/>
    </row>
    <row r="146" spans="1:17" x14ac:dyDescent="0.25">
      <c r="A146" s="9"/>
      <c r="B146" s="9" t="s">
        <v>353</v>
      </c>
      <c r="C146" s="55" t="s">
        <v>354</v>
      </c>
      <c r="D146" s="18" t="s">
        <v>366</v>
      </c>
      <c r="E146" s="18"/>
      <c r="F146" s="38">
        <f>INDEX(enhanced_out,MATCH(F134,enhanced_ID,0))</f>
        <v>5.139913</v>
      </c>
      <c r="G146" s="38">
        <f>INDEX(enhanced_out,MATCH(G134,enhanced_ID,0))</f>
        <v>0.36185</v>
      </c>
      <c r="H146" s="38">
        <f>INDEX(enhanced_out,MATCH(H134,enhanced_ID,0))</f>
        <v>0.3</v>
      </c>
      <c r="I146" s="38">
        <f>INDEX(enhanced_out,MATCH(I134,enhanced_ID,0))</f>
        <v>8.6858869999999992</v>
      </c>
      <c r="J146" s="38"/>
      <c r="K146" s="38"/>
      <c r="L146" s="38"/>
      <c r="M146" s="9"/>
      <c r="N146" s="9"/>
      <c r="O146" s="9"/>
      <c r="P146" s="9"/>
      <c r="Q146" s="9"/>
    </row>
    <row r="147" spans="1:17" x14ac:dyDescent="0.25">
      <c r="A147" s="9"/>
      <c r="B147" s="9" t="s">
        <v>355</v>
      </c>
      <c r="C147" s="55" t="s">
        <v>356</v>
      </c>
      <c r="D147" s="18" t="s">
        <v>366</v>
      </c>
      <c r="E147" s="18"/>
      <c r="F147" s="38">
        <f>INDEX(enhanced_under,MATCH(F134,enhanced_ID,0))</f>
        <v>-5.139913</v>
      </c>
      <c r="G147" s="38">
        <f>INDEX(enhanced_under,MATCH(G134,enhanced_ID,0))</f>
        <v>-0.38983099999999998</v>
      </c>
      <c r="H147" s="38">
        <f>INDEX(enhanced_under,MATCH(H134,enhanced_ID,0))</f>
        <v>-0.17</v>
      </c>
      <c r="I147" s="38">
        <f>INDEX(enhanced_under,MATCH(I134,enhanced_ID,0))</f>
        <v>-12.868570999999999</v>
      </c>
      <c r="J147" s="38"/>
      <c r="K147" s="38"/>
      <c r="L147" s="38"/>
      <c r="M147" s="9"/>
      <c r="N147" s="9"/>
      <c r="O147" s="9"/>
      <c r="P147" s="9"/>
      <c r="Q147" s="9"/>
    </row>
    <row r="148" spans="1:17" x14ac:dyDescent="0.25">
      <c r="A148" s="9"/>
      <c r="B148" s="9"/>
      <c r="C148" s="9"/>
      <c r="F148" s="9"/>
      <c r="G148" s="9"/>
      <c r="H148" s="9"/>
      <c r="I148" s="9"/>
      <c r="J148" s="9"/>
      <c r="K148" s="9"/>
      <c r="L148" s="9"/>
      <c r="M148" s="9"/>
      <c r="N148" s="9"/>
      <c r="O148" s="9"/>
      <c r="P148" s="9"/>
      <c r="Q148" s="9"/>
    </row>
    <row r="149" spans="1:17" x14ac:dyDescent="0.25">
      <c r="A149" s="9"/>
      <c r="B149" s="9"/>
      <c r="C149" s="9"/>
      <c r="F149" s="9"/>
      <c r="G149" s="9"/>
      <c r="H149" s="9"/>
      <c r="I149" s="9"/>
      <c r="J149" s="9"/>
      <c r="K149" s="9"/>
      <c r="L149" s="9"/>
      <c r="M149" s="9"/>
      <c r="N149" s="9"/>
      <c r="O149" s="9"/>
      <c r="P149" s="9"/>
      <c r="Q149" s="9"/>
    </row>
    <row r="150" spans="1:17" ht="15" x14ac:dyDescent="0.35">
      <c r="A150" s="1" t="s">
        <v>357</v>
      </c>
      <c r="B150" s="9"/>
      <c r="C150" s="9"/>
      <c r="F150" s="9"/>
      <c r="G150" s="9"/>
      <c r="H150" s="9"/>
      <c r="I150" s="9"/>
      <c r="J150" s="9"/>
      <c r="K150" s="9"/>
      <c r="L150" s="9"/>
      <c r="M150" s="9"/>
      <c r="N150" s="9"/>
      <c r="O150" s="9"/>
      <c r="P150" s="9"/>
      <c r="Q150" s="9"/>
    </row>
    <row r="151" spans="1:17" x14ac:dyDescent="0.25">
      <c r="A151" s="9"/>
      <c r="B151" s="9"/>
      <c r="C151" s="9" t="s">
        <v>358</v>
      </c>
      <c r="D151" s="18" t="s">
        <v>366</v>
      </c>
      <c r="F151" s="132">
        <f>MIN(F145,F146)</f>
        <v>2.9661442841423611</v>
      </c>
      <c r="G151" s="132">
        <f>MIN(G145,G146)</f>
        <v>0.36185</v>
      </c>
      <c r="H151" s="132">
        <f>MIN(H145,H146)</f>
        <v>0.3</v>
      </c>
      <c r="I151" s="132">
        <f>MIN(I145,I146)</f>
        <v>3.1734782810043702</v>
      </c>
      <c r="J151" s="28"/>
      <c r="K151" s="28"/>
      <c r="L151" s="28"/>
      <c r="M151" s="9"/>
      <c r="N151" s="9"/>
      <c r="O151" s="9"/>
      <c r="P151" s="9"/>
      <c r="Q151" s="9"/>
    </row>
    <row r="152" spans="1:17" x14ac:dyDescent="0.25">
      <c r="A152" s="9"/>
      <c r="B152" s="9"/>
      <c r="C152" s="9" t="s">
        <v>359</v>
      </c>
      <c r="D152" s="18" t="s">
        <v>366</v>
      </c>
      <c r="F152" s="28">
        <f>F146-F151</f>
        <v>2.1737687158576389</v>
      </c>
      <c r="G152" s="28">
        <f>G146-G151</f>
        <v>0</v>
      </c>
      <c r="H152" s="28">
        <f>H146-H151</f>
        <v>0</v>
      </c>
      <c r="I152" s="28">
        <f>I146-I151</f>
        <v>5.512408718995629</v>
      </c>
      <c r="J152" s="28"/>
      <c r="K152" s="28"/>
      <c r="L152" s="28"/>
      <c r="M152" s="9"/>
      <c r="N152" s="9"/>
      <c r="O152" s="9"/>
      <c r="P152" s="9"/>
      <c r="Q152" s="9"/>
    </row>
    <row r="153" spans="1:17" x14ac:dyDescent="0.25">
      <c r="A153" s="9"/>
      <c r="B153" s="9"/>
      <c r="C153" s="9" t="s">
        <v>360</v>
      </c>
      <c r="D153" s="18" t="s">
        <v>366</v>
      </c>
      <c r="F153" s="132">
        <f>IF(F152&gt;0,(F151*-1),MIN((F151*-1),F147))</f>
        <v>-2.9661442841423611</v>
      </c>
      <c r="G153" s="132">
        <f>IF(G152&gt;0,(G151*-1),MIN((G151*-1),G147))</f>
        <v>-0.38983099999999998</v>
      </c>
      <c r="H153" s="132">
        <f>IF(H152&gt;0,(H151*-1),MIN((H151*-1),H147))</f>
        <v>-0.3</v>
      </c>
      <c r="I153" s="132">
        <f>IF(I152&gt;0,(I151*-1),MIN((I151*-1),I147))</f>
        <v>-3.1734782810043702</v>
      </c>
      <c r="J153" s="28"/>
      <c r="K153" s="28"/>
      <c r="L153" s="28"/>
      <c r="M153" s="9"/>
      <c r="N153" s="9"/>
      <c r="O153" s="9"/>
      <c r="P153" s="9"/>
      <c r="Q153" s="9"/>
    </row>
    <row r="156" spans="1:17" ht="13.8" x14ac:dyDescent="0.3">
      <c r="A156" s="10" t="s">
        <v>22</v>
      </c>
      <c r="B156" s="10"/>
      <c r="C156" s="10"/>
      <c r="D156" s="10"/>
      <c r="E156" s="10"/>
      <c r="F156" s="10"/>
      <c r="G156" s="10"/>
      <c r="H156" s="10"/>
      <c r="I156" s="10"/>
      <c r="J156" s="10"/>
      <c r="K156" s="10"/>
      <c r="L156" s="10"/>
      <c r="M156" s="10"/>
      <c r="N156" s="10"/>
      <c r="O156" s="10"/>
      <c r="P156" s="10"/>
      <c r="Q156" s="10"/>
    </row>
    <row r="157" spans="1:17" x14ac:dyDescent="0.25">
      <c r="A157" s="9"/>
      <c r="B157" s="9"/>
      <c r="C157" s="9"/>
      <c r="F157" s="9"/>
      <c r="G157" s="9"/>
      <c r="H157" s="9"/>
      <c r="I157" s="9"/>
      <c r="J157" s="9"/>
      <c r="K157" s="9"/>
      <c r="L157" s="9"/>
      <c r="M157" s="9"/>
      <c r="N157" s="9"/>
      <c r="O157" s="9"/>
      <c r="P157" s="9"/>
      <c r="Q157" s="9"/>
    </row>
    <row r="158" spans="1:17" x14ac:dyDescent="0.25">
      <c r="A158" s="9"/>
      <c r="B158" s="9"/>
      <c r="C158" s="9"/>
      <c r="F158" s="9"/>
      <c r="G158" s="9"/>
      <c r="H158" s="9"/>
      <c r="I158" s="9"/>
      <c r="J158" s="9"/>
      <c r="K158" s="9"/>
      <c r="L158" s="9"/>
      <c r="M158" s="9"/>
      <c r="N158" s="9"/>
      <c r="O158" s="9"/>
      <c r="P158" s="9"/>
      <c r="Q158" s="9"/>
    </row>
    <row r="159" spans="1:17" x14ac:dyDescent="0.25">
      <c r="A159" s="9"/>
      <c r="B159" s="9"/>
      <c r="C159" s="9"/>
      <c r="F159" s="9"/>
      <c r="G159" s="9"/>
      <c r="H159" s="9"/>
      <c r="I159" s="9"/>
      <c r="J159" s="9"/>
      <c r="K159" s="9"/>
      <c r="L159" s="9"/>
      <c r="M159" s="9"/>
      <c r="N159" s="9"/>
      <c r="O159" s="9"/>
      <c r="P159" s="9"/>
      <c r="Q159" s="9"/>
    </row>
    <row r="160" spans="1:17" x14ac:dyDescent="0.25">
      <c r="A160" s="9"/>
      <c r="B160" s="9"/>
      <c r="C160" s="9"/>
      <c r="F160" s="9"/>
      <c r="G160" s="9"/>
      <c r="H160" s="9"/>
      <c r="I160" s="9"/>
      <c r="J160" s="9"/>
      <c r="K160" s="9"/>
      <c r="L160" s="9"/>
      <c r="M160" s="9"/>
      <c r="N160" s="9"/>
      <c r="O160" s="9"/>
      <c r="P160" s="9"/>
      <c r="Q160" s="9"/>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sheetPr>
  <dimension ref="A1"/>
  <sheetViews>
    <sheetView workbookViewId="0"/>
  </sheetViews>
  <sheetFormatPr defaultRowHeight="13.2"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122</vt:i4>
      </vt:variant>
    </vt:vector>
  </HeadingPairs>
  <TitlesOfParts>
    <vt:vector size="148" baseType="lpstr">
      <vt:lpstr>Cover</vt:lpstr>
      <vt:lpstr>Style Guide</vt:lpstr>
      <vt:lpstr>Guidance for user</vt:lpstr>
      <vt:lpstr>Outputs &gt;&gt;</vt:lpstr>
      <vt:lpstr>FD rates and thresholds</vt:lpstr>
      <vt:lpstr>Calculations_rates &gt;&gt;</vt:lpstr>
      <vt:lpstr>Benchmarking externality inputs</vt:lpstr>
      <vt:lpstr>Rates</vt:lpstr>
      <vt:lpstr>Calculations_thresholds &gt;&gt;</vt:lpstr>
      <vt:lpstr>Thresholds_Pollution</vt:lpstr>
      <vt:lpstr>Thresholds_ISF</vt:lpstr>
      <vt:lpstr>Thresholds_PCC</vt:lpstr>
      <vt:lpstr>Thresholds_WaterSupply</vt:lpstr>
      <vt:lpstr>Thresholds_Leakage</vt:lpstr>
      <vt:lpstr>Frontier shift</vt:lpstr>
      <vt:lpstr>Inputs &gt;&gt;&gt;</vt:lpstr>
      <vt:lpstr>Assumptions</vt:lpstr>
      <vt:lpstr>Company data</vt:lpstr>
      <vt:lpstr>Standard ODI rates</vt:lpstr>
      <vt:lpstr>Proposed enhanced ODI rates</vt:lpstr>
      <vt:lpstr>Proposed thresholds</vt:lpstr>
      <vt:lpstr>Proposed PCLs</vt:lpstr>
      <vt:lpstr>Past performance</vt:lpstr>
      <vt:lpstr>WTP metadata</vt:lpstr>
      <vt:lpstr>Early certainty</vt:lpstr>
      <vt:lpstr>F_Inputs</vt:lpstr>
      <vt:lpstr>A_output</vt:lpstr>
      <vt:lpstr>A_PC</vt:lpstr>
      <vt:lpstr>April_20</vt:lpstr>
      <vt:lpstr>April_21</vt:lpstr>
      <vt:lpstr>April_22</vt:lpstr>
      <vt:lpstr>April_23</vt:lpstr>
      <vt:lpstr>April_24</vt:lpstr>
      <vt:lpstr>Assumptions_BP</vt:lpstr>
      <vt:lpstr>Assumptions_BP_PC</vt:lpstr>
      <vt:lpstr>B_output</vt:lpstr>
      <vt:lpstr>B_PC</vt:lpstr>
      <vt:lpstr>C_output</vt:lpstr>
      <vt:lpstr>C_PC</vt:lpstr>
      <vt:lpstr>collar_company_leakage</vt:lpstr>
      <vt:lpstr>collar_ISF</vt:lpstr>
      <vt:lpstr>collar_PCC</vt:lpstr>
      <vt:lpstr>collar_pollution</vt:lpstr>
      <vt:lpstr>collar_supply</vt:lpstr>
      <vt:lpstr>collars_leakage</vt:lpstr>
      <vt:lpstr>Companydata_years</vt:lpstr>
      <vt:lpstr>Costincentive_calib</vt:lpstr>
      <vt:lpstr>Discountfactor</vt:lpstr>
      <vt:lpstr>early_collar</vt:lpstr>
      <vt:lpstr>early_ID</vt:lpstr>
      <vt:lpstr>early_out</vt:lpstr>
      <vt:lpstr>early_under</vt:lpstr>
      <vt:lpstr>enhanced_ID</vt:lpstr>
      <vt:lpstr>enhanced_out</vt:lpstr>
      <vt:lpstr>enhanced_under</vt:lpstr>
      <vt:lpstr>F_company</vt:lpstr>
      <vt:lpstr>F_inputs_company</vt:lpstr>
      <vt:lpstr>F_inputs_data</vt:lpstr>
      <vt:lpstr>F_inputs_ID</vt:lpstr>
      <vt:lpstr>F_inputs_years</vt:lpstr>
      <vt:lpstr>frontiershift</vt:lpstr>
      <vt:lpstr>H_company</vt:lpstr>
      <vt:lpstr>H_ID</vt:lpstr>
      <vt:lpstr>H_output</vt:lpstr>
      <vt:lpstr>H_PC</vt:lpstr>
      <vt:lpstr>Households_waste</vt:lpstr>
      <vt:lpstr>Households_waste_average</vt:lpstr>
      <vt:lpstr>Households_waste_company</vt:lpstr>
      <vt:lpstr>Households_waste_sum</vt:lpstr>
      <vt:lpstr>Households_water</vt:lpstr>
      <vt:lpstr>Households_water_company</vt:lpstr>
      <vt:lpstr>Households_water_sum</vt:lpstr>
      <vt:lpstr>hundred</vt:lpstr>
      <vt:lpstr>ISF_ID</vt:lpstr>
      <vt:lpstr>ISF_out</vt:lpstr>
      <vt:lpstr>ISF_under</vt:lpstr>
      <vt:lpstr>Leakage_ID</vt:lpstr>
      <vt:lpstr>Leakage_mains</vt:lpstr>
      <vt:lpstr>Leakage_mains_company</vt:lpstr>
      <vt:lpstr>Leakage_out</vt:lpstr>
      <vt:lpstr>Leakage_properties</vt:lpstr>
      <vt:lpstr>Leakage_properties_companies</vt:lpstr>
      <vt:lpstr>Leakage_under</vt:lpstr>
      <vt:lpstr>million</vt:lpstr>
      <vt:lpstr>ODI_ID</vt:lpstr>
      <vt:lpstr>ODI_out</vt:lpstr>
      <vt:lpstr>ODI_under</vt:lpstr>
      <vt:lpstr>Out_PCC</vt:lpstr>
      <vt:lpstr>PCC_ID</vt:lpstr>
      <vt:lpstr>PCC_under</vt:lpstr>
      <vt:lpstr>PCL_ID</vt:lpstr>
      <vt:lpstr>PCLhistorical_data</vt:lpstr>
      <vt:lpstr>PCLhistorical_ID</vt:lpstr>
      <vt:lpstr>PCLhistorical_years</vt:lpstr>
      <vt:lpstr>PCLProposedyears_April</vt:lpstr>
      <vt:lpstr>PCLpropsedyears_September</vt:lpstr>
      <vt:lpstr>PCLsProposed_April</vt:lpstr>
      <vt:lpstr>PCLsProposed_ID</vt:lpstr>
      <vt:lpstr>PCLsProposed_Sept</vt:lpstr>
      <vt:lpstr>Pollution_ID</vt:lpstr>
      <vt:lpstr>Pollution_out</vt:lpstr>
      <vt:lpstr>Pollution_under</vt:lpstr>
      <vt:lpstr>Sept_20</vt:lpstr>
      <vt:lpstr>Sept_21</vt:lpstr>
      <vt:lpstr>Sept_22</vt:lpstr>
      <vt:lpstr>Sept_23</vt:lpstr>
      <vt:lpstr>Sept_24</vt:lpstr>
      <vt:lpstr>Sharingfactor</vt:lpstr>
      <vt:lpstr>Supply_ID</vt:lpstr>
      <vt:lpstr>Supply_out</vt:lpstr>
      <vt:lpstr>Supply_under</vt:lpstr>
      <vt:lpstr>ten</vt:lpstr>
      <vt:lpstr>tenk</vt:lpstr>
      <vt:lpstr>thousand</vt:lpstr>
      <vt:lpstr>threshold_out_company_ISF</vt:lpstr>
      <vt:lpstr>threshold_out_company_leakage</vt:lpstr>
      <vt:lpstr>threshold_out_company_PCC</vt:lpstr>
      <vt:lpstr>threshold_out_company_pollution</vt:lpstr>
      <vt:lpstr>threshold_out_company_supply</vt:lpstr>
      <vt:lpstr>threshold_out_ISF</vt:lpstr>
      <vt:lpstr>threshold_out_leakage</vt:lpstr>
      <vt:lpstr>threshold_out_PCC</vt:lpstr>
      <vt:lpstr>threshold_out_pollution</vt:lpstr>
      <vt:lpstr>threshold_out_supply</vt:lpstr>
      <vt:lpstr>threshold_under_company_ISF</vt:lpstr>
      <vt:lpstr>threshold_under_company_leakage</vt:lpstr>
      <vt:lpstr>threshold_under_company_PCC</vt:lpstr>
      <vt:lpstr>threshold_under_company_pollution</vt:lpstr>
      <vt:lpstr>threshold_under_company_supply</vt:lpstr>
      <vt:lpstr>threshold_under_ISF</vt:lpstr>
      <vt:lpstr>threshold_under_PCC</vt:lpstr>
      <vt:lpstr>threshold_under_pollution</vt:lpstr>
      <vt:lpstr>threshold_under_supply</vt:lpstr>
      <vt:lpstr>threshold_year_pollution</vt:lpstr>
      <vt:lpstr>threshold_years_ISF</vt:lpstr>
      <vt:lpstr>threshold_years_leakage</vt:lpstr>
      <vt:lpstr>threshold_years_PCC</vt:lpstr>
      <vt:lpstr>threshold_years_supply</vt:lpstr>
      <vt:lpstr>thresholds_under_leakage</vt:lpstr>
      <vt:lpstr>thresholdsproposed</vt:lpstr>
      <vt:lpstr>thresholdsproposed_ID</vt:lpstr>
      <vt:lpstr>thresholdsproposed_years</vt:lpstr>
      <vt:lpstr>Type</vt:lpstr>
      <vt:lpstr>Type_PC</vt:lpstr>
      <vt:lpstr>WTP_1</vt:lpstr>
      <vt:lpstr>WTP_2</vt:lpstr>
      <vt:lpstr>WTP_ID</vt:lpstr>
      <vt:lpstr>Years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2019-12-13T13:10:49Z</dcterms:created>
  <dcterms:modified xsi:type="dcterms:W3CDTF">2019-12-13T13:11:29Z</dcterms:modified>
  <cp:category/>
  <cp:contentStatus/>
</cp:coreProperties>
</file>