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7360" windowHeight="13510" tabRatio="953"/>
  </bookViews>
  <sheets>
    <sheet name="Cover" sheetId="22" r:id="rId1"/>
    <sheet name="Data" sheetId="41" r:id="rId2"/>
    <sheet name="Analysis" sheetId="97" r:id="rId3"/>
    <sheet name="Deep dive AFW" sheetId="90" r:id="rId4"/>
    <sheet name="Deep dive ANH" sheetId="81" r:id="rId5"/>
    <sheet name="Deep dive BRL" sheetId="91" r:id="rId6"/>
    <sheet name="Deep dive NES" sheetId="78" r:id="rId7"/>
    <sheet name="Deep dive NWT" sheetId="87" r:id="rId8"/>
    <sheet name="Deep dive PRT" sheetId="92" r:id="rId9"/>
    <sheet name="Deep dive SES" sheetId="100" r:id="rId10"/>
    <sheet name="Deep dive SEW" sheetId="93" r:id="rId11"/>
    <sheet name="Deep dive SSC" sheetId="101" r:id="rId12"/>
    <sheet name="Deep Dive SWB" sheetId="88" r:id="rId13"/>
    <sheet name="Deep Dive SVE" sheetId="94" r:id="rId14"/>
    <sheet name="Deep Dive TMS" sheetId="80" r:id="rId15"/>
    <sheet name="Deep dive WSH" sheetId="79" r:id="rId16"/>
    <sheet name="Deep dive WSX" sheetId="89" r:id="rId17"/>
    <sheet name="Allowance" sheetId="85" r:id="rId18"/>
  </sheets>
  <calcPr calcId="152511"/>
</workbook>
</file>

<file path=xl/calcChain.xml><?xml version="1.0" encoding="utf-8"?>
<calcChain xmlns="http://schemas.openxmlformats.org/spreadsheetml/2006/main">
  <c r="L7" i="97" l="1"/>
  <c r="L8" i="97"/>
  <c r="L9" i="97"/>
  <c r="L10" i="97"/>
  <c r="L11" i="97"/>
  <c r="L12" i="97"/>
  <c r="L13" i="97"/>
  <c r="L14" i="97"/>
  <c r="L15" i="97"/>
  <c r="L16" i="97"/>
  <c r="L17" i="97"/>
  <c r="L18" i="97"/>
  <c r="L19" i="97"/>
  <c r="L20" i="97"/>
  <c r="L21" i="97"/>
  <c r="L22" i="97"/>
  <c r="L6" i="97"/>
  <c r="A49" i="94" l="1"/>
  <c r="B47" i="94"/>
  <c r="B46" i="94"/>
  <c r="B45" i="94"/>
  <c r="B44" i="94"/>
  <c r="B49" i="94" l="1"/>
  <c r="F14" i="85"/>
  <c r="F16" i="85"/>
  <c r="F17" i="85"/>
  <c r="F18" i="85"/>
  <c r="F19" i="85"/>
  <c r="F20" i="85"/>
  <c r="F21" i="85"/>
  <c r="F22" i="85"/>
  <c r="F24" i="85"/>
  <c r="F25" i="85"/>
  <c r="F29" i="85"/>
  <c r="F27" i="85" l="1"/>
  <c r="F15" i="85"/>
  <c r="F28" i="85"/>
  <c r="F26" i="85"/>
  <c r="F23" i="85"/>
  <c r="F13" i="85"/>
  <c r="P18" i="97" l="1"/>
  <c r="B4" i="97" l="1"/>
  <c r="D8" i="41"/>
  <c r="D9" i="41"/>
  <c r="D10" i="41"/>
  <c r="D11" i="41"/>
  <c r="D12" i="41"/>
  <c r="D13" i="41"/>
  <c r="D14" i="41"/>
  <c r="D15" i="41"/>
  <c r="D16" i="41"/>
  <c r="D17" i="41"/>
  <c r="D18" i="41"/>
  <c r="D19" i="41"/>
  <c r="D20" i="41"/>
  <c r="D21" i="41"/>
  <c r="D22" i="41"/>
  <c r="D23" i="41"/>
  <c r="D24" i="41"/>
  <c r="D25" i="41"/>
  <c r="D26" i="41"/>
  <c r="D27" i="41"/>
  <c r="D28" i="41"/>
  <c r="D29" i="41"/>
  <c r="D30" i="41"/>
  <c r="D31" i="41"/>
  <c r="D32" i="41"/>
  <c r="D33" i="41"/>
  <c r="D34" i="41"/>
  <c r="D35" i="41"/>
  <c r="D36" i="41"/>
  <c r="D37" i="41"/>
  <c r="D38" i="41"/>
  <c r="D39" i="41"/>
  <c r="D40" i="41"/>
  <c r="D41" i="41"/>
  <c r="D42" i="41"/>
  <c r="D43" i="41"/>
  <c r="D44" i="41"/>
  <c r="D45" i="41"/>
  <c r="D46" i="41"/>
  <c r="D47" i="41"/>
  <c r="D48" i="41"/>
  <c r="D49" i="41"/>
  <c r="D50" i="41"/>
  <c r="D51" i="41"/>
  <c r="D52" i="41"/>
  <c r="D53" i="41"/>
  <c r="D54" i="41"/>
  <c r="D55" i="41"/>
  <c r="D56" i="41"/>
  <c r="D57" i="41"/>
  <c r="D58" i="41"/>
  <c r="D59" i="41"/>
  <c r="D60" i="41"/>
  <c r="D61" i="41"/>
  <c r="D62" i="41"/>
  <c r="D63" i="41"/>
  <c r="D64" i="41"/>
  <c r="D65" i="41"/>
  <c r="D66" i="41"/>
  <c r="D67" i="41"/>
  <c r="D68" i="41"/>
  <c r="D69" i="41"/>
  <c r="D70" i="41"/>
  <c r="D71" i="41"/>
  <c r="D72" i="41"/>
  <c r="D73" i="41"/>
  <c r="D74" i="41"/>
  <c r="D75" i="41"/>
  <c r="D76" i="41"/>
  <c r="D77" i="41"/>
  <c r="D78" i="41"/>
  <c r="D79" i="41"/>
  <c r="D80" i="41"/>
  <c r="D81" i="41"/>
  <c r="D82" i="41"/>
  <c r="D83" i="41"/>
  <c r="D84" i="41"/>
  <c r="D85" i="41"/>
  <c r="D86" i="41"/>
  <c r="D87" i="41"/>
  <c r="D88" i="41"/>
  <c r="D89" i="41"/>
  <c r="D90" i="41"/>
  <c r="D91" i="41"/>
  <c r="D92" i="41"/>
  <c r="D93" i="41"/>
  <c r="D94" i="41"/>
  <c r="D95" i="41"/>
  <c r="D96" i="41"/>
  <c r="D97" i="41"/>
  <c r="D98" i="41"/>
  <c r="D99" i="41"/>
  <c r="D100" i="41"/>
  <c r="D101" i="41"/>
  <c r="D102" i="41"/>
  <c r="D103" i="41"/>
  <c r="D104" i="41"/>
  <c r="D105" i="41"/>
  <c r="D106" i="41"/>
  <c r="D107" i="41"/>
  <c r="D108" i="41"/>
  <c r="D109" i="41"/>
  <c r="D110" i="41"/>
  <c r="D111" i="41"/>
  <c r="D112" i="41"/>
  <c r="P14" i="97" l="1"/>
  <c r="P8" i="97"/>
  <c r="B9" i="94" l="1"/>
  <c r="P11" i="97" s="1"/>
  <c r="Q11" i="97" s="1"/>
  <c r="J30" i="85" l="1"/>
  <c r="D22" i="97" l="1"/>
  <c r="E21" i="97"/>
  <c r="F20" i="97"/>
  <c r="G19" i="97"/>
  <c r="C19" i="97"/>
  <c r="F18" i="97"/>
  <c r="G17" i="97"/>
  <c r="C17" i="97"/>
  <c r="D16" i="97"/>
  <c r="E15" i="97"/>
  <c r="F14" i="97"/>
  <c r="G13" i="97"/>
  <c r="C13" i="97"/>
  <c r="D12" i="97"/>
  <c r="G22" i="97"/>
  <c r="C22" i="97"/>
  <c r="D21" i="97"/>
  <c r="E20" i="97"/>
  <c r="F19" i="97"/>
  <c r="E18" i="97"/>
  <c r="F17" i="97"/>
  <c r="G16" i="97"/>
  <c r="C16" i="97"/>
  <c r="D15" i="97"/>
  <c r="E14" i="97"/>
  <c r="F13" i="97"/>
  <c r="G12" i="97"/>
  <c r="C12" i="97"/>
  <c r="F22" i="97"/>
  <c r="G21" i="97"/>
  <c r="C21" i="97"/>
  <c r="D20" i="97"/>
  <c r="E19" i="97"/>
  <c r="D18" i="97"/>
  <c r="E17" i="97"/>
  <c r="F16" i="97"/>
  <c r="G15" i="97"/>
  <c r="C15" i="97"/>
  <c r="D14" i="97"/>
  <c r="E13" i="97"/>
  <c r="F12" i="97"/>
  <c r="C20" i="97"/>
  <c r="G18" i="97"/>
  <c r="D13" i="97"/>
  <c r="G10" i="97"/>
  <c r="C10" i="97"/>
  <c r="D9" i="97"/>
  <c r="E8" i="97"/>
  <c r="F6" i="97"/>
  <c r="E6" i="97"/>
  <c r="G6" i="97"/>
  <c r="F21" i="97"/>
  <c r="C18" i="97"/>
  <c r="E16" i="97"/>
  <c r="G14" i="97"/>
  <c r="F10" i="97"/>
  <c r="G9" i="97"/>
  <c r="C9" i="97"/>
  <c r="D8" i="97"/>
  <c r="D10" i="97"/>
  <c r="D19" i="97"/>
  <c r="C14" i="97"/>
  <c r="E12" i="97"/>
  <c r="E10" i="97"/>
  <c r="F9" i="97"/>
  <c r="G8" i="97"/>
  <c r="C8" i="97"/>
  <c r="D6" i="97"/>
  <c r="E22" i="97"/>
  <c r="G20" i="97"/>
  <c r="D17" i="97"/>
  <c r="F15" i="97"/>
  <c r="E9" i="97"/>
  <c r="F8" i="97"/>
  <c r="C6" i="97"/>
  <c r="C11" i="97"/>
  <c r="C7" i="97"/>
  <c r="D11" i="97"/>
  <c r="E11" i="97"/>
  <c r="D7" i="97"/>
  <c r="E7" i="97"/>
  <c r="F11" i="97"/>
  <c r="G11" i="97"/>
  <c r="F7" i="97"/>
  <c r="G7" i="97"/>
  <c r="H7" i="97" l="1"/>
  <c r="H8" i="97"/>
  <c r="H11" i="97"/>
  <c r="H14" i="97"/>
  <c r="F23" i="97"/>
  <c r="C21" i="85"/>
  <c r="H9" i="97"/>
  <c r="H10" i="97"/>
  <c r="H21" i="97"/>
  <c r="H22" i="97"/>
  <c r="H20" i="97"/>
  <c r="C18" i="85"/>
  <c r="H6" i="97"/>
  <c r="C23" i="97"/>
  <c r="D23" i="97"/>
  <c r="E23" i="97"/>
  <c r="H15" i="97"/>
  <c r="H12" i="97"/>
  <c r="H16" i="97"/>
  <c r="H13" i="97"/>
  <c r="M14" i="97"/>
  <c r="M11" i="97"/>
  <c r="G23" i="97"/>
  <c r="H18" i="97"/>
  <c r="H17" i="97"/>
  <c r="H19" i="97"/>
  <c r="C15" i="85" l="1"/>
  <c r="M7" i="97"/>
  <c r="C14" i="85"/>
  <c r="M8" i="97"/>
  <c r="M17" i="97"/>
  <c r="C24" i="85"/>
  <c r="M16" i="97"/>
  <c r="C23" i="85"/>
  <c r="C29" i="85"/>
  <c r="M22" i="97"/>
  <c r="C25" i="85"/>
  <c r="M18" i="97"/>
  <c r="C19" i="85"/>
  <c r="M12" i="97"/>
  <c r="H23" i="97"/>
  <c r="I23" i="97" s="1"/>
  <c r="J23" i="97" s="1"/>
  <c r="L23" i="97"/>
  <c r="C28" i="85"/>
  <c r="M21" i="97"/>
  <c r="M15" i="97"/>
  <c r="C22" i="85"/>
  <c r="C13" i="85"/>
  <c r="M6" i="97"/>
  <c r="C17" i="85"/>
  <c r="M10" i="97"/>
  <c r="M19" i="97"/>
  <c r="C26" i="85"/>
  <c r="M13" i="97"/>
  <c r="C20" i="85"/>
  <c r="M20" i="97"/>
  <c r="C27" i="85"/>
  <c r="M9" i="97"/>
  <c r="C16" i="85"/>
  <c r="M23" i="97" l="1"/>
  <c r="G23" i="85" l="1"/>
  <c r="I16" i="97" s="1"/>
  <c r="J16" i="97" s="1"/>
  <c r="O16" i="97" s="1"/>
  <c r="Q16" i="97" s="1"/>
  <c r="H23" i="85" s="1"/>
  <c r="G17" i="85"/>
  <c r="I10" i="97" s="1"/>
  <c r="J10" i="97" s="1"/>
  <c r="O10" i="97" s="1"/>
  <c r="Q10" i="97" s="1"/>
  <c r="H17" i="85" s="1"/>
  <c r="G14" i="85" l="1"/>
  <c r="I7" i="97" s="1"/>
  <c r="J7" i="97" s="1"/>
  <c r="G18" i="85"/>
  <c r="G27" i="85"/>
  <c r="I11" i="97" l="1"/>
  <c r="J11" i="97" s="1"/>
  <c r="B8" i="94"/>
  <c r="I20" i="97"/>
  <c r="J20" i="97" s="1"/>
  <c r="O20" i="97" s="1"/>
  <c r="Q20" i="97" s="1"/>
  <c r="H27" i="85" s="1"/>
  <c r="B8" i="100"/>
  <c r="O7" i="97"/>
  <c r="Q7" i="97" s="1"/>
  <c r="H14" i="85" s="1"/>
  <c r="G20" i="85"/>
  <c r="I13" i="97" l="1"/>
  <c r="J13" i="97" s="1"/>
  <c r="B8" i="80"/>
  <c r="Q14" i="97"/>
  <c r="P13" i="97"/>
  <c r="Q13" i="97" s="1"/>
  <c r="I14" i="85"/>
  <c r="K14" i="85" l="1"/>
  <c r="L14" i="85"/>
  <c r="C30" i="85" l="1"/>
  <c r="I17" i="85"/>
  <c r="I23" i="85"/>
  <c r="K17" i="85" l="1"/>
  <c r="L17" i="85"/>
  <c r="K23" i="85"/>
  <c r="L23" i="85"/>
  <c r="I27" i="85"/>
  <c r="K27" i="85" l="1"/>
  <c r="L27" i="85"/>
  <c r="D30" i="85" l="1"/>
  <c r="H18" i="85" l="1"/>
  <c r="I18" i="85" s="1"/>
  <c r="L18" i="85" l="1"/>
  <c r="K18" i="85"/>
  <c r="Q8" i="97"/>
  <c r="H15" i="85" s="1"/>
  <c r="H20" i="85"/>
  <c r="I20" i="85" l="1"/>
  <c r="K20" i="85" l="1"/>
  <c r="L20" i="85"/>
  <c r="G24" i="85" l="1"/>
  <c r="B8" i="90" s="1"/>
  <c r="I17" i="97" l="1"/>
  <c r="J17" i="97" s="1"/>
  <c r="P17" i="97"/>
  <c r="Q17" i="97" s="1"/>
  <c r="H24" i="85" s="1"/>
  <c r="I24" i="85" s="1"/>
  <c r="K24" i="85" l="1"/>
  <c r="L24" i="85"/>
  <c r="G22" i="85" l="1"/>
  <c r="C8" i="89" s="1"/>
  <c r="G25" i="85"/>
  <c r="I18" i="97" l="1"/>
  <c r="J18" i="97" s="1"/>
  <c r="O18" i="97" s="1"/>
  <c r="Q18" i="97" s="1"/>
  <c r="H25" i="85" s="1"/>
  <c r="I25" i="85" s="1"/>
  <c r="B8" i="91"/>
  <c r="G29" i="85"/>
  <c r="B8" i="101" s="1"/>
  <c r="G21" i="85"/>
  <c r="B8" i="79" s="1"/>
  <c r="L25" i="85"/>
  <c r="K25" i="85"/>
  <c r="G28" i="85"/>
  <c r="B8" i="93" s="1"/>
  <c r="P15" i="97"/>
  <c r="Q15" i="97" s="1"/>
  <c r="H22" i="85" s="1"/>
  <c r="I22" i="85" s="1"/>
  <c r="G26" i="85"/>
  <c r="B8" i="92" s="1"/>
  <c r="I15" i="97"/>
  <c r="J15" i="97" s="1"/>
  <c r="P19" i="97" l="1"/>
  <c r="Q19" i="97" s="1"/>
  <c r="H26" i="85" s="1"/>
  <c r="I26" i="85" s="1"/>
  <c r="I19" i="97"/>
  <c r="J19" i="97" s="1"/>
  <c r="I14" i="97"/>
  <c r="J14" i="97" s="1"/>
  <c r="H21" i="85" s="1"/>
  <c r="I21" i="85" s="1"/>
  <c r="L22" i="85"/>
  <c r="K22" i="85"/>
  <c r="I21" i="97"/>
  <c r="J21" i="97" s="1"/>
  <c r="I22" i="97"/>
  <c r="J22" i="97" s="1"/>
  <c r="O22" i="97" s="1"/>
  <c r="Q22" i="97" s="1"/>
  <c r="H29" i="85" s="1"/>
  <c r="I29" i="85" l="1"/>
  <c r="K21" i="85"/>
  <c r="L21" i="85"/>
  <c r="K26" i="85"/>
  <c r="L26" i="85"/>
  <c r="K29" i="85" l="1"/>
  <c r="L29" i="85"/>
  <c r="G15" i="85"/>
  <c r="B8" i="78" s="1"/>
  <c r="G16" i="85"/>
  <c r="B8" i="87" s="1"/>
  <c r="I9" i="97" l="1"/>
  <c r="J9" i="97" s="1"/>
  <c r="I8" i="97"/>
  <c r="J8" i="97" s="1"/>
  <c r="I15" i="85"/>
  <c r="L15" i="85" l="1"/>
  <c r="K15" i="85"/>
  <c r="P9" i="97"/>
  <c r="Q9" i="97" s="1"/>
  <c r="H16" i="85" s="1"/>
  <c r="I16" i="85" s="1"/>
  <c r="K16" i="85" l="1"/>
  <c r="L16" i="85"/>
  <c r="G13" i="85"/>
  <c r="B8" i="81" s="1"/>
  <c r="F30" i="85"/>
  <c r="E30" i="85" l="1"/>
  <c r="I6" i="97"/>
  <c r="J6" i="97" s="1"/>
  <c r="P6" i="97" l="1"/>
  <c r="Q6" i="97" s="1"/>
  <c r="H13" i="85" s="1"/>
  <c r="I13" i="85" l="1"/>
  <c r="K13" i="85" l="1"/>
  <c r="L13" i="85"/>
  <c r="G19" i="85"/>
  <c r="G30" i="85" l="1"/>
  <c r="B8" i="88"/>
  <c r="I12" i="97"/>
  <c r="J12" i="97" s="1"/>
  <c r="P12" i="97" l="1"/>
  <c r="Q12" i="97" s="1"/>
  <c r="H19" i="85" s="1"/>
  <c r="I19" i="85" l="1"/>
  <c r="K19" i="85" l="1"/>
  <c r="L19" i="85"/>
  <c r="P21" i="97"/>
  <c r="Q21" i="97" s="1"/>
  <c r="H28" i="85" s="1"/>
  <c r="H30" i="85" l="1"/>
  <c r="I28" i="85"/>
  <c r="I30" i="85" l="1"/>
  <c r="K28" i="85"/>
  <c r="K30" i="85" s="1"/>
  <c r="L28" i="85"/>
  <c r="L30" i="85" s="1"/>
</calcChain>
</file>

<file path=xl/sharedStrings.xml><?xml version="1.0" encoding="utf-8"?>
<sst xmlns="http://schemas.openxmlformats.org/spreadsheetml/2006/main" count="961" uniqueCount="303">
  <si>
    <t>ANH</t>
  </si>
  <si>
    <t>NES</t>
  </si>
  <si>
    <t>NWT</t>
  </si>
  <si>
    <t>SRN</t>
  </si>
  <si>
    <t>SVT</t>
  </si>
  <si>
    <t>SWT</t>
  </si>
  <si>
    <t>SWB</t>
  </si>
  <si>
    <t>TMS</t>
  </si>
  <si>
    <t>WSH</t>
  </si>
  <si>
    <t>WSX</t>
  </si>
  <si>
    <t>YKY</t>
  </si>
  <si>
    <t>AFW</t>
  </si>
  <si>
    <t>BRL</t>
  </si>
  <si>
    <t>DVW</t>
  </si>
  <si>
    <t>PRT</t>
  </si>
  <si>
    <t>SES</t>
  </si>
  <si>
    <t>SEW</t>
  </si>
  <si>
    <t>SSC</t>
  </si>
  <si>
    <t>2020-21</t>
  </si>
  <si>
    <t>2021-22</t>
  </si>
  <si>
    <t>2022-23</t>
  </si>
  <si>
    <t>2023-24</t>
  </si>
  <si>
    <t>2024-25</t>
  </si>
  <si>
    <t>Company</t>
  </si>
  <si>
    <t>W3011CAW</t>
  </si>
  <si>
    <t>Assessor's name</t>
  </si>
  <si>
    <t>Peer review (initials, date and QA log ref.)</t>
  </si>
  <si>
    <t>Control</t>
  </si>
  <si>
    <t>Assessment</t>
  </si>
  <si>
    <t>Assessment gates</t>
  </si>
  <si>
    <t>References</t>
  </si>
  <si>
    <t>Need for investment</t>
  </si>
  <si>
    <t>Need for adjustment</t>
  </si>
  <si>
    <t>Management control</t>
  </si>
  <si>
    <t>Best option for customers</t>
  </si>
  <si>
    <t>Robustness and efficiency of costs</t>
  </si>
  <si>
    <t>Customer protection</t>
  </si>
  <si>
    <t>Affordability</t>
  </si>
  <si>
    <t>Board assurance</t>
  </si>
  <si>
    <t>Wholesale water</t>
  </si>
  <si>
    <t>Ofwat view of allowance for AMP7 (£m)</t>
  </si>
  <si>
    <t>The assessor and QA</t>
  </si>
  <si>
    <t>Capex to carry through shallow/deep dive AMP7 (£m)</t>
  </si>
  <si>
    <t>BWH</t>
  </si>
  <si>
    <t>ANH21</t>
  </si>
  <si>
    <t>ANH22</t>
  </si>
  <si>
    <t>ANH23</t>
  </si>
  <si>
    <t>ANH24</t>
  </si>
  <si>
    <t>ANH25</t>
  </si>
  <si>
    <t>NES21</t>
  </si>
  <si>
    <t>NES22</t>
  </si>
  <si>
    <t>NES23</t>
  </si>
  <si>
    <t>NES24</t>
  </si>
  <si>
    <t>NES25</t>
  </si>
  <si>
    <t>NWT21</t>
  </si>
  <si>
    <t>NWT22</t>
  </si>
  <si>
    <t>NWT23</t>
  </si>
  <si>
    <t>NWT24</t>
  </si>
  <si>
    <t>NWT25</t>
  </si>
  <si>
    <t>SRN21</t>
  </si>
  <si>
    <t>SRN22</t>
  </si>
  <si>
    <t>SRN23</t>
  </si>
  <si>
    <t>SRN24</t>
  </si>
  <si>
    <t>SRN25</t>
  </si>
  <si>
    <t>SVT21</t>
  </si>
  <si>
    <t>SVT22</t>
  </si>
  <si>
    <t>SVT23</t>
  </si>
  <si>
    <t>SVT24</t>
  </si>
  <si>
    <t>SVT25</t>
  </si>
  <si>
    <t>SWT21</t>
  </si>
  <si>
    <t>SWT22</t>
  </si>
  <si>
    <t>SWT23</t>
  </si>
  <si>
    <t>SWT24</t>
  </si>
  <si>
    <t>SWT25</t>
  </si>
  <si>
    <t>SWB21</t>
  </si>
  <si>
    <t>SWB22</t>
  </si>
  <si>
    <t>SWB23</t>
  </si>
  <si>
    <t>SWB24</t>
  </si>
  <si>
    <t>SWB25</t>
  </si>
  <si>
    <t>TMS21</t>
  </si>
  <si>
    <t>TMS22</t>
  </si>
  <si>
    <t>TMS23</t>
  </si>
  <si>
    <t>TMS24</t>
  </si>
  <si>
    <t>TMS25</t>
  </si>
  <si>
    <t>WSH21</t>
  </si>
  <si>
    <t>WSH22</t>
  </si>
  <si>
    <t>WSH23</t>
  </si>
  <si>
    <t>WSH24</t>
  </si>
  <si>
    <t>WSH25</t>
  </si>
  <si>
    <t>WSX21</t>
  </si>
  <si>
    <t>WSX22</t>
  </si>
  <si>
    <t>WSX23</t>
  </si>
  <si>
    <t>WSX24</t>
  </si>
  <si>
    <t>WSX25</t>
  </si>
  <si>
    <t>YKY21</t>
  </si>
  <si>
    <t>YKY22</t>
  </si>
  <si>
    <t>YKY23</t>
  </si>
  <si>
    <t>YKY24</t>
  </si>
  <si>
    <t>YKY25</t>
  </si>
  <si>
    <t>AFW21</t>
  </si>
  <si>
    <t>AFW22</t>
  </si>
  <si>
    <t>AFW23</t>
  </si>
  <si>
    <t>AFW24</t>
  </si>
  <si>
    <t>AFW25</t>
  </si>
  <si>
    <t>BRL21</t>
  </si>
  <si>
    <t>BRL22</t>
  </si>
  <si>
    <t>BRL23</t>
  </si>
  <si>
    <t>BRL24</t>
  </si>
  <si>
    <t>BRL25</t>
  </si>
  <si>
    <t>BWH21</t>
  </si>
  <si>
    <t>BWH22</t>
  </si>
  <si>
    <t>BWH23</t>
  </si>
  <si>
    <t>BWH24</t>
  </si>
  <si>
    <t>BWH25</t>
  </si>
  <si>
    <t>DVW21</t>
  </si>
  <si>
    <t>DVW22</t>
  </si>
  <si>
    <t>DVW23</t>
  </si>
  <si>
    <t>DVW24</t>
  </si>
  <si>
    <t>DVW25</t>
  </si>
  <si>
    <t>PRT21</t>
  </si>
  <si>
    <t>PRT22</t>
  </si>
  <si>
    <t>PRT23</t>
  </si>
  <si>
    <t>PRT24</t>
  </si>
  <si>
    <t>PRT25</t>
  </si>
  <si>
    <t>SES21</t>
  </si>
  <si>
    <t>SES22</t>
  </si>
  <si>
    <t>SES23</t>
  </si>
  <si>
    <t>SES24</t>
  </si>
  <si>
    <t>SES25</t>
  </si>
  <si>
    <t>SEW21</t>
  </si>
  <si>
    <t>SEW22</t>
  </si>
  <si>
    <t>SEW23</t>
  </si>
  <si>
    <t>SEW24</t>
  </si>
  <si>
    <t>SEW25</t>
  </si>
  <si>
    <t>SSC21</t>
  </si>
  <si>
    <t>SSC22</t>
  </si>
  <si>
    <t>SSC23</t>
  </si>
  <si>
    <t>SSC24</t>
  </si>
  <si>
    <t>SSC25</t>
  </si>
  <si>
    <t>SVE</t>
  </si>
  <si>
    <t>HDD</t>
  </si>
  <si>
    <t>Capex carried through deep dive AMP7  (£m)</t>
  </si>
  <si>
    <t>realW3026TECAW</t>
  </si>
  <si>
    <t>realW3011CAW</t>
  </si>
  <si>
    <t>£m, Enhancement capex water - Resilience</t>
  </si>
  <si>
    <t>£m 2017-18 prices, Totex wholesale water (including cash items and atypical expenditure)</t>
  </si>
  <si>
    <t>£m 2017-18 prices, Capex Resilience</t>
  </si>
  <si>
    <t>Cover sheet</t>
  </si>
  <si>
    <t>Materiality</t>
  </si>
  <si>
    <t>Shallow dive haircut</t>
  </si>
  <si>
    <t xml:space="preserve">Allowed costs </t>
  </si>
  <si>
    <t>Peer review (initials, date)</t>
  </si>
  <si>
    <t>BoN code</t>
  </si>
  <si>
    <t>Enhancement line</t>
  </si>
  <si>
    <t>Cost allowance for AMP7 (£m)</t>
  </si>
  <si>
    <t>Capex in business plan - wholesale water</t>
  </si>
  <si>
    <t>Capex allowed - wholesale water</t>
  </si>
  <si>
    <t>Proportion of water resources</t>
  </si>
  <si>
    <t>Capex allowed - water resources</t>
  </si>
  <si>
    <t>Capex allowed - network plus</t>
  </si>
  <si>
    <t>Total</t>
  </si>
  <si>
    <t>Capex reallocated out to other lines</t>
  </si>
  <si>
    <t>Capex reallocated in to this line</t>
  </si>
  <si>
    <t>Net Capex reallocated in</t>
  </si>
  <si>
    <t>N/A</t>
  </si>
  <si>
    <t>water_forum_report_2018;
sve_appendix_a8_securing_cost_efficiency</t>
  </si>
  <si>
    <t>sve_appendix_a8_securing_cost_efficiency</t>
  </si>
  <si>
    <t xml:space="preserve">sve_appendix_a1_engaging_customers
sve_appendix_a8_securing_cost_efficiency
sve_appendix_a12_securing_trust_confidence_and_assurance
</t>
  </si>
  <si>
    <t>Partial pass</t>
  </si>
  <si>
    <t>Pass</t>
  </si>
  <si>
    <t>PR19 Water Data Tables Commentary, Pp 27 to 29 (WRMP related); Pp 53/54 (resilience prog)</t>
  </si>
  <si>
    <t>PR19 Water Data Tables Commentary, Pp 29/30 (WRMP related), Pp 54/55 (resilience prog)</t>
  </si>
  <si>
    <t>Fail</t>
  </si>
  <si>
    <t>PR19 Water Data Tables Commentary, Pp 30-32 (WRMP related), Pp 56 (resilience prog)</t>
  </si>
  <si>
    <t>MG</t>
  </si>
  <si>
    <t>S6025_Enhancement_water_network_5, Pages 2 - 8.</t>
  </si>
  <si>
    <t>NA</t>
  </si>
  <si>
    <t>Appendix 2.2, p153.</t>
  </si>
  <si>
    <t>Appendix 3.2, water resilience, p9-10.</t>
  </si>
  <si>
    <t>SWB_Table and model commentaries_FINAL, pages: PUROS, etc., = 268, M&amp;G = p267, Line 14 resilience = p265</t>
  </si>
  <si>
    <t>The company provided no evidence to demonstrate cost build up and efficiency apart from assurance of SWB's costing approach and cost base in general.</t>
  </si>
  <si>
    <t>(5.8A - Water Resources, Table 2, p6)</t>
  </si>
  <si>
    <t>(5.8A - Water Resources, p13)</t>
  </si>
  <si>
    <t>04.01 - Providing resilient services, page 28-34 and 35.</t>
  </si>
  <si>
    <t>04.01 - Providing resilient services, page 28-34</t>
  </si>
  <si>
    <t>BRL.C5B.TA17, 4.2, p23-36</t>
  </si>
  <si>
    <t>Appendix 9, s8.1.3</t>
  </si>
  <si>
    <t>1. CSD006-WNP-04b-PR19-FE.  Delivering long term system resilience for the London water supply.
2. DT02 PR19 Data Tables Commentary, Section 5.1, page 65 (brief mention).
3. Flood resilience: PCD5-PR19-Water Network Plus, Section 3.5.72, page 87.
4. Power resilience: PCD5-PR19-Water Network Plus, Section 3.5.70, page 86.</t>
  </si>
  <si>
    <t>as above</t>
  </si>
  <si>
    <t>year</t>
  </si>
  <si>
    <t>Analysis and determination of allowance</t>
  </si>
  <si>
    <t>£m 2017-18 prices</t>
  </si>
  <si>
    <t>AMP7 total</t>
  </si>
  <si>
    <t>Totex - AMP7 total</t>
  </si>
  <si>
    <t>Shallow dive allowance</t>
  </si>
  <si>
    <t>Deep dive allowance</t>
  </si>
  <si>
    <t>Final allowance</t>
  </si>
  <si>
    <t>Capex after reallocations</t>
  </si>
  <si>
    <t>Modelled allowance</t>
  </si>
  <si>
    <t>Net reallocations out to other lines</t>
  </si>
  <si>
    <t xml:space="preserve">The company presents a range of options of addressing the issues for North-East London Resilience Scheme.  The assessment of benefits are derived from the probability of the event and the number of customers expected to incur an interruption to supply and the customer valuation of such interruptions.  The company has developed integrated solutions considering both risks identified however the WRMP strategy is not mentioned.
In order to address the risk of algal blooms Thames Water proposes pre-treatment with a Mecana pile cloth filter (£50m) to restore Coppermills WTW to full output (1.  s3.95). However Table 11 (1. pg 32) shows that this will not address the supply deficit although it addresses the risk - which requires clarification.  Further, this option seems to be discounted as it does not address ‘the high level of dependency of the North East on Coppermills’, although it would address the risk highlighted and it is not clear what residual risk would not be addressed.
The company further considers building a new WTW that draws from the Lee Valley reservoirs currently supplying Coppermills WTW.  Although not mentioned by the company it is assumed that the works’ output can be maintained during algal blooms.  The new works output is given as 45ML/d.  This would therefore only marginally mitigate the reduced output from Coppermills WTW (taken to be 150ML/d).  The zone would still be dependent on Coppermill, at least in the short term.  Table 10 (pg. 31) shows a plan up to the end of AMP10 (2040) at a cost of £517m.  Further Table 11 (pg 32) shows that Thames Water considers only the option of both pre-treatment at Coppermills and the new treatment work will addresses the estimated supply deficit and this is their preferred option (s3.110) to deal with the water quality issue.
Thames Water propose replacing the HLPS at a cost of £56m of capex.  However, they consider that there will remain a residual risk of failure of 1 in 150 years.  This appears to be significantly over stated as it is not clear why they are not proposing to duplicate the HLPS, but to only replace it with a marginally better one.  The company states that the current HLPS cannot be taken out of service so a duplicate would be needed to be constructed in any event and it would be logical to retain the asset going forward.  The company consider that the replacement option does not address the fundamental issue only reduces its likelihood – hence they conclude that more supply capacity is needed. 
The company’s preferred option is to replace the HLPS and construct 300ML/d of extra WTW capacity over four AMPs (1. 3.119).  Thames Water also proposes to construct the pre-treatment stage at Coppermills WTW although the rationale for this is unclear (1. s3.120).  It is understood the company is still developing the details of this scheme.
The power resilience solutions are generally for the provision of new, fixed and permanent standby generators, with an automatic start capability. 
Various flood resilience options are reported to have been reviewed and adopted measures are reported to include for raising of electrical equipment and local site bunds. The company state that the scope decisions and costs have been informed by similar works undertaken in AMP5 and AMP6. The works at the 25 sites are reported to provide "resilience improvements for 222 Ml/d of our water supply".   Other than this limited evidence of alternative power or flooding options assessment provided. 
</t>
  </si>
  <si>
    <t xml:space="preserve">The company do not present a breakdown of their cost estimates.  They state that the capital costs in their plan are ‘… adjusted to ensure we stay at the industry average position’ (1. s5.6).  Therefore it would be appropriate to apply a further challenge to bring costs to efficient levels.
Thames Water state that the power schemes were priced using its Engineering Estimating System (EES) and flood resilience schemes priced 'using expert judgement'.   However, no further evidence / breakdown to support costs is provided except for statements that costs have been assured.  Due to this lack of evidence cost have been adjusted.
</t>
  </si>
  <si>
    <t xml:space="preserve">The company are proposing a financial ODI to cover the London resilience scheme with an underperformance payment the event of failure to meet the milestones on the project (CSD006-WNP-04b-Resilience, p44.)  However the PC definition requires development as they state that the project scope is still being defined. </t>
  </si>
  <si>
    <t>Data</t>
  </si>
  <si>
    <t>Code</t>
  </si>
  <si>
    <t>Financial Year</t>
  </si>
  <si>
    <t>SVE21</t>
  </si>
  <si>
    <t>SVE22</t>
  </si>
  <si>
    <t>SVE23</t>
  </si>
  <si>
    <t>SVE24</t>
  </si>
  <si>
    <t>SVE25</t>
  </si>
  <si>
    <t>HDD21</t>
  </si>
  <si>
    <t>HDD22</t>
  </si>
  <si>
    <t>HDD23</t>
  </si>
  <si>
    <t>HDD24</t>
  </si>
  <si>
    <t>HDD25</t>
  </si>
  <si>
    <t>PD, JN, MG, FC</t>
  </si>
  <si>
    <t>PD, JN, MG</t>
  </si>
  <si>
    <t>Appendix 9, p50
Appendix 6, p288</t>
  </si>
  <si>
    <t>Appendix 9, s1.4, p9
p152 of V4BP</t>
  </si>
  <si>
    <t>Appendix 9, s1, p4
Appendix 9, p50</t>
  </si>
  <si>
    <t>RP</t>
  </si>
  <si>
    <t>The company proposes a performance commitment measuring the % of population served by a single source of supply, with a financial ODI for over and under performance if its target and the range of common resilience performance commitments.</t>
  </si>
  <si>
    <t>Appendix 3.2, water resilience, p6-9.
Appendix 3.2, water resilience, p22-24
Appendix 3.2, water resilience, p22-F29</t>
  </si>
  <si>
    <t>S6025_Enhancement_water_network_5, Pages 2 - 8.
M&amp;PR need described in  The company_WN1_M</t>
  </si>
  <si>
    <t>S6025_Enhancement_water_network_5, Pages 2 - 8.
M&amp;PR need described in  The company_WN1_M + Other The company_WN1_XX documents</t>
  </si>
  <si>
    <t>The company states the costs for the T02 Hallbank tunnel replacement have been derived based on a tendering process.  The estimate is therefore a market driven price. However, further evidence to confirm this statement not provided.</t>
  </si>
  <si>
    <t>9.11.6 RP017 - Resilience Studies
AMP7_WS2 Data Tables Commentary TH
Appendix 7: DG026_SAF Capital Programme_V4.doc – Capital Programme Summary of Audit
9.5 WAP Appendix 5_Enhancement for Resilience in the Round, p8</t>
  </si>
  <si>
    <t>Appendix 7: DG026_SAF Capital Programme_V4.doc – Capital Programme Summary of Audit, p3
S795_MS003.xlsx, Appendix 6: MS003 &amp;MS006a Cost build-up – Network Support for Farlington and Gosport Zones
9.5.7 S795.PPA.1102</t>
  </si>
  <si>
    <t>BP, Chapter 4, p103-104</t>
  </si>
  <si>
    <t>The company identifies network resilience as a main priority for customers (BP, Chapter 1, p31) and have stated they have chosen the most efficient options based on the latest data available to them. However, there is limited detail provided on what options have been evaluated. (BP, Chapter 4, p104)</t>
  </si>
  <si>
    <t>BP, Chapter 4, p104</t>
  </si>
  <si>
    <t>BP, Chapter 4, p106</t>
  </si>
  <si>
    <t>Appendix 9, s8, p97-98</t>
  </si>
  <si>
    <t>Appendix 9, p85-86, p89-92</t>
  </si>
  <si>
    <t>The company has proposed the common resilience PCs and a bespoke PC for water resilience which includes a financial incentive related to the number of customers that experience a loss of mains supply for &gt;12hrs.</t>
  </si>
  <si>
    <t>5.8A - Water Resources
5.8F PR19 IC Water Quality WSH
5.8H PR19 Customer Minutes Lost Service Improvement
1.2 Welsh Water Water Services Table Commentaries WS WN WR, p15-16</t>
  </si>
  <si>
    <t>PD, JN, MG,</t>
  </si>
  <si>
    <t xml:space="preserve">Appendix A29, s3.2.2, p70-76
</t>
  </si>
  <si>
    <t xml:space="preserve">Appendix A29, s3.2.2, p70-77
</t>
  </si>
  <si>
    <t>9.5 WAP Appendix 5_Enhancement for Resilience in the Round, p8
9.8.4.1_AMP7_SERVALEC MISER resilience modelling
Appendix 7: DG026_SAF Capital Programme_V4.doc – Capital Programme Summary of Audit, p3</t>
  </si>
  <si>
    <t>The company includes the range of common resilience and asset health PCs designed to incentivise resilience. The company has not proposed a specific PC associated with the delivery of the resilience enhancements, given the scale and nature of the schemes this is considered appropriate.</t>
  </si>
  <si>
    <t xml:space="preserve">The company has stated that it has conducted optioneering as part of its resilience methodology to identify the best value option for customer (Appendix 9, s1.4, p9). However, how the process was conducted, i.e. what alternative options were considered or the cost benefits of the preferred and alternative options could have been better evidenced.
The company has presented very limited evidence of customer engagement on resilience issues. It is not apparent to us that the company has engaged with customers in any depth to inform its resilience strategy. 
The company has presented limited evidence of consideration of alternative options. However, the company's plan does suggest it has taken on the 4Rs approach to developing resilience and associated schemes. "We have used extensively the Cabinet Office 4Rs model (Resistance, Reliability, Redundancy and Response &amp; Recovery) in our previous plan. For the development of our 2020-2025 plan, we have considered short, medium and long-term resilience in a round." (Appendix 9, s1, p4)
</t>
  </si>
  <si>
    <t xml:space="preserve">For the SPoF schemes the company have also stated that they have taken a proportionate approach to schemes to keep them affordable and utilise existing measures to mitigate risks (Appendix 9, p50). However this is not backed up by further evidence showing what the different alternatives to the overall plan were and why this combination of schemes is considered the most efficient.
</t>
  </si>
  <si>
    <t>Requested</t>
  </si>
  <si>
    <t>Allowed</t>
  </si>
  <si>
    <t xml:space="preserve">The company have presented 17 schemes within their water resilience enhancement programme - (references are given to the list in the text box below).  Of these a total of 3 schemes were reallocated.  Scheme 1 was reallocated to Line 8 supply side enhancements as the need was considered to relate to SDB risks. (Appendix 3.2, water resilience, p7). Schemes 2 &amp; 3 (£33m) were reallocated to line 13 investments to address deteriorating raw water quality (Appendix 3.2, water resilience, p7, 22).
Scheme 13 &amp; 14 was not accepted as there was insufficient evidence of the specific risk it is expected to resolve.  Scheme 15 was also not accepted as it related to utilise existing water resources to protect against outages and this type of known outage risk is seen to be as part of managing existing risk under base costs.  Scheme 16) also not accepted as as although the risk of a supply interruption at Barsham works is identified, no magnitude or likelihood assessment is provided. It is also not clear how this links with scheme 15) the 4.3km of strategic transfer mains and how this combination provides best value resilience.  Further detail should be provided on the risk analysis undertaken looking at the overall resilience of properties served by Ormesby, Lound and Barsham WTWs and how the proposed schemes provide the best option. The analysis should identify that the schemes provide resilience against low probability, high magnitude events.  Scheme 17 was not accepted it is not clear which of the risks identified in the central catchment this additional storage is targeted at and why 2 - 3 days is an appropriate amount. . Without further detail and evidence on the nature of the risk of failure at Mosswood or the Derwent North main the spend cannot be justified under enhanced resilience expenditure. </t>
  </si>
  <si>
    <t xml:space="preserve">There was no detailed evidence found on scheme costs, therefore it was not possible to judge cost efficiencies of these schemes in detail. A company specific efficiency challenge was applied.
</t>
  </si>
  <si>
    <t>Along with the common resilience PCs the water resilience enhancement programme is covered by a performance commitment with a penalty only ODI to protect customers against late or non-delivery of the overall resilience programme.</t>
  </si>
  <si>
    <t xml:space="preserve">The company states that the replacement of the T02 Hallbank tunnel is subject to a DWI Notice.  However, only a DWI letter of support for the M&amp;PR scheme as a whole has been provided. </t>
  </si>
  <si>
    <t>Three resilience programmes totalling £2.79m have been included within line 14 these include:
1) AMP7_PPA_1101 - Resilience Studies v2 30Jan2018 - £74.9k 
2) AMP7_PPA_1102 - Resilience Schemes V5 30Apr18 - £2,472.7k
3) AMP7_PPA_1105 - Strategic Mains Support  - £245.0k
1) 1101 - Resilience studies - The proposed studies follow on from similar modelling done in AMP7 which has identified potential points of failure and allowed prioritisation of schemes based on consequence and cost benefit analysis. The modelling has been used to identify the impacts and most cost beneficial schemes to mitigate against low probability high magnitude events within the AMP7 business plan and therefore the allowance is accepted for planning for AMP8, (9.11.6 RP017 - Resilience Studies, p2) (AMP7_WS2 Data Tables Commentary TH, p2).
2) 1102 - Resilience Schemes: Four major Resilience schemes are planned in AMP7, these are new schemes to off-set potential demand deficits arising from high risk low likelihood failure events.  (AMP7_WS2 Data Tables Commentary TH, p2). The schemes identified here were as a result of MISER resilience modelling which assessed a range of failure scenarios. The need for the proposed schemes has been evidenced through a detailed modelling approach, the failure scenarios modelled largely cover low probability high magnitude events and therefore meet our expectation of resilience needs. (Resilience Study: Project Report, s3.1, p4-5) (Resilience Study: Project Report, s3.3.4, p8) (Resilience Study: Project Report, s3.4, p10). 
3) 1105 - Strategic Mains Support: The £0.245m of investment related to upsizing or preparing the network for anticipated development is considered under the New Developments enhancement line as it relates to preparing for expected growth of new developments.</t>
  </si>
  <si>
    <t>The company presented sufficient evidence of the range of alternative options identified and consideration of the most cost beneficial combination of interventions to identify best value for customers. (9.8.4.1_AMP7_SERVALEC MISER resilience modelling,Table 3, p12).
The resilience programme has also been externally audited by Atkins who stated that the optioneering and scope development was "In line with industry good practice, based on screening and then reasonably detailed optioneering for the preferred AMP7 schemes." The external audit also challenged the probability of failure rates used but stated that "Although there is uncertainty over failure probabilities, and we challenged that validity of those calculations at audit, the four preferred options clearly have a very high benefit:cost ratio and remain justified even if more realistic failure probabilities are applied." (Appendix 7: DG026_SAF Capital Programme_V4.doc – Capital Programme Summary of Audit, p3). Overall, the evidence provided was considered sufficient.</t>
  </si>
  <si>
    <t>The companies proposed capital programme, including the resilience programme have been externally audited by Atkins (Appendix 7: DG026_SAF Capital Programme_V4.doc – Capital Programme Summary of Audit). The audit states that costs were based on "Project estimates based on consultant and independent QS estimates." (Appendix 7: DG026_SAF Capital Programme_V4.doc – Capital Programme Summary of Audit, p3).
The company has also provided a breakdown of costs for the proposed schemes in spreadsheet format a comparison of some unit rates used found these to be within a reasonable range (S795_MS003.xlsx, Appendix 6: MS003 &amp;MS006a Cost build-up – Network Support for Farlington and Gosport Zones) 
The company has presented some evidence of a range of options selected and selection of the most cost beneficial option in the Unit Cost row of 9.5.7 S795.PPA.1102 (p3-5). Overall, the evidence provided was considered sufficient.</t>
  </si>
  <si>
    <t xml:space="preserve">The projects considered are clearly linked to removing risks of single supplies with the aim of having 100% of properties being able to be supplied by more than one treatment works (BP, Chapter 4, p103-104).  This is consistent with our view of resilience investment.
</t>
  </si>
  <si>
    <t xml:space="preserve">The company states that it has used a number of sources including framework rates, schedule rates and common costs. The plan splits out costs for each intervention for each year between 2020-25. The costs for each intervention were also reviewed by cost consultants. (BP, Chapter 4, p106). </t>
  </si>
  <si>
    <t>The company has put forward a performance commitment with a financial penalty for not delivering on the target of a 100% of properties being able to be supplied by a second supply by 2025 (BP, Chapter 4, p106).</t>
  </si>
  <si>
    <t>Overall SEW have allocated its resilience spend between 3 areas, these include:
Investment for Flood protection (£1.35m) links to the definition of this line to protect against 1-1000 flood resilience based on the NFFR (Appendix 9, s8.1.2, p86). The company has provided its analysis of how flood risk at sites has been assessed and that it has taken into account criticality. (Appendix 9, p87-90)
The strategic mains resilience (£21.11m) seek to improve interconnectivity to reduce risk of supply interruptions and single sources of supply.  This programme failed to provide sufficient evidence of how each scheme resolved a single source of supply issue or mitigates against low probability high magnitude events. The analysis considers the position after 5 days after "reasonable mitigation actions" have been implemented but does not state why this is an appropriate time period or what mitigation options were considered.  This investment has been assessed as base expenditure. 
The programme to increase capacity / redundancy at WTW (11.82m) has been identified to mitigate the risk of supply interruptions when one of the 2 single cell contact tanks are out of service. Further evidence would need to be provided identifying how the risk relates to unexpected low probability, high impact events and that other alternative options have been considered to manage this risk and why current management options that have been used to manage this risk are no longer sufficient. Without such evidence the scheme costs has been assessed as base expenditure.</t>
  </si>
  <si>
    <t xml:space="preserve">The company has stated it has used its Unit Cost Database (UCDB) and Programme Costing and Estimate Tool (PCET). These costs have been built up over previous price reviews and utilise historical scheme costs, supplier data and standard pricebook data (Appendix 9, s8.1.1, p85). For the flood resilience schemes details on the average costs of mitigation and details of extrapolation have been presented and how costs have been applied against different levels of risks (Appendix 9, Table 23, p92). </t>
  </si>
  <si>
    <t>SSC proposes 3 schemes within its water resilience enhancement programme.
The scheme to reintroduce groundwater sources has been reallocated to supply-side investments for supply and demand balance as the need presented stated that the schemes would help meet overall supply demand balance (Appendix A29, s3.2.2, p74).
The schemes to address power supply issues (£1m) is appropriate to this area.  The company have clearly identified and assessed risks of low probability-high consequence external power outages. The risk has been upgraded following an external assessment (National Risk Assessment, 2017) and leading to the need to upgrade resilience to power supplies. (Appendix A29, s3.2.2, p70-71)
The need for the network resilience scheme (£3.1m) is also accepted as the risks identified are related to single sources of supply and points of failure (Appendix A29, s3.2.2, p76).</t>
  </si>
  <si>
    <t>The company provides a rationale for each of the accepted schemes and why they are the most suitable option for customers, including identifying that the cost benefit appraisal undertaken as part of the investment optimisation process meant choosing the most cost-effective solutions for customers. Further detail on the optioneering could have been provided, e.g. further details on alternatives and comparative benefits. (Appendix A29, s3.2.2, p76)</t>
  </si>
  <si>
    <t>The company includes the range of common resilience and asset health PCs designed to incentivise resilience. The company has not proposed a specific PC associated with the delivery of the resilience enhancements, given the scale and nature of the schemes this is accepted.</t>
  </si>
  <si>
    <t>The company provided no evidence to demonstrate any other options have been assessed.  Due to the lack of evidence of an appropriate level of optioneering to identify the best value option for customers a 20% efficiency challenge has been applied to the schemes passing the needs gate.</t>
  </si>
  <si>
    <t>The company state that the costs of the projects have been established through 1.) STW cost curves &amp; unit rates established, updated and refined over the last 15yrs for similar activity; 2.)  Cost data provided by an independent engineering consultant with specialist cost data sets; and 3.) Best practice guidance on understanding and applying an appropriate level of optimism bias within our projects", p293.  This approach  appears reasonable and has been assured at different levels, but only high-level costs (CAPEX and annualised OPEX) have been provided for the preferred options. Not all feasible options were provided with the same level of detail; in general, only NPV of benefits minus costs are provided for most options, but this information is only given for the preferred option in the network assets. However, the basis of these costs and their derivation are not explained.  There is concern regarding the application of optimism bias to these types of investment. 
In addition the company also states they "have then tested the efficiency of these [estimating approaches] using an independent expert (Turner &amp; Townsend) by; 1.) Benchmark testing a selection of representative projects; and 2.) Benchmark testing a number of programme level costs e.g. feasibility fee, design fee, project support costs."  Further cost efficiency benchmarking is set against the background of having secured programme optimisation and project optimisation savings such that they accrue in their entirety to customers. On this programme of work we estimate that these costs are in excess of £100m capex.", p293.  
On this basis and the previous conclusions regarding the justification of the preferred option a 20% adjustment has been applied to all investments for which the need was accepted.  The investment for strategic supply assets has been allowable in full.</t>
  </si>
  <si>
    <t xml:space="preserve">The company proposes a new PC with an end of period ODI for resilience that covers both source and network resilience under normal conditions (peak demand, multiple failure scenarios and drought conditions are outside of the PC) p294.
</t>
  </si>
  <si>
    <t xml:space="preserve">The majority of this claim relates to the North-East London Resilience Scheme (£179.7m).  The remaining investment is £24.6m totex (£21.1m capex, £3.5m opex) for improving power resilience at 31 sites and £8m totex (£8m capex, zero opex) for improving flooding resilience at 25 sites. Resilience expenditure is expected to be related to low probability-high consequence events that would not be considered are part of routine operations and thus this investment is appropriate to this line and the need is accepted.  However as set out below we are concerned that the North-East London Resilience Scheme is not fully integrated into the company supply-demand strategy and that as the scheme specification progresses we will seek clarity on this.
There are two elements to the North-East London Resilience Scheme relating to Coppermills WTW.
1.) Failure of the high lift pumping station (HLPS).  Thames Water identifies the HLPS at Coppermills WTW as a critical asset.  It has a common inlet and outlet manifold and thus is a single point of failure (1. s3.59).   The manifold is a steel pipe encased in concrete and TMS states that whilst it has been assessed it has not been inspected (1. s3.59). The company estimates an annual probability of failure at 1 in 50 years although it is not clear what was assessed, nor how this figure was arrived at (1. s3.59).  It would be helpful to understand the sensitivity of this value in identifying this as the most critical resilience risk in the company.  Thames Water states there will be a supply deficit in NE London and also issues on the Coppermills site should the HLPS fail (1. s3.60 to s3.62).  Therefore it would appear that a ‘safe to fail’ option is inappropriate without further mitigations and any intervention should address this.  The supply deficit is estimated as 520 ML/d, i.e. the loss of Coppermills and transfer from the London ring main (TWRM).  
This risk is consistent with our expectations in terms of resilience related investment, i.e. it addresses a low probability – high consequence event.
2.) Reduction in site output during episodes of algal blooms.  Thames Water states that the water quality in its raw water reservoirs is deteriorating (1. s3.63).  It states that its management strategies are not effective when the levels in the reservoirs are low (s3.65) and implies it operates reservoirs consistently at these low levels and thus the levels of algae are beyond management control. Thames Water presents a graph (1. Fig 8, pg 21) sourced from its dWRMP and it is not clear if the proposed intervention is also accounted for under its source deployable outputs.  The information is insufficient to confirm the company is doing everything to manage this issue nor how this risk will change in the future. TMS state that the impact of the algal bloom is a loss of deployable output and increasing operational cost (1. s3.66).  It states a worst case scenario of the algal bloom coinciding with one at works in West London (with a probability of 1 in 25 years) so will not be able to make up all the supply deficit (1. s3.67).  Thames has not clearly stated the impact on the deployable output of Coppermills under a range of likely scenarios.  It states that the reduced output due to algal blooms from Coppermills WTW results in a supply deficit of 391 ML/d (1. s3.70) in NE London.  However table 4 (pg 22) shows that the output of Coppermills WTW will reduce by only 150ML/d as a result of an algal bloom.  Therefore this issue seems linked to a broader question relating to the supply-demand balance across this zone.  Considering water available from other sources, the overall deficit is estimated as 208 ML/d.  There are also significant population growth predictions for London and the company further states it has a peak water production deficit and network transmission constraints (1. s3.72).  
In summary this risk does not fit easily within the definition of a resilience scheme on the basis that the probability of the single event is high.  In addition it needs to be confirmed if these production losses are also accounted for in the WRMP.  Notwithstanding the intervention has been assessed further.
</t>
  </si>
  <si>
    <t xml:space="preserve">Overall WSH have presented 11 schemes within their resilience enhancement line. It should be noted that the costs presented within the business plan data tables relating to line 14 and those in the enhancement cases do not appear to align exactly and therefore best efforts have been made to align the scheme costs between these 2 sources.
5 schemes totalling £41.01m were reallocated as the need they resolved were related to other investment areas. These include:
1) Phase 1 delivery of improvements for the development of the Brecon Beacons Mega catchment (£9m) reallocated to Line 18 raw water deterioration. (5.8A - Water Resources, p22)
2) Improved interconnectivity between Herefordshire and Vowchurch WRZ to provide 1-200 drought resilience. (£5.83m) reallocated to Line 8 - SDB measure as the need was associated with providing drought resilience to the Vowchurch WRZ. 
3) Water resource safeguard zones (£16.3m) reallocated to Line 18 as measures relate to either raw water deterioration or to Line 17 Drinking Water Protected Areas. The schemes consists of 23 safeguard zones 1 of which is included within WINEP3 but the other 22 are still awaiting confirmation.
4) Improvements to emergency response to provide capability to comply with SEMD (£0.54m)
5) Improvements to IS and cyber security (£9.34m) investment was reallocated to Non-SEMD enhancements.
Schemes 6,7,8,9 and 10 were not sufficiently evidenced as relating to low probability-high consequence risk and better considered as base investment. 
Scheme 11) the Network Resilience schemes (£5.31m) was accepted it removes the risk of single sources of supply at crossing points which can be difficult to recover and respond from quickly. . 
These schemes include:
- Bwlch Tunnel Bypass, Alwen Trunk Main (£3m)
- Improved Cross Connections within the Rhiwbina system (£1m)
- Additional Main at the River Usk Crossing at Priory Wood (£0.76m)
- Duplicate Crossing of the Llangunnor Main (£0.8m)
</t>
  </si>
  <si>
    <t>The company provides some evidence of considerations of alternative options, but this is limited to: Do nothing - defer investments to AMP8, Maintain current levels of service and meet legal obligations &amp; Integrated intervention programme with enhancement (5.8A - Water Resources, p13).  The chosen option is the Integrated intervention programme with enhancement because "it is the most effective way to deliver interruption to supply benefits and improve our service standards for our customers during AMP7. These improvements are supported by our customers and were captured during our customer consultation process." (5.8A - Water Resources, p13) 
The company has provided limited evidence of its customer research, where it has presented customer WtP research across different lengths of service interruptions to demonstrate that customers place a high value on interventions to improve reliability of supply. (5.8A - Water Resources, Table 2, p6)</t>
  </si>
  <si>
    <t xml:space="preserve">The company also included a risk allowance of £9m.  There is no evidence to support this and risk is covered by WACC so this has been removed.
</t>
  </si>
  <si>
    <t xml:space="preserve">Wessex Water describes undertaking a cost / benefit analysis (CBA) to assess the appropriate investment level/option to improve the resilience of the works.  The analysis aimed to compare the value the reduction in outage risk (additional costs associated with "managing any incident, customer costs, reputation costs, external stakeholder costs and any penalties and fines imposed") against the cost of investing to improve the resilience.  </t>
  </si>
  <si>
    <t>The company states that external benchmarking has been used to demonstrate that its "cost estimates are efficient and competitive compared with the marketplace".  The costs of the mitigation interventions were costed using internal and external sources. The lack of cost breakdown means that a refined approach to cost reallocation has not been feasible. A company specific efficiency factors has been applied.</t>
  </si>
  <si>
    <r>
      <rPr>
        <b/>
        <sz val="10"/>
        <color theme="1"/>
        <rFont val="Calibri"/>
        <family val="2"/>
        <scheme val="minor"/>
      </rPr>
      <t>The company has provided a reasonable level of detail in their methods and calculations</t>
    </r>
    <r>
      <rPr>
        <sz val="10"/>
        <color theme="1"/>
        <rFont val="Calibri"/>
        <family val="2"/>
        <scheme val="minor"/>
      </rPr>
      <t xml:space="preserve"> that underpin key elements of the claim relating to the identification and prioritisation of risks  (e.g. failure probability derivation, cost calculations, impacts of failure on customer supply, estimation of benefits).   However, while the main components of a robust options appraisal process are included in the business case (incorporating customer views into options development &amp; consideration of a full range of resilience options), there is not enough detail to fully verify the appropriateness of the company's preferred option.  The company states that its cost adjustment claims have received technical and regulatory assurance from Jacobs, and the specific roles carried out by Jacobs in some of the areas is stated, whereas in this particular area it is not. The options analysis would have been significantly improved by greater evidence of external technical assurance. On this basis adjustments have been made to the requested investment. 
Specifically for the trunk mains investment there is a benefit to asset health that has not been acknowledged. Further evidence should have been presented on likelihood of failures and therefore it is difficult to ascertain whether the scheme can be considered as the most cost effective or the highest priority area for investment. For large WTW there may be a significant benefit across both local SDB and resilience through the dual streaming of these works.  The evidence provided was not considered sufficient to provide confidence that all possible options, including lower scope mitigations for specific points of failures have been rigorously review.   Again for Groundwater treatment works investment area there is insufficient evidence presented on likelihood of failures and therefore it is difficult to judge whether the scheme can be considered as the most cost effective or the highest priority area for investment.  
The adjustments made are summarised in the box  below.</t>
    </r>
  </si>
  <si>
    <t>The company proposes the common resilience PCs and 2 bespoke resilience PCs with non-financial incentives that are related to security of water supply.</t>
  </si>
  <si>
    <t xml:space="preserve">The company's state that their costs are built up from bottom up quality surveying rates, scopes of works have been challenged and projected efficiencies applied to scheme costs. (Appendix A29, s3.2.2, p77).  More information could have been provided to evidence this and a company specific efficiency challenge has been applied. </t>
  </si>
  <si>
    <t>The investment related to the prevention of flooding at four sites (£4.125m) is appropriate to include within this investment line.  Further we considered that the investment related to Cyber improvements in Operational Technology (OT) control system networks at water treatment works, and network enhancements to reduce customer single source exposure (£5.781) could be considered as resilience or Non-SEMD related security enhancement and costs have been allocated accordingly.  We have allocated a proportion of the investment from the management and general freeform line (£2.09m) to this area.
The investment related to Knapp Mill and Alderney WTWs has been assessed under the cost adjustment claim process (£33.3M).  Further we consider that the investment allocated to this line relating to the PUROS and iOPS opex reduction, and RSI (Resilience and Service Improvement) (£9.96m) would be best assessed as base expenditure as it appears to relate to updating IT control systems.</t>
  </si>
  <si>
    <r>
      <t>The company presents clear plans to improve the resilience of its strategic grid network, focusing on the following areas: strategic supply assets &amp; trunk mains, large surface water treatment works and groundwater works and network assets. Lessons learnt from the Mythe incident in 2007 and the recent work on the Birmingham resilience scheme, as well as information gained from the Elan Valley Aqueduct and United Utilities’ Haweswater Aqueduct have been reviewed in developing the business case.  The expenditure can be summarised into the following sub-investments: Strategic Supply Assets (£29m) &amp; Trunk Mains (£10m), Large Surface Water Treatment Works (£54m) &amp; Groundwater Sites (£14m) and Network response to a treatment work failure (£21m) &amp; Distribution Resilience (£7m).  Resilience expenditure is expected to be related to low probability-high consequence events that would not normally be evident in historical levels of service (due to their low frequency of occurrence).  In the absence of this and regulatory drivers the clear support of customers is expected.  
The</t>
    </r>
    <r>
      <rPr>
        <b/>
        <sz val="10"/>
        <color theme="1"/>
        <rFont val="Calibri"/>
        <family val="2"/>
        <scheme val="minor"/>
      </rPr>
      <t xml:space="preserve"> strategic supply asset investment</t>
    </r>
    <r>
      <rPr>
        <sz val="10"/>
        <color theme="1"/>
        <rFont val="Calibri"/>
        <family val="2"/>
        <scheme val="minor"/>
      </rPr>
      <t xml:space="preserve"> relates to single points of failure on the trunk main network including the strategic link from Bamford to Ambergate.  The company states that "...These assets are complex in their operation and unique in their construction... and therefore present a single point of failure...(Appendix 8, p268)" with the potential to impact large numbers of customer.  This is consistent with our definition of this investment area as it relates to resolving risks of a single source of supply.  Further the trunk main risk assessments relate to "...principally reviewing the risk of structural failure, failure caused by natural hazard or failure caused by 3rd party." (Appendix 8, p62).  These are a low probability, high magnitude events.  Duration assessments and alternative approaches have been considered and only interventions on trunk mains where a 24hr supply interruption is likely have been included in investment plans, "This has resulted in reducing our list to only 2,699 mains which do not have the capability to avoid an interruption to supply for longer than 24hrs in the event of a failure" (Appendix 8, p262).  
The company states that "...To help us understand the impact of a failure of our </t>
    </r>
    <r>
      <rPr>
        <b/>
        <sz val="10"/>
        <color theme="1"/>
        <rFont val="Calibri"/>
        <family val="2"/>
        <scheme val="minor"/>
      </rPr>
      <t>strategic surface water treatment works</t>
    </r>
    <r>
      <rPr>
        <sz val="10"/>
        <color theme="1"/>
        <rFont val="Calibri"/>
        <family val="2"/>
        <scheme val="minor"/>
      </rPr>
      <t xml:space="preserve">, we completed a further study in June 2016 to improve our understanding of the capability, capacity and constraints of the Strategic Grid and other assets both today and at the end of AMP6. This involved stress testing our water treatment works’ production capability under a range of scenarios." (Appendix 8, p269).  Therefore the impact of losing each of the 4 major WTWs on the strategic grid have been assessed highlighting 4 areas where there were significant properties at risk of supply interruptions and/or discoloured water issues and interventions included in this submission.  
</t>
    </r>
    <r>
      <rPr>
        <b/>
        <sz val="10"/>
        <color theme="1"/>
        <rFont val="Calibri"/>
        <family val="2"/>
        <scheme val="minor"/>
      </rPr>
      <t>Relating to the groundwater sites</t>
    </r>
    <r>
      <rPr>
        <sz val="10"/>
        <color theme="1"/>
        <rFont val="Calibri"/>
        <family val="2"/>
        <scheme val="minor"/>
      </rPr>
      <t xml:space="preserve"> the company states that "...we have reviewed all 108 of our groundwater sites and appraised their vulnerability to long duration interruptions (&gt;24hrs), principally reviewing the risk of aquifer pollution and/or mechanical or electrical failure, power failure and extreme flooding....  We have simulated the impacts of failure and the options we have to provide resilience from elsewhere in our system or elsewhere on the site. This has resulted in our list of sites which do not have the capability to avoid an interruption to supply for longer than 24hrs in the event of a failure. We have assessed if any redundancy or resistance options exist, should exist or have ever existed at these sites. Where they do our sites do not form part of this proposal".  The risk identification process has covered extreme events such as flooding and power failure and therefore can be considered to be linked to low probability, high consequence events that are expected in this expenditure line.  
The company have identified areas of their </t>
    </r>
    <r>
      <rPr>
        <b/>
        <sz val="10"/>
        <color theme="1"/>
        <rFont val="Calibri"/>
        <family val="2"/>
        <scheme val="minor"/>
      </rPr>
      <t>network</t>
    </r>
    <r>
      <rPr>
        <sz val="10"/>
        <color theme="1"/>
        <rFont val="Calibri"/>
        <family val="2"/>
        <scheme val="minor"/>
      </rPr>
      <t xml:space="preserve"> where if required to respond to a major treatment works failure and reverse flows they would likely cause discolouration and/or a long term supply interruption.  The investment relates to 19 interventions identified to mitigate this risk. However we consider that companies are already funded to maintain their supply network to avoid discolouration.
The company further states that for customers, interruptions of longer than 24 hours are not acceptable; prolonged periods of discolouration for some customers are tantamount to a supply interruption; an equivalent minimum level of resilience for all customers should be provided; and interruptions in supply caused by a single point of failure are unacceptable (sve_appendix_a8_securing_cost_efficiency, p55).  Under distribution resilience (£7m) the company includes investment for local resilience, pressure transients and enhanced network conditioning.  Local resilience schemes are driven by a range of strategic network connections and therefore links directly to improving supply interruptions performance.  Such investments are considered to relate to securing routine operations and the need under this expenditure lines is not accepted.
</t>
    </r>
  </si>
  <si>
    <t>The company includes the range of common resilience and asset health PCs designed to incentivise resilience.  The company also has proposed bespoke PCs measuring a critical asset resilience score for above and below ground water assets. The company has not proposed a specific PC associated with the delivery of the resilience enhancements, given the scale of the allowed investment this is considered appropriate.</t>
  </si>
  <si>
    <t xml:space="preserve">The company has provided a suitable needs case for resilience spend related to Single Point of Failure (SPoF) issues that are linked to low likelihood high impact events and therefore do fall under resilience spend. The company states that "A Single Point of Failure (SPoF) is defined as an asset failure leading to loss production/availability where the residual output is insufficient to meet normal requirements.  The state that “the designed resilience of our systems ensures that the two components (asset failure subsequent loss of supply) are infrequent. However, a few, low likelihood, high consequence risks associated with asset failure which could lead to significant loss of supply remain.  Typical examples include severe fire affecting electrical infrastructure at large treatment works, failure of trunk mains, asset failures at sites where customer supplies are almost immediately affected and sudden inundation of infrastructure assets within basements."  (Appendix 9, p50)
An additional £2m was assessed under line 14 that was reallocated from line 8 SDB for resilience and environment community pilot schemes. The expenditure for this would be expected as part of base spend (Appendix 6, 8.5.6.2, p288). 
</t>
  </si>
  <si>
    <t xml:space="preserve">The investment line includes as proportion of the investment to support the WRMP supply side strategy (Line 14 = £292.945m capex, Line 53 = £5.006m opex).  This includes 16 new strategic potable transfer mains (500km); (2) New WTW (6 Mld) to treat water from Pyewipe WRC for non-household customers; (3) New WTW to supply South Humber Bank customers, and should be considered alongside other parts of the supply and demand programme.
The remainder has been assessed under resilience programme (£22.8m capex) consists of activities to mitigate a single source of supply risk to connect isolated communities to a second source of water supply, mobile treatment facilities to provide emergency responses and upgrading unreliable incoming power supplies at five sites which are accepted in this investment line.  The other activities, such as maintenance activities to avoid process failure, telemetry upgrades and fire risk for critical panels are regarded as base expenditure.  None of the investment in this area relates specifically to protecting assets from flooding risks as per the National Flooding Resilience Review. 
</t>
  </si>
  <si>
    <t xml:space="preserve">Evidence of detailed customer consultation is presented and indicates strong customer support for measures that increase resilience in water supplies.  The company reports "Each scheme has been fully assessed  as part of our Risk Opportunity and Value (ROV) process".  It is assumed that all schemes put forward in the business plan passed the ROV process even though this is not explicitly stated. This process considers baseline and residual risk of each alternative considered, scored for both private and societal impact. This enables cost benefit analysis to be carried out on each option to choose the best value, lowest whole life cost solution."  However the company does not support this statement with examples relating to this enhancement line showing  information on alternatives or individual cost/benefits/risk reduction  for example. </t>
  </si>
  <si>
    <t xml:space="preserve">Detailed cost breakdown is provided to test whether costs are efficient.  The company states that "…our costs of doing so have been developed using our well populated cost model library that has been developed over several AMPs using data from previously delivered projects, price adjusted to the relevant year. The costs are based on current out turn costs and therefore include embedded efficiencies delivered in AMP6."
As a detailed cost breakdown is not provided and there is insufficient detail on optioneering a 20% efficiency challenge and a further company specific efficiency is applied.
</t>
  </si>
  <si>
    <t xml:space="preserve">The company has not provided sufficient evidence that the investment presented relates to enhancement resilience line.  Resilience expenditure is expected to be related to low probability-high consequence events that would not be considered as part of routine operations.  
We consider that the investment sought relates to repairing or refurbishing mains which have known issues (£1.56m) and that for conducting risk assessments (£0.29) should be covered under base.  The investment to reduce the impact of supply interruptions from critical assets (£10.25m) proposes investments to ensure that issues lasting more than 24hrs with one of our critical assets do not impact more than 10,000 people by 2030. The analysis looks at failures lasting for 24hrs or more but doesn’t present evidence or analysis on the likelihood of the failures lasting 24hrs and further the company in fact states that this has not been robustly analysed. The company does not clearly identify the types of failures the risk analysis has considered, and whether these only consider low probability-high consequence events and not risks that are not already managed within existing operational responses. The company should provide further evidence to justify that the failure lengths considered are appropriate and what failures have been assessed to justify the need.
</t>
  </si>
  <si>
    <t xml:space="preserve">Schemes 4, 5 &amp; 6 were accepted in full as the schemes resolve single source of supply risks at large urban centres with relatively low cost interventions.  Further likelihood of failure analysis would have provided a stronger evidence of criticality of the investment.
Schemes 7 to 12 were accepted.  The company did identify a need for these schemes but because of the scale of the proposed schemes the evidence to support the need is considered insufficient. Further details of analysis undertaken to understand likelihood of failures and likely duration of failures for these schemes would need to provide a stronger case for schemes proposed. As a result an efficiency challenge was applied (20%).
There was also very limited evidence of any optioneering being presented or alternative options being considered. The company state that "technical options for most schemes were often limited as we needed to address a specific risk, be it lack of water transfer capacity or emerging water quality issues." (Appendix 3.2, water resilience, p9)
</t>
  </si>
  <si>
    <t xml:space="preserve">The investment requested in this line is a combination of items relating to the Manchester &amp; Pennines resilience scheme and investment related to improving supply interruptions performance in the water network.  The majority of the investment relating to the scheme to enhance water supply resilience for customers in Manchester and the Pennines has been assessed under the Cost adjustment Claim process (£72.7m).  Investment related to  scheme started in AMP6 carrying over into AMP7 on the new tunnel to replace worst condition/highest risk section of tunnel T02 (1.1km) is considered appropriate to this enhancement line (Construction of T02) £22.3m.
The installation of pressure surge detection and alleviation, new strategic valves and cross connections and fast-fill network valves (£12.952 m) is regarded as activity funded under base.
</t>
  </si>
  <si>
    <t xml:space="preserve">T02 Hallbank tunnel project is to replace (using parallel tunnel/pipes) the worst section of the Haweswater Aqueduct (“HA”) which has been identified as requiring urgent rehabilitation.  The company reports that work has already started using AMP6 efficiency savings and the AMP7 spend covers completion of the project in 2020-21.  The company provides evidence to support replacement as the best option for this length due to its poor condition. This includes results of survey work undertaken during two outages during 2013 and 2016 where the company found significant sections with lining defects, with the Hallbank section identified as the most imminent risk of lining failure.  </t>
  </si>
  <si>
    <t>The evidence provided was considered sufficient for the flood protection schemes.  This included details of costs as assessed below for different interventions based on risk category and consideration of different options including do-nothing options and adding duplicated sources of supply. The company have shown that all options considered had large benefit to cost ratios.</t>
  </si>
  <si>
    <t xml:space="preserve">Further analysis </t>
  </si>
  <si>
    <t>Deep dive sheet - ANH</t>
  </si>
  <si>
    <t>Deep dive sheet - AFW</t>
  </si>
  <si>
    <t>Deep dive sheet - BRL</t>
  </si>
  <si>
    <t>Deep dive sheet - NES</t>
  </si>
  <si>
    <t>Deep dive sheet -UUW</t>
  </si>
  <si>
    <t>Deep dive sheet - PRT</t>
  </si>
  <si>
    <t>Deep dive sheet - SES</t>
  </si>
  <si>
    <t>Deep dive sheet - SEW</t>
  </si>
  <si>
    <t>Deep dive sheet - SSC</t>
  </si>
  <si>
    <t>Deep dive sheet - SWB</t>
  </si>
  <si>
    <t>AF 24/01/19</t>
  </si>
  <si>
    <t>Deep dive sheet - SVE</t>
  </si>
  <si>
    <t>Deep dive sheet - TMS</t>
  </si>
  <si>
    <t>Deep dive sheet -WSH</t>
  </si>
  <si>
    <t>Deep dive sheet - WSX</t>
  </si>
  <si>
    <t xml:space="preserve">Resilience expenditure is expected to be related to low probability-high consequence events that would not be considered are part of routine operations.  This investment relates to resilience improvements at [a treatment works] (£5.3m) and operational technology improvements.
 [Information redacted]
Operational technology improvements are "...measures to counteract the increasing threat of malicious damage by third parties" and cessation of 3rd party communications services.  Wessex Water links the need for the work to the end of PSTN telephone lines by 2025. The evidence of need provided appears robust, however, given the description it should be assessed as non-SEMD security related expenditure. </t>
  </si>
  <si>
    <t>[Reference redacted]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</si>
</sst>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_);_(* \(#,##0.00\);_(* &quot;-&quot;??_);_(@_)"/>
    <numFmt numFmtId="165" formatCode="0.000"/>
    <numFmt numFmtId="166" formatCode="#,##0_);\(#,##0\);&quot;-  &quot;;&quot; &quot;@&quot; &quot;"/>
    <numFmt numFmtId="167" formatCode="0.0%"/>
    <numFmt numFmtId="168" formatCode="_-* #,##0.0_-;\-* #,##0.0_-;_-* &quot;-&quot;??_-;_-@_-"/>
    <numFmt numFmtId="169" formatCode="0.0000000"/>
    <numFmt numFmtId="170" formatCode="_(* #,##0.0_);_(* \(#,##0.0\);_(* &quot;-&quot;??_);_(@_)"/>
    <numFmt numFmtId="171" formatCode="_(* #,##0_);_(* \(#,##0\);_(* &quot;-&quot;??_);_(@_)"/>
    <numFmt numFmtId="172" formatCode="_-* #,##0.000_-;\-* #,##0.000_-;_-* &quot;-&quot;??_-;_-@_-"/>
    <numFmt numFmtId="173" formatCode="_(* #,##0.000_);_(* \(#,##0.000\);_(* &quot;-&quot;??_);_(@_)"/>
  </numFmts>
  <fonts count="30"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1"/>
      <color indexed="8"/>
      <name val="Calibri"/>
      <family val="2"/>
      <scheme val="minor"/>
    </font>
    <font>
      <sz val="11"/>
      <color theme="1"/>
      <name val="Calibri"/>
      <family val="2"/>
      <scheme val="minor"/>
    </font>
    <font>
      <b/>
      <sz val="14"/>
      <color theme="1"/>
      <name val="Calibri"/>
      <family val="2"/>
      <scheme val="minor"/>
    </font>
    <font>
      <sz val="10"/>
      <color theme="1"/>
      <name val="Calibri"/>
      <family val="2"/>
      <scheme val="minor"/>
    </font>
    <font>
      <i/>
      <sz val="11"/>
      <color rgb="FF7F7F7F"/>
      <name val="Arial"/>
      <family val="2"/>
    </font>
    <font>
      <sz val="10"/>
      <color rgb="FFFF0000"/>
      <name val="Calibri"/>
      <family val="2"/>
      <scheme val="minor"/>
    </font>
    <font>
      <b/>
      <sz val="10"/>
      <color theme="1"/>
      <name val="Calibri"/>
      <family val="2"/>
      <scheme val="minor"/>
    </font>
    <font>
      <b/>
      <sz val="10"/>
      <name val="Calibri"/>
      <family val="2"/>
      <scheme val="minor"/>
    </font>
    <font>
      <sz val="10"/>
      <name val="Calibri"/>
      <family val="2"/>
      <scheme val="minor"/>
    </font>
    <font>
      <b/>
      <i/>
      <sz val="10"/>
      <color theme="1"/>
      <name val="Calibri"/>
      <family val="2"/>
      <scheme val="minor"/>
    </font>
    <font>
      <i/>
      <sz val="10"/>
      <color rgb="FF7F7F7F"/>
      <name val="Calibri"/>
      <family val="2"/>
      <scheme val="minor"/>
    </font>
    <font>
      <sz val="14"/>
      <color theme="1"/>
      <name val="Calibri"/>
      <family val="2"/>
      <scheme val="minor"/>
    </font>
    <font>
      <b/>
      <sz val="10"/>
      <color theme="3"/>
      <name val="Calibri"/>
      <family val="2"/>
      <scheme val="minor"/>
    </font>
    <font>
      <sz val="14"/>
      <name val="Calibri"/>
      <family val="2"/>
      <scheme val="minor"/>
    </font>
    <font>
      <b/>
      <sz val="14"/>
      <name val="Calibri"/>
      <family val="2"/>
      <scheme val="minor"/>
    </font>
    <font>
      <sz val="14"/>
      <color theme="3"/>
      <name val="Calibri"/>
      <family val="2"/>
      <scheme val="minor"/>
    </font>
    <font>
      <sz val="10"/>
      <color theme="3"/>
      <name val="Calibri"/>
      <family val="2"/>
      <scheme val="minor"/>
    </font>
    <font>
      <sz val="12"/>
      <color theme="3"/>
      <name val="Calibri"/>
      <family val="2"/>
      <scheme val="minor"/>
    </font>
    <font>
      <sz val="10"/>
      <color theme="1"/>
      <name val="Arial"/>
      <family val="2"/>
    </font>
  </fonts>
  <fills count="7">
    <fill>
      <patternFill patternType="none"/>
    </fill>
    <fill>
      <patternFill patternType="gray125"/>
    </fill>
    <fill>
      <patternFill patternType="solid">
        <fgColor theme="2"/>
        <bgColor indexed="64"/>
      </patternFill>
    </fill>
    <fill>
      <patternFill patternType="solid">
        <fgColor theme="9"/>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theme="0" tint="-0.499984740745262"/>
      </bottom>
      <diagonal/>
    </border>
    <border>
      <left/>
      <right/>
      <top/>
      <bottom style="double">
        <color indexed="64"/>
      </bottom>
      <diagonal/>
    </border>
  </borders>
  <cellStyleXfs count="24">
    <xf numFmtId="0" fontId="0" fillId="0" borderId="0"/>
    <xf numFmtId="0" fontId="10" fillId="0" borderId="0"/>
    <xf numFmtId="0" fontId="9" fillId="0" borderId="0"/>
    <xf numFmtId="0" fontId="11" fillId="0" borderId="0"/>
    <xf numFmtId="0" fontId="12" fillId="0" borderId="0"/>
    <xf numFmtId="0" fontId="8" fillId="0" borderId="0"/>
    <xf numFmtId="164" fontId="12" fillId="0" borderId="0" applyFont="0" applyFill="0" applyBorder="0" applyAlignment="0" applyProtection="0"/>
    <xf numFmtId="9" fontId="12" fillId="0" borderId="0" applyFont="0" applyFill="0" applyBorder="0" applyAlignment="0" applyProtection="0"/>
    <xf numFmtId="0" fontId="7" fillId="0" borderId="0"/>
    <xf numFmtId="166" fontId="6" fillId="0" borderId="0" applyFont="0" applyFill="0" applyBorder="0" applyProtection="0">
      <alignment vertical="top"/>
    </xf>
    <xf numFmtId="0" fontId="12" fillId="0" borderId="0"/>
    <xf numFmtId="164" fontId="12" fillId="0" borderId="0" applyFont="0" applyFill="0" applyBorder="0" applyAlignment="0" applyProtection="0"/>
    <xf numFmtId="0" fontId="5" fillId="0" borderId="0"/>
    <xf numFmtId="0" fontId="4" fillId="0" borderId="0"/>
    <xf numFmtId="0" fontId="4" fillId="0" borderId="0"/>
    <xf numFmtId="164" fontId="12" fillId="0" borderId="0" applyFont="0" applyFill="0" applyBorder="0" applyAlignment="0" applyProtection="0"/>
    <xf numFmtId="0" fontId="12" fillId="0" borderId="0"/>
    <xf numFmtId="0" fontId="3" fillId="0" borderId="0"/>
    <xf numFmtId="0" fontId="15" fillId="0" borderId="0" applyNumberForma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12" fillId="0" borderId="0" applyFont="0" applyFill="0" applyBorder="0" applyAlignment="0" applyProtection="0"/>
    <xf numFmtId="0" fontId="1" fillId="0" borderId="0"/>
  </cellStyleXfs>
  <cellXfs count="89">
    <xf numFmtId="0" fontId="0" fillId="0" borderId="0" xfId="0"/>
    <xf numFmtId="0" fontId="13" fillId="3" borderId="0" xfId="10" applyFont="1" applyFill="1" applyAlignment="1">
      <alignment vertical="center"/>
    </xf>
    <xf numFmtId="0" fontId="14" fillId="0" borderId="0" xfId="0" applyFont="1"/>
    <xf numFmtId="0" fontId="14" fillId="0" borderId="1" xfId="0" applyFont="1" applyBorder="1" applyAlignment="1">
      <alignment vertical="center"/>
    </xf>
    <xf numFmtId="0" fontId="13" fillId="3" borderId="0" xfId="0" applyFont="1" applyFill="1"/>
    <xf numFmtId="0" fontId="14" fillId="0" borderId="0" xfId="0" applyFont="1" applyAlignment="1">
      <alignment wrapText="1"/>
    </xf>
    <xf numFmtId="0" fontId="17" fillId="0" borderId="0" xfId="0" applyFont="1"/>
    <xf numFmtId="0" fontId="17" fillId="2" borderId="1" xfId="0" applyFont="1" applyFill="1" applyBorder="1" applyAlignment="1">
      <alignment horizontal="left" wrapText="1"/>
    </xf>
    <xf numFmtId="0" fontId="17" fillId="2" borderId="1" xfId="0" quotePrefix="1" applyFont="1" applyFill="1" applyBorder="1" applyAlignment="1">
      <alignment horizontal="left" wrapText="1"/>
    </xf>
    <xf numFmtId="0" fontId="16" fillId="0" borderId="0" xfId="0" applyFont="1"/>
    <xf numFmtId="0" fontId="17" fillId="6" borderId="1" xfId="0" applyFont="1" applyFill="1" applyBorder="1" applyAlignment="1">
      <alignment horizontal="left" wrapText="1"/>
    </xf>
    <xf numFmtId="0" fontId="18" fillId="0" borderId="0" xfId="0" applyFont="1"/>
    <xf numFmtId="0" fontId="19" fillId="0" borderId="0" xfId="1" applyFont="1"/>
    <xf numFmtId="0" fontId="19" fillId="0" borderId="0" xfId="0" applyFont="1"/>
    <xf numFmtId="0" fontId="14" fillId="5" borderId="1" xfId="0" applyFont="1" applyFill="1" applyBorder="1" applyAlignment="1">
      <alignment horizontal="left"/>
    </xf>
    <xf numFmtId="0" fontId="14" fillId="0" borderId="0" xfId="0" applyFont="1" applyBorder="1"/>
    <xf numFmtId="0" fontId="14" fillId="0" borderId="1" xfId="0" applyFont="1" applyBorder="1"/>
    <xf numFmtId="0" fontId="14" fillId="0" borderId="1" xfId="0" applyFont="1" applyBorder="1" applyAlignment="1">
      <alignment vertical="top"/>
    </xf>
    <xf numFmtId="0" fontId="14" fillId="0" borderId="3" xfId="0" applyFont="1" applyBorder="1" applyAlignment="1">
      <alignment horizontal="left" wrapText="1"/>
    </xf>
    <xf numFmtId="0" fontId="14" fillId="0" borderId="0" xfId="0" applyFont="1" applyAlignment="1">
      <alignment horizontal="left" wrapText="1"/>
    </xf>
    <xf numFmtId="165" fontId="14" fillId="0" borderId="1" xfId="0" applyNumberFormat="1" applyFont="1" applyBorder="1"/>
    <xf numFmtId="0" fontId="20" fillId="0" borderId="0" xfId="0" applyFont="1" applyAlignment="1">
      <alignment horizontal="left" indent="1"/>
    </xf>
    <xf numFmtId="0" fontId="14" fillId="0" borderId="0" xfId="0" applyFont="1" applyBorder="1" applyAlignment="1">
      <alignment vertical="top"/>
    </xf>
    <xf numFmtId="164" fontId="14" fillId="0" borderId="1" xfId="6" applyFont="1" applyBorder="1"/>
    <xf numFmtId="0" fontId="17" fillId="0" borderId="0" xfId="0" applyFont="1" applyAlignment="1">
      <alignment horizontal="center"/>
    </xf>
    <xf numFmtId="0" fontId="14" fillId="0" borderId="0" xfId="0" applyFont="1" applyAlignment="1">
      <alignment horizontal="center"/>
    </xf>
    <xf numFmtId="0" fontId="14" fillId="0" borderId="6" xfId="0" applyFont="1" applyBorder="1" applyAlignment="1">
      <alignment horizontal="center"/>
    </xf>
    <xf numFmtId="0" fontId="17" fillId="0" borderId="0" xfId="10" applyFont="1" applyAlignment="1">
      <alignment vertical="center"/>
    </xf>
    <xf numFmtId="0" fontId="14" fillId="0" borderId="1" xfId="0" applyFont="1" applyBorder="1" applyAlignment="1"/>
    <xf numFmtId="0" fontId="14" fillId="0" borderId="0" xfId="0" applyFont="1" applyBorder="1" applyAlignment="1"/>
    <xf numFmtId="14" fontId="14" fillId="0" borderId="1" xfId="0" applyNumberFormat="1" applyFont="1" applyBorder="1"/>
    <xf numFmtId="0" fontId="21" fillId="0" borderId="0" xfId="18" applyFont="1"/>
    <xf numFmtId="0" fontId="14" fillId="0" borderId="5" xfId="0" applyFont="1" applyBorder="1" applyAlignment="1">
      <alignment vertical="top"/>
    </xf>
    <xf numFmtId="0" fontId="14" fillId="0" borderId="5" xfId="0" applyFont="1" applyBorder="1" applyAlignment="1"/>
    <xf numFmtId="0" fontId="14" fillId="0" borderId="0" xfId="0" applyFont="1" applyFill="1"/>
    <xf numFmtId="0" fontId="14" fillId="0" borderId="1" xfId="19" applyFont="1" applyBorder="1" applyAlignment="1">
      <alignment horizontal="center"/>
    </xf>
    <xf numFmtId="0" fontId="14" fillId="0" borderId="1" xfId="19" applyFont="1" applyBorder="1"/>
    <xf numFmtId="9" fontId="14" fillId="0" borderId="1" xfId="7" applyFont="1" applyBorder="1"/>
    <xf numFmtId="0" fontId="17" fillId="0" borderId="1" xfId="19" applyFont="1" applyBorder="1"/>
    <xf numFmtId="168" fontId="18" fillId="0" borderId="1" xfId="6" applyNumberFormat="1" applyFont="1" applyBorder="1"/>
    <xf numFmtId="0" fontId="14" fillId="0" borderId="1" xfId="0" applyFont="1" applyBorder="1" applyAlignment="1">
      <alignment vertical="top" wrapText="1"/>
    </xf>
    <xf numFmtId="2" fontId="14" fillId="0" borderId="1" xfId="0" applyNumberFormat="1" applyFont="1" applyBorder="1"/>
    <xf numFmtId="0" fontId="14" fillId="0" borderId="1" xfId="0" applyFont="1" applyFill="1" applyBorder="1" applyAlignment="1">
      <alignment vertical="center"/>
    </xf>
    <xf numFmtId="0" fontId="13" fillId="3" borderId="2" xfId="10" applyFont="1" applyFill="1" applyBorder="1"/>
    <xf numFmtId="0" fontId="22" fillId="0" borderId="0" xfId="0" applyFont="1"/>
    <xf numFmtId="0" fontId="19" fillId="0" borderId="1" xfId="0" quotePrefix="1" applyFont="1" applyBorder="1" applyAlignment="1">
      <alignment vertical="top" wrapText="1"/>
    </xf>
    <xf numFmtId="0" fontId="14" fillId="0" borderId="1" xfId="0" applyFont="1" applyBorder="1" applyAlignment="1">
      <alignment wrapText="1"/>
    </xf>
    <xf numFmtId="0" fontId="19" fillId="0" borderId="1" xfId="10" applyFont="1" applyBorder="1" applyAlignment="1">
      <alignment vertical="top" wrapText="1"/>
    </xf>
    <xf numFmtId="0" fontId="14" fillId="0" borderId="1" xfId="10" applyFont="1" applyBorder="1" applyAlignment="1">
      <alignment vertical="top" wrapText="1"/>
    </xf>
    <xf numFmtId="165" fontId="14" fillId="0" borderId="0" xfId="0" applyNumberFormat="1" applyFont="1"/>
    <xf numFmtId="169" fontId="14" fillId="0" borderId="0" xfId="0" applyNumberFormat="1" applyFont="1"/>
    <xf numFmtId="9" fontId="14" fillId="0" borderId="0" xfId="0" applyNumberFormat="1" applyFont="1"/>
    <xf numFmtId="2" fontId="14" fillId="0" borderId="0" xfId="0" applyNumberFormat="1" applyFont="1"/>
    <xf numFmtId="0" fontId="14" fillId="0" borderId="3" xfId="0" applyFont="1" applyBorder="1" applyAlignment="1">
      <alignment vertical="top"/>
    </xf>
    <xf numFmtId="0" fontId="14"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vertical="top" wrapText="1"/>
    </xf>
    <xf numFmtId="2" fontId="14" fillId="0" borderId="1" xfId="0" applyNumberFormat="1" applyFont="1" applyFill="1" applyBorder="1" applyAlignment="1">
      <alignment vertical="center"/>
    </xf>
    <xf numFmtId="2" fontId="14" fillId="0" borderId="1" xfId="0" applyNumberFormat="1" applyFont="1" applyBorder="1" applyAlignment="1">
      <alignment vertical="center"/>
    </xf>
    <xf numFmtId="2" fontId="14" fillId="0" borderId="1" xfId="16" applyNumberFormat="1" applyFont="1" applyFill="1" applyBorder="1" applyAlignment="1">
      <alignment vertical="center"/>
    </xf>
    <xf numFmtId="0" fontId="24" fillId="3" borderId="4" xfId="1" applyFont="1" applyFill="1" applyBorder="1"/>
    <xf numFmtId="0" fontId="25" fillId="0" borderId="0" xfId="0" applyFont="1"/>
    <xf numFmtId="0" fontId="24" fillId="0" borderId="0" xfId="1" applyFont="1"/>
    <xf numFmtId="0" fontId="24" fillId="0" borderId="0" xfId="0" applyFont="1"/>
    <xf numFmtId="0" fontId="26" fillId="0" borderId="0" xfId="0" applyFont="1"/>
    <xf numFmtId="0" fontId="27" fillId="0" borderId="0" xfId="0" applyFont="1" applyAlignment="1">
      <alignment vertical="center"/>
    </xf>
    <xf numFmtId="0" fontId="17" fillId="4" borderId="1" xfId="0" applyFont="1" applyFill="1" applyBorder="1" applyAlignment="1">
      <alignment horizontal="center"/>
    </xf>
    <xf numFmtId="0" fontId="17" fillId="4" borderId="1" xfId="0" applyFont="1" applyFill="1" applyBorder="1" applyAlignment="1">
      <alignment horizontal="center" wrapText="1"/>
    </xf>
    <xf numFmtId="0" fontId="14" fillId="0" borderId="1" xfId="23" applyFont="1" applyBorder="1"/>
    <xf numFmtId="170" fontId="17" fillId="0" borderId="1" xfId="6" applyNumberFormat="1" applyFont="1" applyBorder="1"/>
    <xf numFmtId="171" fontId="14" fillId="0" borderId="1" xfId="6" applyNumberFormat="1" applyFont="1" applyBorder="1"/>
    <xf numFmtId="167" fontId="14" fillId="0" borderId="1" xfId="7" applyNumberFormat="1" applyFont="1" applyBorder="1" applyAlignment="1">
      <alignment wrapText="1"/>
    </xf>
    <xf numFmtId="0" fontId="17" fillId="0" borderId="1" xfId="23" applyFont="1" applyBorder="1"/>
    <xf numFmtId="171" fontId="17" fillId="0" borderId="1" xfId="6" applyNumberFormat="1" applyFont="1" applyBorder="1"/>
    <xf numFmtId="167" fontId="17" fillId="0" borderId="1" xfId="7" applyNumberFormat="1" applyFont="1" applyBorder="1" applyAlignment="1">
      <alignment wrapText="1"/>
    </xf>
    <xf numFmtId="2" fontId="23" fillId="0" borderId="0" xfId="0" applyNumberFormat="1" applyFont="1"/>
    <xf numFmtId="164" fontId="18" fillId="0" borderId="1" xfId="6" applyFont="1" applyBorder="1"/>
    <xf numFmtId="164" fontId="14" fillId="6" borderId="1" xfId="6" applyFont="1" applyFill="1" applyBorder="1"/>
    <xf numFmtId="172" fontId="14" fillId="0" borderId="1" xfId="11" applyNumberFormat="1" applyFont="1" applyBorder="1"/>
    <xf numFmtId="172" fontId="14" fillId="0" borderId="1" xfId="11" applyNumberFormat="1" applyFont="1" applyFill="1" applyBorder="1"/>
    <xf numFmtId="0" fontId="26" fillId="0" borderId="0" xfId="0" applyFont="1" applyAlignment="1">
      <alignment vertical="center"/>
    </xf>
    <xf numFmtId="0" fontId="28" fillId="0" borderId="0" xfId="0" applyFont="1" applyAlignment="1">
      <alignment vertical="center"/>
    </xf>
    <xf numFmtId="0" fontId="17" fillId="4" borderId="1" xfId="0" applyFont="1" applyFill="1" applyBorder="1" applyAlignment="1">
      <alignment vertical="top" wrapText="1"/>
    </xf>
    <xf numFmtId="0" fontId="14" fillId="4" borderId="1" xfId="0" applyFont="1" applyFill="1" applyBorder="1" applyAlignment="1">
      <alignment vertical="top" wrapText="1"/>
    </xf>
    <xf numFmtId="0" fontId="29" fillId="0" borderId="1" xfId="0" applyFont="1" applyBorder="1" applyAlignment="1">
      <alignment vertical="top" wrapText="1"/>
    </xf>
    <xf numFmtId="0" fontId="29" fillId="0" borderId="1" xfId="0" applyFont="1" applyBorder="1" applyAlignment="1">
      <alignment vertical="top"/>
    </xf>
    <xf numFmtId="0" fontId="14" fillId="0" borderId="1" xfId="0" applyFont="1" applyBorder="1" applyAlignment="1">
      <alignment horizontal="left" vertical="top" wrapText="1"/>
    </xf>
    <xf numFmtId="173" fontId="14" fillId="0" borderId="1" xfId="6" applyNumberFormat="1" applyFont="1" applyBorder="1"/>
    <xf numFmtId="0" fontId="14" fillId="0" borderId="1" xfId="0" applyFont="1" applyBorder="1" applyAlignment="1">
      <alignment horizontal="left"/>
    </xf>
  </cellXfs>
  <cellStyles count="24">
    <cellStyle name="Comma" xfId="6" builtinId="3"/>
    <cellStyle name="Comma 2" xfId="11"/>
    <cellStyle name="Comma 2 2" xfId="22"/>
    <cellStyle name="Comma 3" xfId="15"/>
    <cellStyle name="Comma 4 2" xfId="20"/>
    <cellStyle name="Explanatory Text" xfId="18" builtinId="53"/>
    <cellStyle name="Normal" xfId="0" builtinId="0"/>
    <cellStyle name="Normal 2" xfId="4"/>
    <cellStyle name="Normal 2 2" xfId="1"/>
    <cellStyle name="Normal 2 2 2" xfId="10"/>
    <cellStyle name="Normal 2 6" xfId="16"/>
    <cellStyle name="Normal 20" xfId="9"/>
    <cellStyle name="Normal 3" xfId="2"/>
    <cellStyle name="Normal 3 2" xfId="13"/>
    <cellStyle name="Normal 4" xfId="5"/>
    <cellStyle name="Normal 4 2" xfId="14"/>
    <cellStyle name="Normal 5" xfId="8"/>
    <cellStyle name="Normal 5 2" xfId="12"/>
    <cellStyle name="Normal 5 2 2" xfId="19"/>
    <cellStyle name="Normal 5 2 2 2" xfId="23"/>
    <cellStyle name="Normal 6" xfId="17"/>
    <cellStyle name="Normal 9" xfId="3"/>
    <cellStyle name="Percent" xfId="7" builtinId="5"/>
    <cellStyle name="Percent 2" xfId="21"/>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Medium9"/>
  <colors>
    <mruColors>
      <color rgb="FFE23114"/>
      <color rgb="FFD2ECB6"/>
      <color rgb="FFFFD9D9"/>
      <color rgb="FFFFF1C5"/>
      <color rgb="FFFFABAB"/>
      <color rgb="FFFFC5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6350</xdr:colOff>
      <xdr:row>15</xdr:row>
      <xdr:rowOff>38100</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101600" y="469900"/>
          <a:ext cx="9067800" cy="2844800"/>
        </a:xfrm>
        <a:prstGeom prst="rect">
          <a:avLst/>
        </a:prstGeom>
        <a:solidFill>
          <a:schemeClr val="bg2">
            <a:lumMod val="75000"/>
          </a:schemeClr>
        </a:solidFill>
        <a:ln w="12700" cmpd="sng">
          <a:solidFill>
            <a:schemeClr val="tx1"/>
          </a:solidFill>
        </a:ln>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i="0" u="sng">
              <a:solidFill>
                <a:schemeClr val="dk1"/>
              </a:solidFill>
              <a:effectLst/>
              <a:latin typeface="+mn-lt"/>
              <a:ea typeface="+mn-ea"/>
              <a:cs typeface="+mn-cs"/>
            </a:rPr>
            <a:t>Resilience</a:t>
          </a:r>
          <a:r>
            <a:rPr lang="en-GB" sz="1100" b="1" i="0" u="sng" baseline="0">
              <a:solidFill>
                <a:schemeClr val="dk1"/>
              </a:solidFill>
              <a:effectLst/>
              <a:latin typeface="+mn-lt"/>
              <a:ea typeface="+mn-ea"/>
              <a:cs typeface="+mn-cs"/>
            </a:rPr>
            <a:t> en</a:t>
          </a:r>
          <a:r>
            <a:rPr lang="en-GB" sz="1100" b="1" i="0" u="sng">
              <a:solidFill>
                <a:schemeClr val="dk1"/>
              </a:solidFill>
              <a:effectLst/>
              <a:latin typeface="+mn-lt"/>
              <a:ea typeface="+mn-ea"/>
              <a:cs typeface="+mn-cs"/>
            </a:rPr>
            <a:t>hancement feeder model</a:t>
          </a:r>
          <a:endParaRPr lang="en-GB" sz="1100" b="1" i="0" u="sng" baseline="0">
            <a:solidFill>
              <a:schemeClr val="dk1"/>
            </a:solidFill>
            <a:effectLst/>
            <a:latin typeface="+mn-lt"/>
            <a:ea typeface="+mn-ea"/>
            <a:cs typeface="+mn-cs"/>
          </a:endParaRPr>
        </a:p>
        <a:p>
          <a:endParaRPr lang="en-GB" sz="1000">
            <a:effectLst/>
          </a:endParaRPr>
        </a:p>
        <a:p>
          <a:r>
            <a:rPr lang="en-GB" sz="1100" b="1" baseline="0">
              <a:solidFill>
                <a:schemeClr val="dk1"/>
              </a:solidFill>
              <a:effectLst/>
              <a:latin typeface="+mn-lt"/>
              <a:ea typeface="+mn-ea"/>
              <a:cs typeface="+mn-cs"/>
            </a:rPr>
            <a:t>Objective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To assess enhancement capex expenditure submitted by companies in their PR19 business plan submissions for</a:t>
          </a:r>
          <a:r>
            <a:rPr lang="en-GB" sz="1100" baseline="0">
              <a:solidFill>
                <a:schemeClr val="dk1"/>
              </a:solidFill>
              <a:effectLst/>
              <a:latin typeface="+mn-lt"/>
              <a:ea typeface="+mn-ea"/>
              <a:cs typeface="+mn-cs"/>
            </a:rPr>
            <a:t> resilience enhancements</a:t>
          </a:r>
          <a:r>
            <a:rPr lang="en-GB" sz="1100">
              <a:solidFill>
                <a:schemeClr val="dk1"/>
              </a:solidFill>
              <a:effectLst/>
              <a:latin typeface="+mn-lt"/>
              <a:ea typeface="+mn-ea"/>
              <a:cs typeface="+mn-cs"/>
            </a:rPr>
            <a:t>.</a:t>
          </a:r>
          <a:endParaRPr lang="en-GB">
            <a:effectLst/>
          </a:endParaRPr>
        </a:p>
        <a:p>
          <a:endParaRPr lang="en-GB" sz="1100" b="1"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Approach</a:t>
          </a:r>
        </a:p>
        <a:p>
          <a:endParaRPr lang="en-GB">
            <a:effectLst/>
          </a:endParaRPr>
        </a:p>
        <a:p>
          <a:pPr rtl="0" fontAlgn="base"/>
          <a:r>
            <a:rPr lang="en-GB" sz="1100" b="0" i="0">
              <a:solidFill>
                <a:schemeClr val="dk1"/>
              </a:solidFill>
              <a:effectLst/>
              <a:latin typeface="+mn-lt"/>
              <a:ea typeface="+mn-ea"/>
              <a:cs typeface="+mn-cs"/>
            </a:rPr>
            <a:t>Due to the company-specific nature of this investment we undertake a deep dive of all companies’ plans. We only allow costs relating to addressing low probability – high consequence risks that are supported by customers including those related to the National Flood Resilience Review. We reallocate investment where we consider it to be related to expected operational activities, for example managing interruptions to supply not related to critical points in the network. In this way we ensure that that do not relate our assessment is equitable across the industry.</a:t>
          </a:r>
          <a:r>
            <a:rPr lang="en-US" sz="1100" b="0" i="0">
              <a:solidFill>
                <a:schemeClr val="dk1"/>
              </a:solidFill>
              <a:effectLst/>
              <a:latin typeface="+mn-lt"/>
              <a:ea typeface="+mn-ea"/>
              <a:cs typeface="+mn-cs"/>
            </a:rPr>
            <a:t> </a:t>
          </a:r>
          <a:endParaRPr lang="en-US" b="0" i="0">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21</xdr:row>
      <xdr:rowOff>26264</xdr:rowOff>
    </xdr:from>
    <xdr:to>
      <xdr:col>2</xdr:col>
      <xdr:colOff>5998131</xdr:colOff>
      <xdr:row>36</xdr:row>
      <xdr:rowOff>127851</xdr:rowOff>
    </xdr:to>
    <xdr:sp macro="" textlink="">
      <xdr:nvSpPr>
        <xdr:cNvPr id="7" name="TextBox 6">
          <a:extLst>
            <a:ext uri="{FF2B5EF4-FFF2-40B4-BE49-F238E27FC236}">
              <a16:creationId xmlns="" xmlns:a16="http://schemas.microsoft.com/office/drawing/2014/main" id="{00000000-0008-0000-0400-000005000000}"/>
            </a:ext>
          </a:extLst>
        </xdr:cNvPr>
        <xdr:cNvSpPr txBox="1"/>
      </xdr:nvSpPr>
      <xdr:spPr>
        <a:xfrm>
          <a:off x="134370" y="11463068"/>
          <a:ext cx="9891475" cy="265292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Further analysis </a:t>
          </a:r>
        </a:p>
        <a:p>
          <a:endParaRPr lang="en-GB" sz="1100" b="1"/>
        </a:p>
        <a:p>
          <a:r>
            <a:rPr lang="en-GB" sz="1100">
              <a:solidFill>
                <a:schemeClr val="dk1"/>
              </a:solidFill>
              <a:effectLst/>
              <a:latin typeface="+mn-lt"/>
              <a:ea typeface="+mn-ea"/>
              <a:cs typeface="+mn-cs"/>
            </a:rPr>
            <a:t>The HLPS is a critical asset and it is appropriate to address this single point of failure.  A duplicated asset in a duty stand-by arrangement would address this at a cost of £56m.  Accepting that the raw water is deteriorating and that this loss of deployable output is not double-counted in other supply-demand schemes providing pre-treatment at Coppermills is the least cost option at £50m to address this risk restore the works capacity.  These issues have been taken in isolation as the overall strategy of TMS is unclear and they have not been clear on which residual risks they are seeking to reduce by increasing supply capacity by 300 ML/d in addition to these works.  As both of these items are additional assets to enhance the sites no allocation of expenditure to base is considered appropriate. Considering the company have only benchmarked against average cost a further efficient challenge to the allowance of £106m would be appropriate at this stage.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Due to the lack of detail around the other resilience schemes costs have been reduced by 20% and subject to a company specific efficiency challenge</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0</xdr:col>
      <xdr:colOff>1768078</xdr:colOff>
      <xdr:row>42</xdr:row>
      <xdr:rowOff>184545</xdr:rowOff>
    </xdr:from>
    <xdr:ext cx="2976563" cy="482203"/>
    <xdr:sp macro="" textlink="">
      <xdr:nvSpPr>
        <xdr:cNvPr id="2" name="TextBox 1">
          <a:extLst>
            <a:ext uri="{FF2B5EF4-FFF2-40B4-BE49-F238E27FC236}">
              <a16:creationId xmlns="" xmlns:a16="http://schemas.microsoft.com/office/drawing/2014/main" id="{00000000-0008-0000-0400-000003000000}"/>
            </a:ext>
          </a:extLst>
        </xdr:cNvPr>
        <xdr:cNvSpPr txBox="1"/>
      </xdr:nvSpPr>
      <xdr:spPr>
        <a:xfrm>
          <a:off x="1920478" y="1053504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0</xdr:col>
      <xdr:colOff>1768078</xdr:colOff>
      <xdr:row>42</xdr:row>
      <xdr:rowOff>184545</xdr:rowOff>
    </xdr:from>
    <xdr:ext cx="2976563" cy="482203"/>
    <xdr:sp macro="" textlink="">
      <xdr:nvSpPr>
        <xdr:cNvPr id="6" name="TextBox 5">
          <a:extLst>
            <a:ext uri="{FF2B5EF4-FFF2-40B4-BE49-F238E27FC236}">
              <a16:creationId xmlns="" xmlns:a16="http://schemas.microsoft.com/office/drawing/2014/main" id="{00000000-0008-0000-0400-000003000000}"/>
            </a:ext>
          </a:extLst>
        </xdr:cNvPr>
        <xdr:cNvSpPr txBox="1"/>
      </xdr:nvSpPr>
      <xdr:spPr>
        <a:xfrm>
          <a:off x="1920478" y="849034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1768078</xdr:colOff>
      <xdr:row>42</xdr:row>
      <xdr:rowOff>184545</xdr:rowOff>
    </xdr:from>
    <xdr:ext cx="2976563" cy="482203"/>
    <xdr:sp macro="" textlink="">
      <xdr:nvSpPr>
        <xdr:cNvPr id="2" name="TextBox 1">
          <a:extLst>
            <a:ext uri="{FF2B5EF4-FFF2-40B4-BE49-F238E27FC236}">
              <a16:creationId xmlns="" xmlns:a16="http://schemas.microsoft.com/office/drawing/2014/main" id="{00000000-0008-0000-0400-000003000000}"/>
            </a:ext>
          </a:extLst>
        </xdr:cNvPr>
        <xdr:cNvSpPr txBox="1"/>
      </xdr:nvSpPr>
      <xdr:spPr>
        <a:xfrm>
          <a:off x="1920478" y="849034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1</xdr:col>
      <xdr:colOff>1768078</xdr:colOff>
      <xdr:row>42</xdr:row>
      <xdr:rowOff>184545</xdr:rowOff>
    </xdr:from>
    <xdr:ext cx="2976563" cy="482203"/>
    <xdr:sp macro="" textlink="">
      <xdr:nvSpPr>
        <xdr:cNvPr id="6" name="TextBox 5">
          <a:extLst>
            <a:ext uri="{FF2B5EF4-FFF2-40B4-BE49-F238E27FC236}">
              <a16:creationId xmlns="" xmlns:a16="http://schemas.microsoft.com/office/drawing/2014/main" id="{00000000-0008-0000-0400-000003000000}"/>
            </a:ext>
          </a:extLst>
        </xdr:cNvPr>
        <xdr:cNvSpPr txBox="1"/>
      </xdr:nvSpPr>
      <xdr:spPr>
        <a:xfrm>
          <a:off x="1920478" y="849034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1</xdr:col>
      <xdr:colOff>1768078</xdr:colOff>
      <xdr:row>42</xdr:row>
      <xdr:rowOff>184545</xdr:rowOff>
    </xdr:from>
    <xdr:ext cx="2976563" cy="482203"/>
    <xdr:sp macro="" textlink="">
      <xdr:nvSpPr>
        <xdr:cNvPr id="10" name="TextBox 9">
          <a:extLst>
            <a:ext uri="{FF2B5EF4-FFF2-40B4-BE49-F238E27FC236}">
              <a16:creationId xmlns="" xmlns:a16="http://schemas.microsoft.com/office/drawing/2014/main" id="{00000000-0008-0000-0400-000003000000}"/>
            </a:ext>
          </a:extLst>
        </xdr:cNvPr>
        <xdr:cNvSpPr txBox="1"/>
      </xdr:nvSpPr>
      <xdr:spPr>
        <a:xfrm>
          <a:off x="1920478" y="849034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22</xdr:row>
      <xdr:rowOff>28814</xdr:rowOff>
    </xdr:from>
    <xdr:to>
      <xdr:col>2</xdr:col>
      <xdr:colOff>4807505</xdr:colOff>
      <xdr:row>29</xdr:row>
      <xdr:rowOff>149679</xdr:rowOff>
    </xdr:to>
    <xdr:sp macro="" textlink="">
      <xdr:nvSpPr>
        <xdr:cNvPr id="11" name="TextBox 10">
          <a:extLst>
            <a:ext uri="{FF2B5EF4-FFF2-40B4-BE49-F238E27FC236}">
              <a16:creationId xmlns="" xmlns:a16="http://schemas.microsoft.com/office/drawing/2014/main" id="{00000000-0008-0000-0400-000005000000}"/>
            </a:ext>
          </a:extLst>
        </xdr:cNvPr>
        <xdr:cNvSpPr txBox="1"/>
      </xdr:nvSpPr>
      <xdr:spPr>
        <a:xfrm>
          <a:off x="101439" y="12833135"/>
          <a:ext cx="8699762" cy="126386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Further analysis </a:t>
          </a:r>
          <a:endParaRPr lang="en-GB">
            <a:effectLst/>
          </a:endParaRPr>
        </a:p>
        <a:p>
          <a:r>
            <a:rPr lang="en-GB" sz="1100" b="1">
              <a:solidFill>
                <a:schemeClr val="dk1"/>
              </a:solidFill>
              <a:effectLst/>
              <a:latin typeface="+mn-lt"/>
              <a:ea typeface="+mn-ea"/>
              <a:cs typeface="+mn-cs"/>
            </a:rPr>
            <a:t>Scheme		Requested	Allowed</a:t>
          </a:r>
          <a:endParaRPr lang="en-GB">
            <a:effectLst/>
          </a:endParaRPr>
        </a:p>
        <a:p>
          <a:r>
            <a:rPr lang="en-GB" sz="1100" b="0">
              <a:solidFill>
                <a:schemeClr val="dk1"/>
              </a:solidFill>
              <a:effectLst/>
              <a:latin typeface="+mn-lt"/>
              <a:ea typeface="+mn-ea"/>
              <a:cs typeface="+mn-cs"/>
            </a:rPr>
            <a:t>Community</a:t>
          </a:r>
          <a:r>
            <a:rPr lang="en-GB" sz="1100" b="0" baseline="0">
              <a:solidFill>
                <a:schemeClr val="dk1"/>
              </a:solidFill>
              <a:effectLst/>
              <a:latin typeface="+mn-lt"/>
              <a:ea typeface="+mn-ea"/>
              <a:cs typeface="+mn-cs"/>
            </a:rPr>
            <a:t> Resilience Pilots	£2m	£0m</a:t>
          </a:r>
          <a:endParaRPr lang="en-GB">
            <a:effectLst/>
          </a:endParaRPr>
        </a:p>
        <a:p>
          <a:r>
            <a:rPr lang="en-GB" sz="1100" b="0" baseline="0">
              <a:solidFill>
                <a:schemeClr val="dk1"/>
              </a:solidFill>
              <a:effectLst/>
              <a:latin typeface="+mn-lt"/>
              <a:ea typeface="+mn-ea"/>
              <a:cs typeface="+mn-cs"/>
            </a:rPr>
            <a:t>SPoF schemes		£3.3m	£3.1m</a:t>
          </a:r>
          <a:endParaRPr lang="en-GB">
            <a:effectLst/>
          </a:endParaRPr>
        </a:p>
        <a:p>
          <a:endParaRPr lang="en-GB" sz="1100" b="1"/>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1768078</xdr:colOff>
      <xdr:row>42</xdr:row>
      <xdr:rowOff>184545</xdr:rowOff>
    </xdr:from>
    <xdr:ext cx="2976563" cy="482203"/>
    <xdr:sp macro="" textlink="">
      <xdr:nvSpPr>
        <xdr:cNvPr id="2" name="TextBox 1">
          <a:extLst>
            <a:ext uri="{FF2B5EF4-FFF2-40B4-BE49-F238E27FC236}">
              <a16:creationId xmlns="" xmlns:a16="http://schemas.microsoft.com/office/drawing/2014/main" id="{00000000-0008-0000-0400-000003000000}"/>
            </a:ext>
          </a:extLst>
        </xdr:cNvPr>
        <xdr:cNvSpPr txBox="1"/>
      </xdr:nvSpPr>
      <xdr:spPr>
        <a:xfrm>
          <a:off x="1920478" y="1053504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0</xdr:col>
      <xdr:colOff>2721</xdr:colOff>
      <xdr:row>23</xdr:row>
      <xdr:rowOff>138862</xdr:rowOff>
    </xdr:from>
    <xdr:ext cx="9077779" cy="3709092"/>
    <xdr:sp macro="" textlink="">
      <xdr:nvSpPr>
        <xdr:cNvPr id="3" name="TextBox 2">
          <a:extLst>
            <a:ext uri="{FF2B5EF4-FFF2-40B4-BE49-F238E27FC236}">
              <a16:creationId xmlns="" xmlns:a16="http://schemas.microsoft.com/office/drawing/2014/main" id="{00000000-0008-0000-0400-000005000000}"/>
            </a:ext>
          </a:extLst>
        </xdr:cNvPr>
        <xdr:cNvSpPr txBox="1"/>
      </xdr:nvSpPr>
      <xdr:spPr>
        <a:xfrm>
          <a:off x="161471" y="7885862"/>
          <a:ext cx="9077779" cy="3709092"/>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solidFill>
                <a:schemeClr val="dk1"/>
              </a:solidFill>
              <a:effectLst/>
              <a:latin typeface="+mn-lt"/>
              <a:ea typeface="+mn-ea"/>
              <a:cs typeface="+mn-cs"/>
            </a:rPr>
            <a:t>Further analysis </a:t>
          </a:r>
        </a:p>
        <a:p>
          <a:r>
            <a:rPr lang="en-GB" sz="1100" b="1" baseline="0">
              <a:solidFill>
                <a:schemeClr val="dk1"/>
              </a:solidFill>
              <a:effectLst/>
              <a:latin typeface="+mn-lt"/>
              <a:ea typeface="+mn-ea"/>
              <a:cs typeface="+mn-cs"/>
            </a:rPr>
            <a:t>Water resilience schemes after reallocations to other lines			Requested (£m)	Allowed (£m)</a:t>
          </a:r>
          <a:endParaRPr lang="en-GB">
            <a:effectLst/>
          </a:endParaRPr>
        </a:p>
        <a:p>
          <a:r>
            <a:rPr lang="en-GB" sz="1100" b="0" i="0">
              <a:solidFill>
                <a:schemeClr val="dk1"/>
              </a:solidFill>
              <a:effectLst/>
              <a:latin typeface="+mn-lt"/>
              <a:ea typeface="+mn-ea"/>
              <a:cs typeface="+mn-cs"/>
            </a:rPr>
            <a:t>1) Batch 1: Abberton to Hanningfield RW transfer main at 50 Mld capacity		Reallocated</a:t>
          </a:r>
          <a:endParaRPr lang="en-GB">
            <a:effectLst/>
          </a:endParaRPr>
        </a:p>
        <a:p>
          <a:r>
            <a:rPr lang="en-GB" sz="1100" b="0" i="0">
              <a:solidFill>
                <a:schemeClr val="dk1"/>
              </a:solidFill>
              <a:effectLst/>
              <a:latin typeface="+mn-lt"/>
              <a:ea typeface="+mn-ea"/>
              <a:cs typeface="+mn-cs"/>
            </a:rPr>
            <a:t>2) Batch 1: Install new UV treatment at Mosswood WTW to manage Kielder crypto risk	Reallocated</a:t>
          </a:r>
          <a:endParaRPr lang="en-GB">
            <a:effectLst/>
          </a:endParaRPr>
        </a:p>
        <a:p>
          <a:r>
            <a:rPr lang="en-GB" sz="1100" b="0" i="0">
              <a:solidFill>
                <a:schemeClr val="dk1"/>
              </a:solidFill>
              <a:effectLst/>
              <a:latin typeface="+mn-lt"/>
              <a:ea typeface="+mn-ea"/>
              <a:cs typeface="+mn-cs"/>
            </a:rPr>
            <a:t>3) Batch 1: DAF treatment at Layer WTW				Reallocated</a:t>
          </a:r>
          <a:endParaRPr lang="en-GB">
            <a:effectLst/>
          </a:endParaRPr>
        </a:p>
        <a:p>
          <a:r>
            <a:rPr lang="en-GB" sz="1100" b="0" i="0">
              <a:solidFill>
                <a:schemeClr val="dk1"/>
              </a:solidFill>
              <a:effectLst/>
              <a:latin typeface="+mn-lt"/>
              <a:ea typeface="+mn-ea"/>
              <a:cs typeface="+mn-cs"/>
            </a:rPr>
            <a:t>4) Batch 1a: Cross connections into C60/60a for Darlington </a:t>
          </a:r>
          <a:r>
            <a:rPr lang="en-GB" sz="1100">
              <a:solidFill>
                <a:schemeClr val="dk1"/>
              </a:solidFill>
              <a:effectLst/>
              <a:latin typeface="+mn-lt"/>
              <a:ea typeface="+mn-ea"/>
              <a:cs typeface="+mn-cs"/>
            </a:rPr>
            <a:t> 			0.21		0.21</a:t>
          </a:r>
          <a:r>
            <a:rPr lang="en-GB" sz="1100" b="0" i="0">
              <a:solidFill>
                <a:schemeClr val="dk1"/>
              </a:solidFill>
              <a:effectLst/>
              <a:latin typeface="+mn-lt"/>
              <a:ea typeface="+mn-ea"/>
              <a:cs typeface="+mn-cs"/>
            </a:rPr>
            <a:t> </a:t>
          </a:r>
          <a:endParaRPr lang="en-GB">
            <a:effectLst/>
          </a:endParaRPr>
        </a:p>
        <a:p>
          <a:r>
            <a:rPr lang="en-GB" sz="1100" b="0" i="0">
              <a:solidFill>
                <a:schemeClr val="dk1"/>
              </a:solidFill>
              <a:effectLst/>
              <a:latin typeface="+mn-lt"/>
              <a:ea typeface="+mn-ea"/>
              <a:cs typeface="+mn-cs"/>
            </a:rPr>
            <a:t>5) Batch 1: 315m of 700mm main to duplicate Chirton SR outlet main		0.40		0.40</a:t>
          </a:r>
          <a:endParaRPr lang="en-GB">
            <a:effectLst/>
          </a:endParaRPr>
        </a:p>
        <a:p>
          <a:r>
            <a:rPr lang="en-GB" sz="1100" b="0" i="0">
              <a:solidFill>
                <a:schemeClr val="dk1"/>
              </a:solidFill>
              <a:effectLst/>
              <a:latin typeface="+mn-lt"/>
              <a:ea typeface="+mn-ea"/>
              <a:cs typeface="+mn-cs"/>
            </a:rPr>
            <a:t>6) Batch 2: 30m of 900mm main @Herongate SR 			0.23		0.23</a:t>
          </a:r>
          <a:endParaRPr lang="en-GB">
            <a:effectLst/>
          </a:endParaRPr>
        </a:p>
        <a:p>
          <a:r>
            <a:rPr lang="en-GB" sz="1100" b="0" i="0">
              <a:solidFill>
                <a:schemeClr val="dk1"/>
              </a:solidFill>
              <a:effectLst/>
              <a:latin typeface="+mn-lt"/>
              <a:ea typeface="+mn-ea"/>
              <a:cs typeface="+mn-cs"/>
            </a:rPr>
            <a:t>7) Batch 1a: Replace 37.5km of 600mm with single 800mm St main 		14.08		11.26</a:t>
          </a:r>
          <a:endParaRPr lang="en-GB">
            <a:effectLst/>
          </a:endParaRPr>
        </a:p>
        <a:p>
          <a:r>
            <a:rPr lang="en-GB" sz="1100" b="0" i="0">
              <a:solidFill>
                <a:schemeClr val="dk1"/>
              </a:solidFill>
              <a:effectLst/>
              <a:latin typeface="+mn-lt"/>
              <a:ea typeface="+mn-ea"/>
              <a:cs typeface="+mn-cs"/>
            </a:rPr>
            <a:t>8) Batch 1c: 16km of 800mm main from Whorley to Shildon [link to Batch 2 - Central] 	19.20		15.36</a:t>
          </a:r>
          <a:endParaRPr lang="en-GB">
            <a:effectLst/>
          </a:endParaRPr>
        </a:p>
        <a:p>
          <a:r>
            <a:rPr lang="en-GB" sz="1100" b="0" i="0">
              <a:solidFill>
                <a:schemeClr val="dk1"/>
              </a:solidFill>
              <a:effectLst/>
              <a:latin typeface="+mn-lt"/>
              <a:ea typeface="+mn-ea"/>
              <a:cs typeface="+mn-cs"/>
            </a:rPr>
            <a:t>9) Batch 1: 1.5km of 600mm main Carr Hill Link to Springwell SR			3.00		2.40</a:t>
          </a:r>
          <a:endParaRPr lang="en-GB">
            <a:effectLst/>
          </a:endParaRPr>
        </a:p>
        <a:p>
          <a:r>
            <a:rPr lang="en-GB" sz="1100" b="0" i="0">
              <a:solidFill>
                <a:schemeClr val="dk1"/>
              </a:solidFill>
              <a:effectLst/>
              <a:latin typeface="+mn-lt"/>
              <a:ea typeface="+mn-ea"/>
              <a:cs typeface="+mn-cs"/>
            </a:rPr>
            <a:t>10) Batch 1: 7km of 1000 mm main from Springwell to Pikes Hole plus EOV control 	14.86		11.89</a:t>
          </a:r>
          <a:endParaRPr lang="en-GB">
            <a:effectLst/>
          </a:endParaRPr>
        </a:p>
        <a:p>
          <a:r>
            <a:rPr lang="en-GB" sz="1100" b="0" i="0">
              <a:solidFill>
                <a:schemeClr val="dk1"/>
              </a:solidFill>
              <a:effectLst/>
              <a:latin typeface="+mn-lt"/>
              <a:ea typeface="+mn-ea"/>
              <a:cs typeface="+mn-cs"/>
            </a:rPr>
            <a:t>11) Batch 1: 4km of 1000mm main between Heworth and Pikes Hole plus EOV control 	8.52		6.82</a:t>
          </a:r>
          <a:endParaRPr lang="en-GB">
            <a:effectLst/>
          </a:endParaRPr>
        </a:p>
        <a:p>
          <a:r>
            <a:rPr lang="en-GB" sz="1100" b="0" i="0">
              <a:solidFill>
                <a:schemeClr val="dk1"/>
              </a:solidFill>
              <a:effectLst/>
              <a:latin typeface="+mn-lt"/>
              <a:ea typeface="+mn-ea"/>
              <a:cs typeface="+mn-cs"/>
            </a:rPr>
            <a:t>12) Batch 2: New 55Ml WPS at Shildon SR [Link to Batch 1c - Tees] 		2.86		2.29</a:t>
          </a:r>
          <a:endParaRPr lang="en-GB">
            <a:effectLst/>
          </a:endParaRPr>
        </a:p>
        <a:p>
          <a:r>
            <a:rPr lang="en-GB" sz="1100" b="0" i="0">
              <a:solidFill>
                <a:schemeClr val="dk1"/>
              </a:solidFill>
              <a:effectLst/>
              <a:latin typeface="+mn-lt"/>
              <a:ea typeface="+mn-ea"/>
              <a:cs typeface="+mn-cs"/>
            </a:rPr>
            <a:t>13) Batch 1b: New inlet/outlet arrangement at Maltby SR (6km 800mm main)		5.40		0</a:t>
          </a:r>
          <a:endParaRPr lang="en-GB">
            <a:effectLst/>
          </a:endParaRPr>
        </a:p>
        <a:p>
          <a:r>
            <a:rPr lang="en-GB" sz="1100" b="0" i="0">
              <a:solidFill>
                <a:schemeClr val="dk1"/>
              </a:solidFill>
              <a:effectLst/>
              <a:latin typeface="+mn-lt"/>
              <a:ea typeface="+mn-ea"/>
              <a:cs typeface="+mn-cs"/>
            </a:rPr>
            <a:t>14) Batch 2: Mods to Ormesby WPS and abandon 3 SRs			0.70		0</a:t>
          </a:r>
          <a:endParaRPr lang="en-GB">
            <a:effectLst/>
          </a:endParaRPr>
        </a:p>
        <a:p>
          <a:r>
            <a:rPr lang="en-GB" sz="1100" b="0" i="0">
              <a:solidFill>
                <a:schemeClr val="dk1"/>
              </a:solidFill>
              <a:effectLst/>
              <a:latin typeface="+mn-lt"/>
              <a:ea typeface="+mn-ea"/>
              <a:cs typeface="+mn-cs"/>
            </a:rPr>
            <a:t>15) Batch 1: Enabling mains schemes at North Cove and S Lowestoft 		4.10		0</a:t>
          </a:r>
          <a:endParaRPr lang="en-GB">
            <a:effectLst/>
          </a:endParaRPr>
        </a:p>
        <a:p>
          <a:r>
            <a:rPr lang="en-GB" sz="1100" b="0" i="0">
              <a:solidFill>
                <a:schemeClr val="dk1"/>
              </a:solidFill>
              <a:effectLst/>
              <a:latin typeface="+mn-lt"/>
              <a:ea typeface="+mn-ea"/>
              <a:cs typeface="+mn-cs"/>
            </a:rPr>
            <a:t>16)</a:t>
          </a:r>
          <a:r>
            <a:rPr lang="en-GB" sz="1100" b="0" i="0" baseline="0">
              <a:solidFill>
                <a:schemeClr val="dk1"/>
              </a:solidFill>
              <a:effectLst/>
              <a:latin typeface="+mn-lt"/>
              <a:ea typeface="+mn-ea"/>
              <a:cs typeface="+mn-cs"/>
            </a:rPr>
            <a:t> </a:t>
          </a:r>
          <a:r>
            <a:rPr lang="en-GB" sz="1100" b="0" i="0">
              <a:solidFill>
                <a:schemeClr val="dk1"/>
              </a:solidFill>
              <a:effectLst/>
              <a:latin typeface="+mn-lt"/>
              <a:ea typeface="+mn-ea"/>
              <a:cs typeface="+mn-cs"/>
            </a:rPr>
            <a:t>Batch 2: New treated water storage and WPS.			10.14		0</a:t>
          </a:r>
          <a:endParaRPr lang="en-GB">
            <a:effectLst/>
          </a:endParaRPr>
        </a:p>
        <a:p>
          <a:r>
            <a:rPr lang="en-GB" sz="1100" b="0" i="0">
              <a:solidFill>
                <a:schemeClr val="dk1"/>
              </a:solidFill>
              <a:effectLst/>
              <a:latin typeface="+mn-lt"/>
              <a:ea typeface="+mn-ea"/>
              <a:cs typeface="+mn-cs"/>
            </a:rPr>
            <a:t>17) Batch 1: Springwell SR - 62Ml capacity				16.20		0</a:t>
          </a:r>
          <a:endParaRPr lang="en-GB">
            <a:effectLst/>
          </a:endParaRPr>
        </a:p>
        <a:p>
          <a:r>
            <a:rPr lang="en-GB" sz="1100" b="1" i="0">
              <a:solidFill>
                <a:schemeClr val="dk1"/>
              </a:solidFill>
              <a:effectLst/>
              <a:latin typeface="+mn-lt"/>
              <a:ea typeface="+mn-ea"/>
              <a:cs typeface="+mn-cs"/>
            </a:rPr>
            <a:t>Total Requested (excluding reallocations</a:t>
          </a:r>
          <a:r>
            <a:rPr lang="en-GB" sz="1100" b="1" i="0" baseline="0">
              <a:solidFill>
                <a:schemeClr val="dk1"/>
              </a:solidFill>
              <a:effectLst/>
              <a:latin typeface="+mn-lt"/>
              <a:ea typeface="+mn-ea"/>
              <a:cs typeface="+mn-cs"/>
            </a:rPr>
            <a:t> to other lines)			99.90		50.86</a:t>
          </a:r>
          <a:r>
            <a:rPr lang="en-GB" sz="1100" b="1" i="0">
              <a:solidFill>
                <a:schemeClr val="dk1"/>
              </a:solidFill>
              <a:effectLst/>
              <a:latin typeface="+mn-lt"/>
              <a:ea typeface="+mn-ea"/>
              <a:cs typeface="+mn-cs"/>
            </a:rPr>
            <a:t>	</a:t>
          </a:r>
          <a:endParaRPr lang="en-GB">
            <a:effectLst/>
          </a:endParaRPr>
        </a:p>
        <a:p>
          <a:endParaRPr lang="en-GB">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1768078</xdr:colOff>
      <xdr:row>42</xdr:row>
      <xdr:rowOff>184545</xdr:rowOff>
    </xdr:from>
    <xdr:ext cx="2976563" cy="482203"/>
    <xdr:sp macro="" textlink="">
      <xdr:nvSpPr>
        <xdr:cNvPr id="2" name="TextBox 1">
          <a:extLst>
            <a:ext uri="{FF2B5EF4-FFF2-40B4-BE49-F238E27FC236}">
              <a16:creationId xmlns="" xmlns:a16="http://schemas.microsoft.com/office/drawing/2014/main" id="{00000000-0008-0000-0400-000003000000}"/>
            </a:ext>
          </a:extLst>
        </xdr:cNvPr>
        <xdr:cNvSpPr txBox="1"/>
      </xdr:nvSpPr>
      <xdr:spPr>
        <a:xfrm>
          <a:off x="1920478" y="849034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1768078</xdr:colOff>
      <xdr:row>42</xdr:row>
      <xdr:rowOff>184545</xdr:rowOff>
    </xdr:from>
    <xdr:ext cx="2976563" cy="482203"/>
    <xdr:sp macro="" textlink="">
      <xdr:nvSpPr>
        <xdr:cNvPr id="2" name="TextBox 1">
          <a:extLst>
            <a:ext uri="{FF2B5EF4-FFF2-40B4-BE49-F238E27FC236}">
              <a16:creationId xmlns="" xmlns:a16="http://schemas.microsoft.com/office/drawing/2014/main" id="{00000000-0008-0000-0400-000003000000}"/>
            </a:ext>
          </a:extLst>
        </xdr:cNvPr>
        <xdr:cNvSpPr txBox="1"/>
      </xdr:nvSpPr>
      <xdr:spPr>
        <a:xfrm>
          <a:off x="1920478" y="849034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twoCellAnchor>
    <xdr:from>
      <xdr:col>0</xdr:col>
      <xdr:colOff>24049</xdr:colOff>
      <xdr:row>22</xdr:row>
      <xdr:rowOff>34767</xdr:rowOff>
    </xdr:from>
    <xdr:to>
      <xdr:col>3</xdr:col>
      <xdr:colOff>15240</xdr:colOff>
      <xdr:row>30</xdr:row>
      <xdr:rowOff>88446</xdr:rowOff>
    </xdr:to>
    <xdr:sp macro="" textlink="">
      <xdr:nvSpPr>
        <xdr:cNvPr id="3" name="TextBox 2">
          <a:extLst>
            <a:ext uri="{FF2B5EF4-FFF2-40B4-BE49-F238E27FC236}">
              <a16:creationId xmlns="" xmlns:a16="http://schemas.microsoft.com/office/drawing/2014/main" id="{00000000-0008-0000-0400-000005000000}"/>
            </a:ext>
          </a:extLst>
        </xdr:cNvPr>
        <xdr:cNvSpPr txBox="1"/>
      </xdr:nvSpPr>
      <xdr:spPr>
        <a:xfrm>
          <a:off x="173728" y="11838964"/>
          <a:ext cx="11706941" cy="1414393"/>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Further analysis </a:t>
          </a:r>
        </a:p>
        <a:p>
          <a:r>
            <a:rPr lang="en-GB" sz="1100" b="0">
              <a:solidFill>
                <a:schemeClr val="dk1"/>
              </a:solidFill>
              <a:effectLst/>
              <a:latin typeface="+mn-lt"/>
              <a:ea typeface="+mn-ea"/>
              <a:cs typeface="+mn-cs"/>
            </a:rPr>
            <a:t>AMP7_PPA_1105 - Strategic Mains Support was</a:t>
          </a:r>
          <a:r>
            <a:rPr lang="en-GB" sz="1100" b="0" baseline="0">
              <a:solidFill>
                <a:schemeClr val="dk1"/>
              </a:solidFill>
              <a:effectLst/>
              <a:latin typeface="+mn-lt"/>
              <a:ea typeface="+mn-ea"/>
              <a:cs typeface="+mn-cs"/>
            </a:rPr>
            <a:t> reallocated to line 11 New developments because the need clearly related to preparing for expected growth of new developments..</a:t>
          </a:r>
          <a:endParaRPr lang="en-GB" b="0">
            <a:effectLst/>
          </a:endParaRP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Scheme				Requested	Allowed</a:t>
          </a:r>
          <a:endParaRPr lang="en-GB">
            <a:effectLst/>
          </a:endParaRPr>
        </a:p>
        <a:p>
          <a:pPr eaLnBrk="1" fontAlgn="auto" latinLnBrk="0" hangingPunct="1"/>
          <a:r>
            <a:rPr lang="en-GB" sz="1100" b="0">
              <a:solidFill>
                <a:schemeClr val="dk1"/>
              </a:solidFill>
              <a:effectLst/>
              <a:latin typeface="+mn-lt"/>
              <a:ea typeface="+mn-ea"/>
              <a:cs typeface="+mn-cs"/>
            </a:rPr>
            <a:t>AMP7_PPA_1101 - Resilience Studies v2 30Jan2018 	£74.9k	£74.9k</a:t>
          </a:r>
          <a:endParaRPr lang="en-GB" b="0">
            <a:effectLst/>
          </a:endParaRPr>
        </a:p>
        <a:p>
          <a:r>
            <a:rPr lang="en-GB" sz="1100" b="0">
              <a:solidFill>
                <a:schemeClr val="dk1"/>
              </a:solidFill>
              <a:effectLst/>
              <a:latin typeface="+mn-lt"/>
              <a:ea typeface="+mn-ea"/>
              <a:cs typeface="+mn-cs"/>
            </a:rPr>
            <a:t>AMP7_PPA_1102 - Resilience Schemes V5 30Apr18	£2,472.7k	£2,472.7k</a:t>
          </a:r>
          <a:endParaRPr lang="en-GB" b="0">
            <a:effectLst/>
          </a:endParaRPr>
        </a:p>
      </xdr:txBody>
    </xdr:sp>
    <xdr:clientData/>
  </xdr:twoCellAnchor>
  <xdr:oneCellAnchor>
    <xdr:from>
      <xdr:col>0</xdr:col>
      <xdr:colOff>1768078</xdr:colOff>
      <xdr:row>42</xdr:row>
      <xdr:rowOff>184545</xdr:rowOff>
    </xdr:from>
    <xdr:ext cx="2976563" cy="482203"/>
    <xdr:sp macro="" textlink="">
      <xdr:nvSpPr>
        <xdr:cNvPr id="6" name="TextBox 5">
          <a:extLst>
            <a:ext uri="{FF2B5EF4-FFF2-40B4-BE49-F238E27FC236}">
              <a16:creationId xmlns="" xmlns:a16="http://schemas.microsoft.com/office/drawing/2014/main" id="{00000000-0008-0000-0400-000003000000}"/>
            </a:ext>
          </a:extLst>
        </xdr:cNvPr>
        <xdr:cNvSpPr txBox="1"/>
      </xdr:nvSpPr>
      <xdr:spPr>
        <a:xfrm>
          <a:off x="1920478" y="849034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1768078</xdr:colOff>
      <xdr:row>42</xdr:row>
      <xdr:rowOff>184545</xdr:rowOff>
    </xdr:from>
    <xdr:ext cx="2976563" cy="482203"/>
    <xdr:sp macro="" textlink="">
      <xdr:nvSpPr>
        <xdr:cNvPr id="2" name="TextBox 1">
          <a:extLst>
            <a:ext uri="{FF2B5EF4-FFF2-40B4-BE49-F238E27FC236}">
              <a16:creationId xmlns="" xmlns:a16="http://schemas.microsoft.com/office/drawing/2014/main" id="{00000000-0008-0000-0400-000003000000}"/>
            </a:ext>
          </a:extLst>
        </xdr:cNvPr>
        <xdr:cNvSpPr txBox="1"/>
      </xdr:nvSpPr>
      <xdr:spPr>
        <a:xfrm>
          <a:off x="1920478" y="15229283"/>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0</xdr:col>
      <xdr:colOff>1768078</xdr:colOff>
      <xdr:row>42</xdr:row>
      <xdr:rowOff>184545</xdr:rowOff>
    </xdr:from>
    <xdr:ext cx="2976563" cy="482203"/>
    <xdr:sp macro="" textlink="">
      <xdr:nvSpPr>
        <xdr:cNvPr id="4" name="TextBox 3">
          <a:extLst>
            <a:ext uri="{FF2B5EF4-FFF2-40B4-BE49-F238E27FC236}">
              <a16:creationId xmlns="" xmlns:a16="http://schemas.microsoft.com/office/drawing/2014/main" id="{00000000-0008-0000-0400-000003000000}"/>
            </a:ext>
          </a:extLst>
        </xdr:cNvPr>
        <xdr:cNvSpPr txBox="1"/>
      </xdr:nvSpPr>
      <xdr:spPr>
        <a:xfrm>
          <a:off x="1920478" y="15229283"/>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1768078</xdr:colOff>
      <xdr:row>42</xdr:row>
      <xdr:rowOff>184545</xdr:rowOff>
    </xdr:from>
    <xdr:ext cx="2976563" cy="482203"/>
    <xdr:sp macro="" textlink="">
      <xdr:nvSpPr>
        <xdr:cNvPr id="2" name="TextBox 1">
          <a:extLst>
            <a:ext uri="{FF2B5EF4-FFF2-40B4-BE49-F238E27FC236}">
              <a16:creationId xmlns="" xmlns:a16="http://schemas.microsoft.com/office/drawing/2014/main" id="{00000000-0008-0000-0400-000003000000}"/>
            </a:ext>
          </a:extLst>
        </xdr:cNvPr>
        <xdr:cNvSpPr txBox="1"/>
      </xdr:nvSpPr>
      <xdr:spPr>
        <a:xfrm>
          <a:off x="1920478" y="849034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0</xdr:col>
      <xdr:colOff>1768078</xdr:colOff>
      <xdr:row>42</xdr:row>
      <xdr:rowOff>184545</xdr:rowOff>
    </xdr:from>
    <xdr:ext cx="2976563" cy="482203"/>
    <xdr:sp macro="" textlink="">
      <xdr:nvSpPr>
        <xdr:cNvPr id="6" name="TextBox 5">
          <a:extLst>
            <a:ext uri="{FF2B5EF4-FFF2-40B4-BE49-F238E27FC236}">
              <a16:creationId xmlns="" xmlns:a16="http://schemas.microsoft.com/office/drawing/2014/main" id="{00000000-0008-0000-0400-000003000000}"/>
            </a:ext>
          </a:extLst>
        </xdr:cNvPr>
        <xdr:cNvSpPr txBox="1"/>
      </xdr:nvSpPr>
      <xdr:spPr>
        <a:xfrm>
          <a:off x="1920478" y="849034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twoCellAnchor>
    <xdr:from>
      <xdr:col>0</xdr:col>
      <xdr:colOff>24049</xdr:colOff>
      <xdr:row>22</xdr:row>
      <xdr:rowOff>34767</xdr:rowOff>
    </xdr:from>
    <xdr:to>
      <xdr:col>4</xdr:col>
      <xdr:colOff>1899047</xdr:colOff>
      <xdr:row>33</xdr:row>
      <xdr:rowOff>23812</xdr:rowOff>
    </xdr:to>
    <xdr:sp macro="" textlink="">
      <xdr:nvSpPr>
        <xdr:cNvPr id="11" name="TextBox 10">
          <a:extLst>
            <a:ext uri="{FF2B5EF4-FFF2-40B4-BE49-F238E27FC236}">
              <a16:creationId xmlns="" xmlns:a16="http://schemas.microsoft.com/office/drawing/2014/main" id="{00000000-0008-0000-0400-000005000000}"/>
            </a:ext>
          </a:extLst>
        </xdr:cNvPr>
        <xdr:cNvSpPr txBox="1"/>
      </xdr:nvSpPr>
      <xdr:spPr>
        <a:xfrm>
          <a:off x="178830" y="7172565"/>
          <a:ext cx="13209748" cy="1822607"/>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Further analysis </a:t>
          </a:r>
        </a:p>
        <a:p>
          <a:r>
            <a:rPr lang="en-GB" sz="1100" b="1">
              <a:solidFill>
                <a:schemeClr val="dk1"/>
              </a:solidFill>
              <a:effectLst/>
              <a:latin typeface="+mn-lt"/>
              <a:ea typeface="+mn-ea"/>
              <a:cs typeface="+mn-cs"/>
            </a:rPr>
            <a:t>Scheme				Requested	Allowed</a:t>
          </a:r>
          <a:endParaRPr lang="en-GB">
            <a:effectLst/>
          </a:endParaRPr>
        </a:p>
        <a:p>
          <a:r>
            <a:rPr lang="en-GB" sz="1100" b="1">
              <a:solidFill>
                <a:schemeClr val="dk1"/>
              </a:solidFill>
              <a:effectLst/>
              <a:latin typeface="+mn-lt"/>
              <a:ea typeface="+mn-ea"/>
              <a:cs typeface="+mn-cs"/>
            </a:rPr>
            <a:t>Flood</a:t>
          </a:r>
          <a:r>
            <a:rPr lang="en-GB" sz="1100" b="1" baseline="0">
              <a:solidFill>
                <a:schemeClr val="dk1"/>
              </a:solidFill>
              <a:effectLst/>
              <a:latin typeface="+mn-lt"/>
              <a:ea typeface="+mn-ea"/>
              <a:cs typeface="+mn-cs"/>
            </a:rPr>
            <a:t> protection schemes			£1.35m	£1.35m</a:t>
          </a:r>
          <a:endParaRPr lang="en-GB">
            <a:effectLst/>
          </a:endParaRPr>
        </a:p>
        <a:p>
          <a:r>
            <a:rPr lang="en-GB" sz="1100" b="1">
              <a:solidFill>
                <a:schemeClr val="dk1"/>
              </a:solidFill>
              <a:effectLst/>
              <a:latin typeface="+mn-lt"/>
              <a:ea typeface="+mn-ea"/>
              <a:cs typeface="+mn-cs"/>
            </a:rPr>
            <a:t>Strategic mains resilience			£21.11m	£0m</a:t>
          </a:r>
          <a:endParaRPr lang="en-GB">
            <a:effectLst/>
          </a:endParaRPr>
        </a:p>
        <a:p>
          <a:r>
            <a:rPr lang="en-GB" sz="1100" b="1">
              <a:solidFill>
                <a:schemeClr val="dk1"/>
              </a:solidFill>
              <a:effectLst/>
              <a:latin typeface="+mn-lt"/>
              <a:ea typeface="+mn-ea"/>
              <a:cs typeface="+mn-cs"/>
            </a:rPr>
            <a:t>Increase capacity at WTW to provide redundancy	£11.82	£0m</a:t>
          </a:r>
          <a:endParaRPr lang="en-GB">
            <a:effectLst/>
          </a:endParaRPr>
        </a:p>
        <a:p>
          <a:endParaRPr lang="en-GB" sz="1100" b="1"/>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1768078</xdr:colOff>
      <xdr:row>42</xdr:row>
      <xdr:rowOff>184545</xdr:rowOff>
    </xdr:from>
    <xdr:ext cx="2976563" cy="482203"/>
    <xdr:sp macro="" textlink="">
      <xdr:nvSpPr>
        <xdr:cNvPr id="2" name="TextBox 1">
          <a:extLst>
            <a:ext uri="{FF2B5EF4-FFF2-40B4-BE49-F238E27FC236}">
              <a16:creationId xmlns="" xmlns:a16="http://schemas.microsoft.com/office/drawing/2014/main" id="{00000000-0008-0000-0400-000003000000}"/>
            </a:ext>
          </a:extLst>
        </xdr:cNvPr>
        <xdr:cNvSpPr txBox="1"/>
      </xdr:nvSpPr>
      <xdr:spPr>
        <a:xfrm>
          <a:off x="1920478" y="9895283"/>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0</xdr:col>
      <xdr:colOff>1768078</xdr:colOff>
      <xdr:row>42</xdr:row>
      <xdr:rowOff>184545</xdr:rowOff>
    </xdr:from>
    <xdr:ext cx="2976563" cy="482203"/>
    <xdr:sp macro="" textlink="">
      <xdr:nvSpPr>
        <xdr:cNvPr id="4" name="TextBox 3">
          <a:extLst>
            <a:ext uri="{FF2B5EF4-FFF2-40B4-BE49-F238E27FC236}">
              <a16:creationId xmlns="" xmlns:a16="http://schemas.microsoft.com/office/drawing/2014/main" id="{00000000-0008-0000-0400-000003000000}"/>
            </a:ext>
          </a:extLst>
        </xdr:cNvPr>
        <xdr:cNvSpPr txBox="1"/>
      </xdr:nvSpPr>
      <xdr:spPr>
        <a:xfrm>
          <a:off x="1920478" y="9895283"/>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42861</xdr:colOff>
      <xdr:row>22</xdr:row>
      <xdr:rowOff>44292</xdr:rowOff>
    </xdr:from>
    <xdr:to>
      <xdr:col>2</xdr:col>
      <xdr:colOff>7921624</xdr:colOff>
      <xdr:row>37</xdr:row>
      <xdr:rowOff>136525</xdr:rowOff>
    </xdr:to>
    <xdr:sp macro="" textlink="">
      <xdr:nvSpPr>
        <xdr:cNvPr id="3" name="TextBox 2">
          <a:extLst>
            <a:ext uri="{FF2B5EF4-FFF2-40B4-BE49-F238E27FC236}">
              <a16:creationId xmlns="" xmlns:a16="http://schemas.microsoft.com/office/drawing/2014/main" id="{00000000-0008-0000-0400-000005000000}"/>
            </a:ext>
          </a:extLst>
        </xdr:cNvPr>
        <xdr:cNvSpPr txBox="1"/>
      </xdr:nvSpPr>
      <xdr:spPr>
        <a:xfrm>
          <a:off x="185736" y="14030167"/>
          <a:ext cx="10831513" cy="2473483"/>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Further analysis </a:t>
          </a:r>
          <a:endParaRPr lang="en-GB">
            <a:effectLst/>
          </a:endParaRPr>
        </a:p>
        <a:p>
          <a:r>
            <a:rPr lang="en-GB" sz="1100" b="0">
              <a:solidFill>
                <a:schemeClr val="dk1"/>
              </a:solidFill>
              <a:effectLst/>
              <a:latin typeface="+mn-lt"/>
              <a:ea typeface="+mn-ea"/>
              <a:cs typeface="+mn-cs"/>
            </a:rPr>
            <a:t>In</a:t>
          </a:r>
          <a:r>
            <a:rPr lang="en-GB" sz="1100" b="0" baseline="0">
              <a:solidFill>
                <a:schemeClr val="dk1"/>
              </a:solidFill>
              <a:effectLst/>
              <a:latin typeface="+mn-lt"/>
              <a:ea typeface="+mn-ea"/>
              <a:cs typeface="+mn-cs"/>
            </a:rPr>
            <a:t> conclusion the investment is generally in line with our exception in terms of resilience expenditure.  It is relatively well defined, is related to a performance commitment and has customer support.  However there are elements of this plan that we consider to be funded under the day-to-day operations and this investment has not been allowed as the case has not made as to the need.  Further the company did not fully evidence how they determined their preferred options in many circumstances.  The following adjustments were made:</a:t>
          </a:r>
          <a:endParaRPr lang="en-GB">
            <a:effectLst/>
          </a:endParaRPr>
        </a:p>
        <a:p>
          <a:endParaRPr lang="en-GB" sz="1100" b="1"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                                                                                    	Requested         Allowed</a:t>
          </a:r>
          <a:endParaRPr lang="en-GB">
            <a:effectLst/>
          </a:endParaRPr>
        </a:p>
        <a:p>
          <a:r>
            <a:rPr lang="en-GB" sz="1100" b="1">
              <a:solidFill>
                <a:schemeClr val="dk1"/>
              </a:solidFill>
              <a:effectLst/>
              <a:latin typeface="+mn-lt"/>
              <a:ea typeface="+mn-ea"/>
              <a:cs typeface="+mn-cs"/>
            </a:rPr>
            <a:t>Strategic Supply Assets                                          	£29m                  	£29m </a:t>
          </a:r>
          <a:endParaRPr lang="en-GB">
            <a:effectLst/>
          </a:endParaRPr>
        </a:p>
        <a:p>
          <a:r>
            <a:rPr lang="en-GB" sz="1100" b="1">
              <a:solidFill>
                <a:schemeClr val="dk1"/>
              </a:solidFill>
              <a:effectLst/>
              <a:latin typeface="+mn-lt"/>
              <a:ea typeface="+mn-ea"/>
              <a:cs typeface="+mn-cs"/>
            </a:rPr>
            <a:t>Trunk Mains</a:t>
          </a:r>
          <a:r>
            <a:rPr lang="en-GB" sz="1100" b="1" baseline="0">
              <a:solidFill>
                <a:schemeClr val="dk1"/>
              </a:solidFill>
              <a:effectLst/>
              <a:latin typeface="+mn-lt"/>
              <a:ea typeface="+mn-ea"/>
              <a:cs typeface="+mn-cs"/>
            </a:rPr>
            <a:t>                                                             	</a:t>
          </a:r>
          <a:r>
            <a:rPr lang="en-GB" sz="1100" b="1">
              <a:solidFill>
                <a:schemeClr val="dk1"/>
              </a:solidFill>
              <a:effectLst/>
              <a:latin typeface="+mn-lt"/>
              <a:ea typeface="+mn-ea"/>
              <a:cs typeface="+mn-cs"/>
            </a:rPr>
            <a:t>£10m                	£8m</a:t>
          </a:r>
          <a:endParaRPr lang="en-GB">
            <a:effectLst/>
          </a:endParaRPr>
        </a:p>
        <a:p>
          <a:r>
            <a:rPr lang="en-GB" sz="1100" b="1">
              <a:solidFill>
                <a:schemeClr val="dk1"/>
              </a:solidFill>
              <a:effectLst/>
              <a:latin typeface="+mn-lt"/>
              <a:ea typeface="+mn-ea"/>
              <a:cs typeface="+mn-cs"/>
            </a:rPr>
            <a:t>Large Surface Water Treatment Works </a:t>
          </a:r>
          <a:r>
            <a:rPr lang="en-GB" sz="1100" b="1" baseline="0">
              <a:solidFill>
                <a:schemeClr val="dk1"/>
              </a:solidFill>
              <a:effectLst/>
              <a:latin typeface="+mn-lt"/>
              <a:ea typeface="+mn-ea"/>
              <a:cs typeface="+mn-cs"/>
            </a:rPr>
            <a:t>            	</a:t>
          </a:r>
          <a:r>
            <a:rPr lang="en-GB" sz="1100" b="1">
              <a:solidFill>
                <a:schemeClr val="dk1"/>
              </a:solidFill>
              <a:effectLst/>
              <a:latin typeface="+mn-lt"/>
              <a:ea typeface="+mn-ea"/>
              <a:cs typeface="+mn-cs"/>
            </a:rPr>
            <a:t>£54m                	£43.20m</a:t>
          </a:r>
          <a:endParaRPr lang="en-GB">
            <a:effectLst/>
          </a:endParaRPr>
        </a:p>
        <a:p>
          <a:r>
            <a:rPr lang="en-GB" sz="1100" b="1">
              <a:solidFill>
                <a:schemeClr val="dk1"/>
              </a:solidFill>
              <a:effectLst/>
              <a:latin typeface="+mn-lt"/>
              <a:ea typeface="+mn-ea"/>
              <a:cs typeface="+mn-cs"/>
            </a:rPr>
            <a:t>Groundwater Sites                                                 	£14m                 	£11.20m</a:t>
          </a:r>
          <a:endParaRPr lang="en-GB">
            <a:effectLst/>
          </a:endParaRPr>
        </a:p>
        <a:p>
          <a:r>
            <a:rPr lang="en-GB" sz="1100" b="1">
              <a:solidFill>
                <a:schemeClr val="dk1"/>
              </a:solidFill>
              <a:effectLst/>
              <a:latin typeface="+mn-lt"/>
              <a:ea typeface="+mn-ea"/>
              <a:cs typeface="+mn-cs"/>
            </a:rPr>
            <a:t>Network response to a treatment work failure  £21m	£15.75m</a:t>
          </a:r>
          <a:endParaRPr lang="en-GB">
            <a:effectLst/>
          </a:endParaRPr>
        </a:p>
        <a:p>
          <a:r>
            <a:rPr lang="en-GB" sz="1100" b="1">
              <a:solidFill>
                <a:schemeClr val="dk1"/>
              </a:solidFill>
              <a:effectLst/>
              <a:latin typeface="+mn-lt"/>
              <a:ea typeface="+mn-ea"/>
              <a:cs typeface="+mn-cs"/>
            </a:rPr>
            <a:t>Distribution Resilience 		£7m	£0m</a:t>
          </a:r>
          <a:endParaRPr lang="en-GB">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6"/>
  <sheetViews>
    <sheetView showGridLines="0" tabSelected="1" zoomScale="80" zoomScaleNormal="80" workbookViewId="0">
      <selection activeCell="B36" sqref="B36"/>
    </sheetView>
  </sheetViews>
  <sheetFormatPr defaultColWidth="8.7265625" defaultRowHeight="13" x14ac:dyDescent="0.3"/>
  <cols>
    <col min="1" max="1" width="11.1796875" style="2" customWidth="1"/>
    <col min="2" max="2" width="100.453125" style="2" customWidth="1"/>
    <col min="3" max="3" width="18" style="54" customWidth="1"/>
    <col min="4" max="16384" width="8.7265625" style="2"/>
  </cols>
  <sheetData>
    <row r="1" spans="1:3" s="44" customFormat="1" ht="20.25" customHeight="1" x14ac:dyDescent="0.45">
      <c r="A1" s="43" t="s">
        <v>147</v>
      </c>
      <c r="B1" s="60"/>
      <c r="C1" s="60"/>
    </row>
    <row r="2" spans="1:3" ht="17.25" customHeight="1" x14ac:dyDescent="0.3"/>
    <row r="3" spans="1:3" ht="17.25" customHeight="1" x14ac:dyDescent="0.3"/>
    <row r="4" spans="1:3" ht="17.25" customHeight="1" x14ac:dyDescent="0.3"/>
    <row r="5" spans="1:3" ht="17.25" customHeight="1" x14ac:dyDescent="0.3"/>
    <row r="6" spans="1:3" ht="17.25" customHeight="1" x14ac:dyDescent="0.3"/>
    <row r="7" spans="1:3" ht="17.25" customHeight="1" x14ac:dyDescent="0.3"/>
    <row r="8" spans="1:3" ht="17.25" customHeight="1" x14ac:dyDescent="0.3"/>
    <row r="9" spans="1:3" ht="17.25" customHeight="1" x14ac:dyDescent="0.3"/>
    <row r="10" spans="1:3" ht="17.25" customHeight="1" x14ac:dyDescent="0.3"/>
    <row r="11" spans="1:3" ht="17.25" customHeight="1" x14ac:dyDescent="0.3"/>
    <row r="12" spans="1:3" ht="17.25" customHeight="1" x14ac:dyDescent="0.3"/>
    <row r="13" spans="1:3" ht="17.25" customHeight="1" x14ac:dyDescent="0.3"/>
    <row r="14" spans="1:3" ht="17.25" customHeight="1" x14ac:dyDescent="0.3"/>
    <row r="15" spans="1:3" ht="17.25" customHeight="1" x14ac:dyDescent="0.3"/>
    <row r="16" spans="1:3" ht="17.25" customHeight="1" x14ac:dyDescent="0.3"/>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M47"/>
  <sheetViews>
    <sheetView showGridLines="0" zoomScale="90" zoomScaleNormal="90" workbookViewId="0">
      <selection activeCell="A2" sqref="A2"/>
    </sheetView>
  </sheetViews>
  <sheetFormatPr defaultColWidth="8.7265625" defaultRowHeight="13" x14ac:dyDescent="0.3"/>
  <cols>
    <col min="1" max="1" width="37.7265625" style="2" customWidth="1"/>
    <col min="2" max="2" width="16.54296875" style="2" customWidth="1"/>
    <col min="3" max="3" width="109.7265625" style="2" customWidth="1"/>
    <col min="4" max="4" width="8.54296875" style="2" customWidth="1"/>
    <col min="5" max="5" width="26.54296875" style="2" customWidth="1"/>
    <col min="6" max="13" width="8.54296875" style="2" customWidth="1"/>
    <col min="14" max="16384" width="8.7265625" style="2"/>
  </cols>
  <sheetData>
    <row r="1" spans="1:8" s="63" customFormat="1" ht="18.5" x14ac:dyDescent="0.45">
      <c r="A1" s="1" t="s">
        <v>292</v>
      </c>
      <c r="B1" s="1"/>
      <c r="C1" s="1"/>
      <c r="D1" s="1"/>
      <c r="E1" s="1"/>
      <c r="F1" s="44"/>
      <c r="G1" s="61"/>
      <c r="H1" s="62"/>
    </row>
    <row r="2" spans="1:8" s="13" customFormat="1" x14ac:dyDescent="0.3">
      <c r="A2" s="2"/>
      <c r="B2" s="27"/>
      <c r="C2" s="27"/>
      <c r="D2" s="2"/>
      <c r="E2" s="2"/>
      <c r="F2" s="2"/>
      <c r="G2" s="11"/>
      <c r="H2" s="12"/>
    </row>
    <row r="3" spans="1:8" s="13" customFormat="1" x14ac:dyDescent="0.3">
      <c r="A3" s="6" t="s">
        <v>41</v>
      </c>
      <c r="B3" s="27"/>
      <c r="C3" s="27"/>
      <c r="D3" s="2"/>
      <c r="E3" s="2"/>
      <c r="F3" s="2"/>
      <c r="G3" s="11"/>
      <c r="H3" s="12"/>
    </row>
    <row r="4" spans="1:8" x14ac:dyDescent="0.3">
      <c r="A4" s="14" t="s">
        <v>25</v>
      </c>
      <c r="B4" s="88" t="s">
        <v>217</v>
      </c>
      <c r="C4" s="88"/>
    </row>
    <row r="5" spans="1:8" x14ac:dyDescent="0.3">
      <c r="A5" s="14" t="s">
        <v>26</v>
      </c>
      <c r="B5" s="88" t="s">
        <v>221</v>
      </c>
      <c r="C5" s="88"/>
    </row>
    <row r="6" spans="1:8" x14ac:dyDescent="0.3">
      <c r="A6" s="17" t="s">
        <v>23</v>
      </c>
      <c r="B6" s="18" t="s">
        <v>15</v>
      </c>
      <c r="C6" s="19"/>
    </row>
    <row r="7" spans="1:8" x14ac:dyDescent="0.3">
      <c r="A7" s="17" t="s">
        <v>27</v>
      </c>
      <c r="B7" s="18" t="s">
        <v>39</v>
      </c>
      <c r="C7" s="19"/>
    </row>
    <row r="8" spans="1:8" x14ac:dyDescent="0.3">
      <c r="A8" s="17" t="s">
        <v>141</v>
      </c>
      <c r="B8" s="20">
        <f>Allowance!$G$27</f>
        <v>8.8680000000000003</v>
      </c>
    </row>
    <row r="9" spans="1:8" x14ac:dyDescent="0.3">
      <c r="A9" s="16" t="s">
        <v>40</v>
      </c>
      <c r="B9" s="20">
        <v>8.0573915382441186</v>
      </c>
      <c r="C9" s="15"/>
      <c r="D9" s="15"/>
    </row>
    <row r="11" spans="1:8" x14ac:dyDescent="0.3">
      <c r="A11" s="6" t="s">
        <v>28</v>
      </c>
    </row>
    <row r="12" spans="1:8" x14ac:dyDescent="0.3">
      <c r="A12" s="21" t="s">
        <v>29</v>
      </c>
      <c r="E12" s="6" t="s">
        <v>30</v>
      </c>
    </row>
    <row r="13" spans="1:8" ht="52" x14ac:dyDescent="0.3">
      <c r="A13" s="17" t="s">
        <v>31</v>
      </c>
      <c r="B13" s="40" t="s">
        <v>168</v>
      </c>
      <c r="C13" s="40" t="s">
        <v>253</v>
      </c>
      <c r="E13" s="40" t="s">
        <v>229</v>
      </c>
    </row>
    <row r="14" spans="1:8" x14ac:dyDescent="0.3">
      <c r="A14" s="17" t="s">
        <v>32</v>
      </c>
      <c r="B14" s="40" t="s">
        <v>164</v>
      </c>
      <c r="C14" s="17"/>
      <c r="E14" s="17"/>
    </row>
    <row r="15" spans="1:8" x14ac:dyDescent="0.3">
      <c r="A15" s="17" t="s">
        <v>33</v>
      </c>
      <c r="B15" s="40" t="s">
        <v>164</v>
      </c>
      <c r="C15" s="17"/>
      <c r="E15" s="17"/>
    </row>
    <row r="16" spans="1:8" ht="39" x14ac:dyDescent="0.3">
      <c r="A16" s="17" t="s">
        <v>34</v>
      </c>
      <c r="B16" s="40" t="s">
        <v>169</v>
      </c>
      <c r="C16" s="40" t="s">
        <v>230</v>
      </c>
      <c r="E16" s="17" t="s">
        <v>231</v>
      </c>
    </row>
    <row r="17" spans="1:5" ht="39" x14ac:dyDescent="0.3">
      <c r="A17" s="17" t="s">
        <v>35</v>
      </c>
      <c r="B17" s="40" t="s">
        <v>169</v>
      </c>
      <c r="C17" s="40" t="s">
        <v>254</v>
      </c>
      <c r="E17" s="17" t="s">
        <v>232</v>
      </c>
    </row>
    <row r="18" spans="1:5" ht="26" x14ac:dyDescent="0.3">
      <c r="A18" s="17" t="s">
        <v>36</v>
      </c>
      <c r="B18" s="40" t="s">
        <v>169</v>
      </c>
      <c r="C18" s="40" t="s">
        <v>255</v>
      </c>
      <c r="E18" s="17" t="s">
        <v>232</v>
      </c>
    </row>
    <row r="19" spans="1:5" x14ac:dyDescent="0.3">
      <c r="A19" s="17" t="s">
        <v>37</v>
      </c>
      <c r="B19" s="40" t="s">
        <v>164</v>
      </c>
      <c r="C19" s="40"/>
      <c r="E19" s="17"/>
    </row>
    <row r="20" spans="1:5" x14ac:dyDescent="0.3">
      <c r="A20" s="17" t="s">
        <v>38</v>
      </c>
      <c r="B20" s="40" t="s">
        <v>164</v>
      </c>
      <c r="C20" s="40"/>
      <c r="E20" s="17"/>
    </row>
    <row r="21" spans="1:5" x14ac:dyDescent="0.3">
      <c r="A21" s="22"/>
      <c r="B21" s="22"/>
      <c r="C21" s="22"/>
      <c r="E21" s="22"/>
    </row>
    <row r="22" spans="1:5" x14ac:dyDescent="0.3">
      <c r="A22" s="21"/>
      <c r="B22" s="22"/>
      <c r="C22" s="22"/>
      <c r="E22" s="22"/>
    </row>
    <row r="23" spans="1:5" x14ac:dyDescent="0.3">
      <c r="A23" s="22"/>
      <c r="B23" s="22"/>
      <c r="C23" s="22"/>
      <c r="E23" s="22"/>
    </row>
    <row r="24" spans="1:5" x14ac:dyDescent="0.3">
      <c r="A24" s="22"/>
      <c r="B24" s="22"/>
      <c r="C24" s="22"/>
      <c r="E24" s="22"/>
    </row>
    <row r="25" spans="1:5" x14ac:dyDescent="0.3">
      <c r="A25" s="22"/>
      <c r="B25" s="22"/>
      <c r="C25" s="22"/>
      <c r="E25" s="22"/>
    </row>
    <row r="26" spans="1:5" x14ac:dyDescent="0.3">
      <c r="A26" s="22"/>
      <c r="B26" s="22"/>
      <c r="C26" s="22"/>
      <c r="E26" s="22"/>
    </row>
    <row r="27" spans="1:5" x14ac:dyDescent="0.3">
      <c r="A27" s="22"/>
      <c r="B27" s="22"/>
      <c r="C27" s="22"/>
      <c r="E27" s="22"/>
    </row>
    <row r="28" spans="1:5" x14ac:dyDescent="0.3">
      <c r="A28" s="22"/>
      <c r="B28" s="22"/>
      <c r="C28" s="22"/>
      <c r="E28" s="22"/>
    </row>
    <row r="39" spans="1:13" x14ac:dyDescent="0.3">
      <c r="A39" s="6"/>
    </row>
    <row r="42" spans="1:13" x14ac:dyDescent="0.3">
      <c r="A42" s="6"/>
    </row>
    <row r="47" spans="1:13" x14ac:dyDescent="0.3">
      <c r="M47" s="11"/>
    </row>
  </sheetData>
  <mergeCells count="2">
    <mergeCell ref="B4:C4"/>
    <mergeCell ref="B5:C5"/>
  </mergeCells>
  <dataValidations count="4">
    <dataValidation type="list" allowBlank="1" showInputMessage="1" showErrorMessage="1" sqref="B6">
      <formula1>"ANH,NES,NWT,SRN,SVE,SWB,TMS,WSH,WSX,YKY,AFW,BRL,HDD,PRT,SES,SEW,SSC"</formula1>
    </dataValidation>
    <dataValidation type="list" allowBlank="1" showInputMessage="1" showErrorMessage="1" sqref="B21:B28">
      <formula1>"Pass,Marginal pass, Partial pass, Fail, ,Not assessed, N/A"</formula1>
    </dataValidation>
    <dataValidation type="list" allowBlank="1" showInputMessage="1" showErrorMessage="1" sqref="B7">
      <formula1>"Wholesale water, Wholesale wastewater"</formula1>
    </dataValidation>
    <dataValidation type="list" allowBlank="1" showInputMessage="1" showErrorMessage="1" sqref="B13:B20">
      <formula1>"Pass, Partial pass, Fail, ,Not assessed, N/A"</formula1>
    </dataValidation>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3"/>
  </sheetPr>
  <dimension ref="A1:M47"/>
  <sheetViews>
    <sheetView showGridLines="0" topLeftCell="A16" zoomScale="80" zoomScaleNormal="80" workbookViewId="0">
      <selection activeCell="A2" sqref="A2"/>
    </sheetView>
  </sheetViews>
  <sheetFormatPr defaultColWidth="8.7265625" defaultRowHeight="13" x14ac:dyDescent="0.3"/>
  <cols>
    <col min="1" max="1" width="37.7265625" style="2" customWidth="1"/>
    <col min="2" max="2" width="16.54296875" style="2" customWidth="1"/>
    <col min="3" max="3" width="95.7265625" style="2" customWidth="1"/>
    <col min="4" max="4" width="8.54296875" style="2" customWidth="1"/>
    <col min="5" max="5" width="26.54296875" style="2" customWidth="1"/>
    <col min="6" max="13" width="8.54296875" style="2" customWidth="1"/>
    <col min="14" max="16384" width="8.7265625" style="2"/>
  </cols>
  <sheetData>
    <row r="1" spans="1:8" s="63" customFormat="1" ht="18.5" x14ac:dyDescent="0.45">
      <c r="A1" s="1" t="s">
        <v>293</v>
      </c>
      <c r="B1" s="1"/>
      <c r="C1" s="1"/>
      <c r="D1" s="1"/>
      <c r="E1" s="1"/>
      <c r="F1" s="44"/>
      <c r="G1" s="61"/>
      <c r="H1" s="62"/>
    </row>
    <row r="2" spans="1:8" s="13" customFormat="1" x14ac:dyDescent="0.3">
      <c r="A2" s="2"/>
      <c r="B2" s="27"/>
      <c r="C2" s="27"/>
      <c r="D2" s="2"/>
      <c r="E2" s="2"/>
      <c r="F2" s="2"/>
      <c r="G2" s="11"/>
      <c r="H2" s="12"/>
    </row>
    <row r="3" spans="1:8" s="13" customFormat="1" x14ac:dyDescent="0.3">
      <c r="A3" s="6" t="s">
        <v>41</v>
      </c>
      <c r="B3" s="27"/>
      <c r="C3" s="27"/>
      <c r="D3" s="2"/>
      <c r="E3" s="2"/>
      <c r="F3" s="2"/>
      <c r="G3" s="11"/>
      <c r="H3" s="12"/>
    </row>
    <row r="4" spans="1:8" x14ac:dyDescent="0.3">
      <c r="A4" s="14" t="s">
        <v>25</v>
      </c>
      <c r="B4" s="88" t="s">
        <v>217</v>
      </c>
      <c r="C4" s="88"/>
    </row>
    <row r="5" spans="1:8" x14ac:dyDescent="0.3">
      <c r="A5" s="14" t="s">
        <v>26</v>
      </c>
      <c r="B5" s="88" t="s">
        <v>221</v>
      </c>
      <c r="C5" s="88"/>
    </row>
    <row r="6" spans="1:8" x14ac:dyDescent="0.3">
      <c r="A6" s="17" t="s">
        <v>23</v>
      </c>
      <c r="B6" s="18" t="s">
        <v>16</v>
      </c>
      <c r="C6" s="19"/>
    </row>
    <row r="7" spans="1:8" x14ac:dyDescent="0.3">
      <c r="A7" s="17" t="s">
        <v>27</v>
      </c>
      <c r="B7" s="18" t="s">
        <v>39</v>
      </c>
      <c r="C7" s="19"/>
    </row>
    <row r="8" spans="1:8" x14ac:dyDescent="0.3">
      <c r="A8" s="17" t="s">
        <v>141</v>
      </c>
      <c r="B8" s="20">
        <f>Allowance!$G$28</f>
        <v>1.3205165574136615</v>
      </c>
    </row>
    <row r="9" spans="1:8" x14ac:dyDescent="0.3">
      <c r="A9" s="16" t="s">
        <v>40</v>
      </c>
      <c r="B9" s="20">
        <v>1.3092098249029223</v>
      </c>
      <c r="C9" s="15"/>
      <c r="D9" s="15"/>
    </row>
    <row r="11" spans="1:8" x14ac:dyDescent="0.3">
      <c r="A11" s="6" t="s">
        <v>28</v>
      </c>
    </row>
    <row r="12" spans="1:8" x14ac:dyDescent="0.3">
      <c r="A12" s="21" t="s">
        <v>29</v>
      </c>
      <c r="E12" s="6" t="s">
        <v>30</v>
      </c>
    </row>
    <row r="13" spans="1:8" ht="243" customHeight="1" x14ac:dyDescent="0.3">
      <c r="A13" s="17" t="s">
        <v>31</v>
      </c>
      <c r="B13" s="40" t="s">
        <v>168</v>
      </c>
      <c r="C13" s="40" t="s">
        <v>256</v>
      </c>
      <c r="D13" s="5"/>
      <c r="E13" s="40" t="s">
        <v>186</v>
      </c>
    </row>
    <row r="14" spans="1:8" x14ac:dyDescent="0.3">
      <c r="A14" s="17" t="s">
        <v>32</v>
      </c>
      <c r="B14" s="40" t="s">
        <v>164</v>
      </c>
      <c r="C14" s="40" t="s">
        <v>176</v>
      </c>
      <c r="D14" s="5"/>
      <c r="E14" s="40"/>
    </row>
    <row r="15" spans="1:8" x14ac:dyDescent="0.3">
      <c r="A15" s="17" t="s">
        <v>33</v>
      </c>
      <c r="B15" s="40" t="s">
        <v>164</v>
      </c>
      <c r="C15" s="40" t="s">
        <v>176</v>
      </c>
      <c r="D15" s="5"/>
      <c r="E15" s="40"/>
    </row>
    <row r="16" spans="1:8" ht="62.25" customHeight="1" x14ac:dyDescent="0.3">
      <c r="A16" s="17" t="s">
        <v>34</v>
      </c>
      <c r="B16" s="40" t="s">
        <v>169</v>
      </c>
      <c r="C16" s="40" t="s">
        <v>284</v>
      </c>
      <c r="D16" s="5"/>
      <c r="E16" s="40" t="s">
        <v>233</v>
      </c>
    </row>
    <row r="17" spans="1:5" ht="71.25" customHeight="1" x14ac:dyDescent="0.3">
      <c r="A17" s="17" t="s">
        <v>35</v>
      </c>
      <c r="B17" s="40" t="s">
        <v>169</v>
      </c>
      <c r="C17" s="40" t="s">
        <v>257</v>
      </c>
      <c r="D17" s="5"/>
      <c r="E17" s="40" t="s">
        <v>234</v>
      </c>
    </row>
    <row r="18" spans="1:5" ht="45" customHeight="1" x14ac:dyDescent="0.3">
      <c r="A18" s="17" t="s">
        <v>36</v>
      </c>
      <c r="B18" s="40" t="s">
        <v>169</v>
      </c>
      <c r="C18" s="40" t="s">
        <v>241</v>
      </c>
      <c r="D18" s="5"/>
      <c r="E18" s="40"/>
    </row>
    <row r="19" spans="1:5" x14ac:dyDescent="0.3">
      <c r="A19" s="17" t="s">
        <v>37</v>
      </c>
      <c r="B19" s="40" t="s">
        <v>164</v>
      </c>
      <c r="C19" s="40" t="s">
        <v>176</v>
      </c>
      <c r="D19" s="5"/>
      <c r="E19" s="40"/>
    </row>
    <row r="20" spans="1:5" x14ac:dyDescent="0.3">
      <c r="A20" s="17" t="s">
        <v>38</v>
      </c>
      <c r="B20" s="40" t="s">
        <v>164</v>
      </c>
      <c r="C20" s="40" t="s">
        <v>176</v>
      </c>
      <c r="D20" s="5"/>
      <c r="E20" s="40"/>
    </row>
    <row r="21" spans="1:5" x14ac:dyDescent="0.3">
      <c r="A21" s="22"/>
      <c r="B21" s="22"/>
      <c r="C21" s="22"/>
      <c r="E21" s="22"/>
    </row>
    <row r="22" spans="1:5" x14ac:dyDescent="0.3">
      <c r="A22" s="21" t="s">
        <v>285</v>
      </c>
      <c r="B22" s="22"/>
      <c r="C22" s="22"/>
      <c r="E22" s="22"/>
    </row>
    <row r="23" spans="1:5" x14ac:dyDescent="0.3">
      <c r="A23" s="22"/>
      <c r="B23" s="22"/>
      <c r="C23" s="22"/>
      <c r="E23" s="22"/>
    </row>
    <row r="24" spans="1:5" x14ac:dyDescent="0.3">
      <c r="A24" s="22"/>
      <c r="B24" s="22"/>
      <c r="C24" s="22"/>
      <c r="E24" s="22"/>
    </row>
    <row r="25" spans="1:5" x14ac:dyDescent="0.3">
      <c r="A25" s="22"/>
      <c r="B25" s="22"/>
      <c r="C25" s="22"/>
      <c r="E25" s="22"/>
    </row>
    <row r="26" spans="1:5" x14ac:dyDescent="0.3">
      <c r="A26" s="22"/>
      <c r="B26" s="22"/>
      <c r="C26" s="22"/>
      <c r="E26" s="22"/>
    </row>
    <row r="27" spans="1:5" x14ac:dyDescent="0.3">
      <c r="A27" s="22"/>
      <c r="B27" s="22"/>
      <c r="C27" s="22"/>
      <c r="E27" s="22"/>
    </row>
    <row r="28" spans="1:5" x14ac:dyDescent="0.3">
      <c r="A28" s="22"/>
      <c r="B28" s="22"/>
      <c r="C28" s="22"/>
      <c r="E28" s="22"/>
    </row>
    <row r="39" spans="1:13" x14ac:dyDescent="0.3">
      <c r="A39" s="6"/>
    </row>
    <row r="42" spans="1:13" x14ac:dyDescent="0.3">
      <c r="A42" s="6"/>
      <c r="B42" s="52"/>
    </row>
    <row r="47" spans="1:13" x14ac:dyDescent="0.3">
      <c r="M47" s="11"/>
    </row>
  </sheetData>
  <mergeCells count="2">
    <mergeCell ref="B4:C4"/>
    <mergeCell ref="B5:C5"/>
  </mergeCells>
  <dataValidations count="4">
    <dataValidation type="list" allowBlank="1" showInputMessage="1" showErrorMessage="1" sqref="B6">
      <formula1>"ANH,NES,NWT,SRN,SVE,SWB,TMS,WSH,WSX,YKY,AFW,BRL,HDD,PRT,SES,SEW,SSC"</formula1>
    </dataValidation>
    <dataValidation type="list" allowBlank="1" showInputMessage="1" showErrorMessage="1" sqref="B21:B28">
      <formula1>"Pass,Marginal pass, Partial pass, Fail, ,Not assessed, N/A"</formula1>
    </dataValidation>
    <dataValidation type="list" allowBlank="1" showInputMessage="1" showErrorMessage="1" sqref="B7">
      <formula1>"Wholesale water, Wholesale wastewater"</formula1>
    </dataValidation>
    <dataValidation type="list" allowBlank="1" showInputMessage="1" showErrorMessage="1" sqref="B13:B20">
      <formula1>"Pass, Partial pass, Fail, ,Not assessed, N/A"</formula1>
    </dataValidation>
  </dataValidation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M47"/>
  <sheetViews>
    <sheetView showGridLines="0" zoomScaleNormal="100" workbookViewId="0">
      <selection activeCell="A2" sqref="A2"/>
    </sheetView>
  </sheetViews>
  <sheetFormatPr defaultColWidth="8.7265625" defaultRowHeight="13" x14ac:dyDescent="0.3"/>
  <cols>
    <col min="1" max="1" width="37.7265625" style="2" customWidth="1"/>
    <col min="2" max="2" width="16.54296875" style="2" customWidth="1"/>
    <col min="3" max="3" width="109.7265625" style="2" customWidth="1"/>
    <col min="4" max="4" width="8.54296875" style="2" customWidth="1"/>
    <col min="5" max="5" width="26.54296875" style="2" customWidth="1"/>
    <col min="6" max="13" width="8.54296875" style="2" customWidth="1"/>
    <col min="14" max="16384" width="8.7265625" style="2"/>
  </cols>
  <sheetData>
    <row r="1" spans="1:8" s="63" customFormat="1" ht="18.5" x14ac:dyDescent="0.45">
      <c r="A1" s="1" t="s">
        <v>294</v>
      </c>
      <c r="B1" s="1"/>
      <c r="C1" s="1"/>
      <c r="D1" s="1"/>
      <c r="E1" s="1"/>
      <c r="F1" s="44"/>
      <c r="G1" s="61"/>
      <c r="H1" s="62"/>
    </row>
    <row r="2" spans="1:8" s="13" customFormat="1" x14ac:dyDescent="0.3">
      <c r="A2" s="2"/>
      <c r="B2" s="27"/>
      <c r="C2" s="27"/>
      <c r="D2" s="2"/>
      <c r="E2" s="2"/>
      <c r="F2" s="2"/>
      <c r="G2" s="11"/>
      <c r="H2" s="12"/>
    </row>
    <row r="3" spans="1:8" s="13" customFormat="1" x14ac:dyDescent="0.3">
      <c r="A3" s="6" t="s">
        <v>41</v>
      </c>
      <c r="B3" s="27"/>
      <c r="C3" s="27"/>
      <c r="D3" s="2"/>
      <c r="E3" s="2"/>
      <c r="F3" s="2"/>
      <c r="G3" s="11"/>
      <c r="H3" s="12"/>
    </row>
    <row r="4" spans="1:8" x14ac:dyDescent="0.3">
      <c r="A4" s="14" t="s">
        <v>25</v>
      </c>
      <c r="B4" s="88" t="s">
        <v>217</v>
      </c>
      <c r="C4" s="88"/>
    </row>
    <row r="5" spans="1:8" x14ac:dyDescent="0.3">
      <c r="A5" s="14" t="s">
        <v>26</v>
      </c>
      <c r="B5" s="88" t="s">
        <v>221</v>
      </c>
      <c r="C5" s="88"/>
    </row>
    <row r="6" spans="1:8" x14ac:dyDescent="0.3">
      <c r="A6" s="17" t="s">
        <v>23</v>
      </c>
      <c r="B6" s="18" t="s">
        <v>17</v>
      </c>
      <c r="C6" s="19"/>
    </row>
    <row r="7" spans="1:8" x14ac:dyDescent="0.3">
      <c r="A7" s="17" t="s">
        <v>27</v>
      </c>
      <c r="B7" s="18" t="s">
        <v>39</v>
      </c>
      <c r="C7" s="19"/>
    </row>
    <row r="8" spans="1:8" x14ac:dyDescent="0.3">
      <c r="A8" s="17" t="s">
        <v>141</v>
      </c>
      <c r="B8" s="20">
        <f>Allowance!$G$29</f>
        <v>4.1474581411724785</v>
      </c>
    </row>
    <row r="9" spans="1:8" x14ac:dyDescent="0.3">
      <c r="A9" s="16" t="s">
        <v>40</v>
      </c>
      <c r="B9" s="20">
        <v>3.8622017733461615</v>
      </c>
      <c r="C9" s="15"/>
      <c r="D9" s="15"/>
    </row>
    <row r="11" spans="1:8" x14ac:dyDescent="0.3">
      <c r="A11" s="6" t="s">
        <v>28</v>
      </c>
    </row>
    <row r="12" spans="1:8" x14ac:dyDescent="0.3">
      <c r="A12" s="21" t="s">
        <v>29</v>
      </c>
      <c r="E12" s="6" t="s">
        <v>30</v>
      </c>
    </row>
    <row r="13" spans="1:8" ht="143" x14ac:dyDescent="0.3">
      <c r="A13" s="17" t="s">
        <v>31</v>
      </c>
      <c r="B13" s="40" t="s">
        <v>168</v>
      </c>
      <c r="C13" s="40" t="s">
        <v>258</v>
      </c>
      <c r="E13" s="40" t="s">
        <v>238</v>
      </c>
    </row>
    <row r="14" spans="1:8" x14ac:dyDescent="0.3">
      <c r="A14" s="17" t="s">
        <v>32</v>
      </c>
      <c r="B14" s="40" t="s">
        <v>164</v>
      </c>
      <c r="C14" s="40"/>
      <c r="E14" s="17"/>
    </row>
    <row r="15" spans="1:8" x14ac:dyDescent="0.3">
      <c r="A15" s="17" t="s">
        <v>33</v>
      </c>
      <c r="B15" s="40" t="s">
        <v>164</v>
      </c>
      <c r="C15" s="40"/>
      <c r="E15" s="17"/>
    </row>
    <row r="16" spans="1:8" ht="52" x14ac:dyDescent="0.3">
      <c r="A16" s="17" t="s">
        <v>34</v>
      </c>
      <c r="B16" s="40" t="s">
        <v>168</v>
      </c>
      <c r="C16" s="40" t="s">
        <v>259</v>
      </c>
      <c r="E16" s="40" t="s">
        <v>239</v>
      </c>
    </row>
    <row r="17" spans="1:5" ht="39" x14ac:dyDescent="0.3">
      <c r="A17" s="17" t="s">
        <v>35</v>
      </c>
      <c r="B17" s="40" t="s">
        <v>168</v>
      </c>
      <c r="C17" s="40" t="s">
        <v>272</v>
      </c>
      <c r="E17" s="40" t="s">
        <v>239</v>
      </c>
    </row>
    <row r="18" spans="1:5" ht="39" x14ac:dyDescent="0.3">
      <c r="A18" s="17" t="s">
        <v>36</v>
      </c>
      <c r="B18" s="40" t="s">
        <v>169</v>
      </c>
      <c r="C18" s="40" t="s">
        <v>260</v>
      </c>
      <c r="E18" s="17"/>
    </row>
    <row r="19" spans="1:5" x14ac:dyDescent="0.3">
      <c r="A19" s="17" t="s">
        <v>37</v>
      </c>
      <c r="B19" s="40" t="s">
        <v>164</v>
      </c>
      <c r="C19" s="40"/>
      <c r="E19" s="17"/>
    </row>
    <row r="20" spans="1:5" x14ac:dyDescent="0.3">
      <c r="A20" s="17" t="s">
        <v>38</v>
      </c>
      <c r="B20" s="40" t="s">
        <v>164</v>
      </c>
      <c r="C20" s="40"/>
      <c r="E20" s="17"/>
    </row>
    <row r="21" spans="1:5" x14ac:dyDescent="0.3">
      <c r="A21" s="22"/>
      <c r="B21" s="22"/>
      <c r="C21" s="22"/>
      <c r="E21" s="22"/>
    </row>
    <row r="22" spans="1:5" x14ac:dyDescent="0.3">
      <c r="A22" s="21"/>
      <c r="B22" s="22"/>
      <c r="C22" s="22"/>
      <c r="E22" s="22"/>
    </row>
    <row r="23" spans="1:5" x14ac:dyDescent="0.3">
      <c r="A23" s="22"/>
      <c r="B23" s="22"/>
      <c r="C23" s="22"/>
      <c r="E23" s="22"/>
    </row>
    <row r="24" spans="1:5" x14ac:dyDescent="0.3">
      <c r="A24" s="22"/>
      <c r="B24" s="22"/>
      <c r="C24" s="22"/>
      <c r="E24" s="22"/>
    </row>
    <row r="25" spans="1:5" x14ac:dyDescent="0.3">
      <c r="A25" s="22"/>
      <c r="B25" s="22"/>
      <c r="C25" s="22"/>
      <c r="E25" s="22"/>
    </row>
    <row r="26" spans="1:5" x14ac:dyDescent="0.3">
      <c r="A26" s="22"/>
      <c r="B26" s="22"/>
      <c r="C26" s="22"/>
      <c r="E26" s="22"/>
    </row>
    <row r="27" spans="1:5" x14ac:dyDescent="0.3">
      <c r="A27" s="22"/>
      <c r="B27" s="22"/>
      <c r="C27" s="22"/>
      <c r="E27" s="22"/>
    </row>
    <row r="28" spans="1:5" x14ac:dyDescent="0.3">
      <c r="A28" s="22"/>
      <c r="B28" s="22"/>
      <c r="C28" s="22"/>
      <c r="E28" s="22"/>
    </row>
    <row r="39" spans="1:13" x14ac:dyDescent="0.3">
      <c r="A39" s="6"/>
    </row>
    <row r="42" spans="1:13" x14ac:dyDescent="0.3">
      <c r="A42" s="6"/>
    </row>
    <row r="47" spans="1:13" x14ac:dyDescent="0.3">
      <c r="M47" s="11"/>
    </row>
  </sheetData>
  <mergeCells count="2">
    <mergeCell ref="B4:C4"/>
    <mergeCell ref="B5:C5"/>
  </mergeCells>
  <dataValidations count="4">
    <dataValidation type="list" allowBlank="1" showInputMessage="1" showErrorMessage="1" sqref="B13:B20">
      <formula1>"Pass, Partial pass, Fail, ,Not assessed, N/A"</formula1>
    </dataValidation>
    <dataValidation type="list" allowBlank="1" showInputMessage="1" showErrorMessage="1" sqref="B7">
      <formula1>"Wholesale water, Wholesale wastewater"</formula1>
    </dataValidation>
    <dataValidation type="list" allowBlank="1" showInputMessage="1" showErrorMessage="1" sqref="B21:B28">
      <formula1>"Pass,Marginal pass, Partial pass, Fail, ,Not assessed, N/A"</formula1>
    </dataValidation>
    <dataValidation type="list" allowBlank="1" showInputMessage="1" showErrorMessage="1" sqref="B6">
      <formula1>"ANH,NES,NWT,SRN,SVE,SWB,TMS,WSH,WSX,YKY,AFW,BRL,HDD,PRT,SES,SEW,SSC"</formula1>
    </dataValidation>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sheetPr>
  <dimension ref="A1:M47"/>
  <sheetViews>
    <sheetView showGridLines="0" zoomScale="80" zoomScaleNormal="80" workbookViewId="0">
      <selection activeCell="B9" sqref="B9"/>
    </sheetView>
  </sheetViews>
  <sheetFormatPr defaultColWidth="8.7265625" defaultRowHeight="13" x14ac:dyDescent="0.3"/>
  <cols>
    <col min="1" max="1" width="37.7265625" style="2" customWidth="1"/>
    <col min="2" max="2" width="16.54296875" style="2" customWidth="1"/>
    <col min="3" max="3" width="86.7265625" style="2" customWidth="1"/>
    <col min="4" max="4" width="8.54296875" style="2" customWidth="1"/>
    <col min="5" max="5" width="26.54296875" style="2" customWidth="1"/>
    <col min="6" max="13" width="8.54296875" style="2" customWidth="1"/>
    <col min="14" max="16384" width="8.7265625" style="2"/>
  </cols>
  <sheetData>
    <row r="1" spans="1:8" s="63" customFormat="1" ht="18.5" x14ac:dyDescent="0.45">
      <c r="A1" s="1" t="s">
        <v>295</v>
      </c>
      <c r="B1" s="1"/>
      <c r="C1" s="1"/>
      <c r="D1" s="1"/>
      <c r="E1" s="1"/>
      <c r="F1" s="44"/>
      <c r="G1" s="61"/>
      <c r="H1" s="62"/>
    </row>
    <row r="2" spans="1:8" s="13" customFormat="1" x14ac:dyDescent="0.3">
      <c r="A2" s="2"/>
      <c r="B2" s="27"/>
      <c r="C2" s="27"/>
      <c r="D2" s="2"/>
      <c r="E2" s="2"/>
      <c r="F2" s="2"/>
      <c r="G2" s="11"/>
      <c r="H2" s="12"/>
    </row>
    <row r="3" spans="1:8" s="13" customFormat="1" x14ac:dyDescent="0.3">
      <c r="A3" s="6" t="s">
        <v>41</v>
      </c>
      <c r="B3" s="27"/>
      <c r="C3" s="27"/>
      <c r="D3" s="2"/>
      <c r="E3" s="2"/>
      <c r="F3" s="2"/>
      <c r="G3" s="11"/>
      <c r="H3" s="12"/>
    </row>
    <row r="4" spans="1:8" x14ac:dyDescent="0.3">
      <c r="A4" s="14" t="s">
        <v>25</v>
      </c>
      <c r="B4" s="88" t="s">
        <v>217</v>
      </c>
      <c r="C4" s="88"/>
    </row>
    <row r="5" spans="1:8" x14ac:dyDescent="0.3">
      <c r="A5" s="14" t="s">
        <v>26</v>
      </c>
      <c r="B5" s="88" t="s">
        <v>221</v>
      </c>
      <c r="C5" s="88"/>
    </row>
    <row r="6" spans="1:8" x14ac:dyDescent="0.3">
      <c r="A6" s="17" t="s">
        <v>23</v>
      </c>
      <c r="B6" s="18" t="s">
        <v>6</v>
      </c>
      <c r="C6" s="19"/>
    </row>
    <row r="7" spans="1:8" x14ac:dyDescent="0.3">
      <c r="A7" s="17" t="s">
        <v>27</v>
      </c>
      <c r="B7" s="18" t="s">
        <v>39</v>
      </c>
      <c r="C7" s="19"/>
    </row>
    <row r="8" spans="1:8" x14ac:dyDescent="0.3">
      <c r="A8" s="17" t="s">
        <v>141</v>
      </c>
      <c r="B8" s="20">
        <f>Allowance!$G$19</f>
        <v>8.9909999999999997</v>
      </c>
    </row>
    <row r="9" spans="1:8" x14ac:dyDescent="0.3">
      <c r="A9" s="16" t="s">
        <v>40</v>
      </c>
      <c r="B9" s="20">
        <v>7.1928000000000001</v>
      </c>
      <c r="C9" s="15"/>
      <c r="D9" s="15"/>
    </row>
    <row r="11" spans="1:8" x14ac:dyDescent="0.3">
      <c r="A11" s="6"/>
    </row>
    <row r="12" spans="1:8" x14ac:dyDescent="0.3">
      <c r="A12" s="21" t="s">
        <v>29</v>
      </c>
      <c r="E12" s="6" t="s">
        <v>30</v>
      </c>
    </row>
    <row r="13" spans="1:8" ht="174.75" customHeight="1" x14ac:dyDescent="0.3">
      <c r="A13" s="17" t="s">
        <v>31</v>
      </c>
      <c r="B13" s="40" t="s">
        <v>168</v>
      </c>
      <c r="C13" s="45" t="s">
        <v>273</v>
      </c>
      <c r="D13" s="5"/>
      <c r="E13" s="40" t="s">
        <v>179</v>
      </c>
    </row>
    <row r="14" spans="1:8" x14ac:dyDescent="0.3">
      <c r="A14" s="17" t="s">
        <v>32</v>
      </c>
      <c r="B14" s="40" t="s">
        <v>164</v>
      </c>
      <c r="C14" s="40" t="s">
        <v>176</v>
      </c>
      <c r="D14" s="5"/>
      <c r="E14" s="40"/>
    </row>
    <row r="15" spans="1:8" x14ac:dyDescent="0.3">
      <c r="A15" s="17" t="s">
        <v>33</v>
      </c>
      <c r="B15" s="40" t="s">
        <v>164</v>
      </c>
      <c r="C15" s="40" t="s">
        <v>176</v>
      </c>
      <c r="D15" s="5"/>
      <c r="E15" s="40"/>
    </row>
    <row r="16" spans="1:8" ht="39" x14ac:dyDescent="0.3">
      <c r="A16" s="17" t="s">
        <v>34</v>
      </c>
      <c r="B16" s="40" t="s">
        <v>172</v>
      </c>
      <c r="C16" s="40" t="s">
        <v>261</v>
      </c>
      <c r="D16" s="5"/>
      <c r="E16" s="40" t="s">
        <v>176</v>
      </c>
    </row>
    <row r="17" spans="1:5" ht="26" x14ac:dyDescent="0.3">
      <c r="A17" s="17" t="s">
        <v>35</v>
      </c>
      <c r="B17" s="40" t="s">
        <v>172</v>
      </c>
      <c r="C17" s="40" t="s">
        <v>180</v>
      </c>
      <c r="D17" s="5"/>
      <c r="E17" s="40" t="s">
        <v>176</v>
      </c>
    </row>
    <row r="18" spans="1:5" ht="26" x14ac:dyDescent="0.3">
      <c r="A18" s="17" t="s">
        <v>36</v>
      </c>
      <c r="B18" s="40" t="s">
        <v>169</v>
      </c>
      <c r="C18" s="40" t="s">
        <v>235</v>
      </c>
      <c r="D18" s="5"/>
      <c r="E18" s="40"/>
    </row>
    <row r="19" spans="1:5" x14ac:dyDescent="0.3">
      <c r="A19" s="17" t="s">
        <v>37</v>
      </c>
      <c r="B19" s="40" t="s">
        <v>164</v>
      </c>
      <c r="C19" s="40" t="s">
        <v>176</v>
      </c>
      <c r="D19" s="5"/>
      <c r="E19" s="40"/>
    </row>
    <row r="20" spans="1:5" x14ac:dyDescent="0.3">
      <c r="A20" s="17" t="s">
        <v>38</v>
      </c>
      <c r="B20" s="40" t="s">
        <v>164</v>
      </c>
      <c r="C20" s="40" t="s">
        <v>176</v>
      </c>
      <c r="D20" s="5"/>
      <c r="E20" s="40"/>
    </row>
    <row r="21" spans="1:5" x14ac:dyDescent="0.3">
      <c r="A21" s="22"/>
      <c r="B21" s="22"/>
      <c r="C21" s="22"/>
      <c r="E21" s="22"/>
    </row>
    <row r="22" spans="1:5" x14ac:dyDescent="0.3">
      <c r="A22" s="21"/>
      <c r="B22" s="22"/>
      <c r="C22" s="22"/>
      <c r="E22" s="22"/>
    </row>
    <row r="23" spans="1:5" x14ac:dyDescent="0.3">
      <c r="A23" s="22"/>
      <c r="B23" s="22"/>
      <c r="C23" s="22"/>
      <c r="E23" s="22"/>
    </row>
    <row r="24" spans="1:5" x14ac:dyDescent="0.3">
      <c r="A24" s="22"/>
      <c r="B24" s="22"/>
      <c r="C24" s="22"/>
      <c r="E24" s="22"/>
    </row>
    <row r="25" spans="1:5" x14ac:dyDescent="0.3">
      <c r="A25" s="22"/>
      <c r="B25" s="22"/>
      <c r="C25" s="22"/>
      <c r="E25" s="22"/>
    </row>
    <row r="26" spans="1:5" x14ac:dyDescent="0.3">
      <c r="A26" s="22"/>
      <c r="B26" s="22"/>
      <c r="C26" s="22"/>
      <c r="E26" s="22"/>
    </row>
    <row r="27" spans="1:5" x14ac:dyDescent="0.3">
      <c r="A27" s="22"/>
      <c r="B27" s="22"/>
      <c r="C27" s="22"/>
      <c r="E27" s="22"/>
    </row>
    <row r="28" spans="1:5" x14ac:dyDescent="0.3">
      <c r="A28" s="22"/>
      <c r="B28" s="22"/>
      <c r="C28" s="22"/>
      <c r="E28" s="22"/>
    </row>
    <row r="39" spans="1:13" x14ac:dyDescent="0.3">
      <c r="A39" s="6"/>
    </row>
    <row r="41" spans="1:13" x14ac:dyDescent="0.3">
      <c r="C41" s="9"/>
    </row>
    <row r="42" spans="1:13" x14ac:dyDescent="0.3">
      <c r="A42" s="6"/>
    </row>
    <row r="47" spans="1:13" x14ac:dyDescent="0.3">
      <c r="M47" s="11"/>
    </row>
  </sheetData>
  <mergeCells count="2">
    <mergeCell ref="B4:C4"/>
    <mergeCell ref="B5:C5"/>
  </mergeCells>
  <dataValidations count="4">
    <dataValidation type="list" allowBlank="1" showInputMessage="1" showErrorMessage="1" sqref="B13:B20">
      <formula1>"Pass, Partial pass, Fail, ,Not assessed, N/A"</formula1>
    </dataValidation>
    <dataValidation type="list" allowBlank="1" showInputMessage="1" showErrorMessage="1" sqref="B7">
      <formula1>"Wholesale water, Wholesale wastewater"</formula1>
    </dataValidation>
    <dataValidation type="list" allowBlank="1" showInputMessage="1" showErrorMessage="1" sqref="B21:B28">
      <formula1>"Pass,Marginal pass, Partial pass, Fail, ,Not assessed, N/A"</formula1>
    </dataValidation>
    <dataValidation type="list" allowBlank="1" showInputMessage="1" showErrorMessage="1" sqref="B6">
      <formula1>"ANH,NES,NWT,SRN,SVE,SWB,TMS,WSH,WSX,YKY,AFW,BRL,HDD,PRT,SES,SEW,SSC"</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3"/>
  </sheetPr>
  <dimension ref="A1:M55"/>
  <sheetViews>
    <sheetView showGridLines="0" zoomScale="106" zoomScaleNormal="106" workbookViewId="0">
      <selection activeCell="A2" sqref="A2"/>
    </sheetView>
  </sheetViews>
  <sheetFormatPr defaultColWidth="8.7265625" defaultRowHeight="13" x14ac:dyDescent="0.3"/>
  <cols>
    <col min="1" max="1" width="27.7265625" style="2" customWidth="1"/>
    <col min="2" max="2" width="16.54296875" style="2" customWidth="1"/>
    <col min="3" max="3" width="196.453125" style="2" customWidth="1"/>
    <col min="4" max="4" width="8.54296875" style="2" customWidth="1"/>
    <col min="5" max="5" width="26.54296875" style="2" customWidth="1"/>
    <col min="6" max="13" width="8.54296875" style="2" customWidth="1"/>
    <col min="14" max="16384" width="8.7265625" style="2"/>
  </cols>
  <sheetData>
    <row r="1" spans="1:8" s="63" customFormat="1" ht="18.5" x14ac:dyDescent="0.45">
      <c r="A1" s="1" t="s">
        <v>297</v>
      </c>
      <c r="B1" s="1"/>
      <c r="C1" s="1"/>
      <c r="D1" s="1"/>
      <c r="E1" s="1"/>
      <c r="F1" s="44"/>
      <c r="G1" s="61"/>
      <c r="H1" s="62"/>
    </row>
    <row r="2" spans="1:8" s="13" customFormat="1" x14ac:dyDescent="0.3">
      <c r="A2" s="2"/>
      <c r="B2" s="27"/>
      <c r="C2" s="27"/>
      <c r="D2" s="2"/>
      <c r="E2" s="2"/>
      <c r="F2" s="2"/>
      <c r="G2" s="11"/>
      <c r="H2" s="12"/>
    </row>
    <row r="3" spans="1:8" s="13" customFormat="1" x14ac:dyDescent="0.3">
      <c r="A3" s="6" t="s">
        <v>41</v>
      </c>
      <c r="B3" s="27"/>
      <c r="C3" s="27"/>
      <c r="D3" s="2"/>
      <c r="E3" s="2"/>
      <c r="F3" s="2"/>
      <c r="G3" s="11"/>
      <c r="H3" s="12"/>
    </row>
    <row r="4" spans="1:8" x14ac:dyDescent="0.3">
      <c r="A4" s="14" t="s">
        <v>25</v>
      </c>
      <c r="B4" s="88" t="s">
        <v>216</v>
      </c>
      <c r="C4" s="88"/>
    </row>
    <row r="5" spans="1:8" x14ac:dyDescent="0.3">
      <c r="A5" s="14" t="s">
        <v>26</v>
      </c>
      <c r="B5" s="88" t="s">
        <v>296</v>
      </c>
      <c r="C5" s="88"/>
    </row>
    <row r="6" spans="1:8" x14ac:dyDescent="0.3">
      <c r="A6" s="17" t="s">
        <v>23</v>
      </c>
      <c r="B6" s="18" t="s">
        <v>139</v>
      </c>
      <c r="C6" s="19"/>
    </row>
    <row r="7" spans="1:8" x14ac:dyDescent="0.3">
      <c r="A7" s="17" t="s">
        <v>27</v>
      </c>
      <c r="B7" s="18" t="s">
        <v>39</v>
      </c>
      <c r="C7" s="19"/>
    </row>
    <row r="8" spans="1:8" x14ac:dyDescent="0.3">
      <c r="A8" s="17" t="s">
        <v>141</v>
      </c>
      <c r="B8" s="20">
        <f>Allowance!$G$18</f>
        <v>135.39600000000002</v>
      </c>
    </row>
    <row r="9" spans="1:8" x14ac:dyDescent="0.3">
      <c r="A9" s="16" t="s">
        <v>40</v>
      </c>
      <c r="B9" s="87">
        <f>$B$49</f>
        <v>107.15</v>
      </c>
      <c r="C9" s="15"/>
      <c r="D9" s="15"/>
    </row>
    <row r="11" spans="1:8" x14ac:dyDescent="0.3">
      <c r="A11" s="6" t="s">
        <v>28</v>
      </c>
    </row>
    <row r="12" spans="1:8" x14ac:dyDescent="0.3">
      <c r="A12" s="21" t="s">
        <v>29</v>
      </c>
      <c r="E12" s="6" t="s">
        <v>30</v>
      </c>
    </row>
    <row r="13" spans="1:8" ht="409.5" customHeight="1" x14ac:dyDescent="0.3">
      <c r="A13" s="17" t="s">
        <v>31</v>
      </c>
      <c r="B13" s="17" t="s">
        <v>169</v>
      </c>
      <c r="C13" s="40" t="s">
        <v>274</v>
      </c>
      <c r="E13" s="40" t="s">
        <v>165</v>
      </c>
    </row>
    <row r="14" spans="1:8" ht="23.25" customHeight="1" x14ac:dyDescent="0.3">
      <c r="A14" s="17" t="s">
        <v>32</v>
      </c>
      <c r="B14" s="17" t="s">
        <v>164</v>
      </c>
      <c r="C14" s="40" t="s">
        <v>176</v>
      </c>
      <c r="E14" s="40"/>
    </row>
    <row r="15" spans="1:8" ht="20.25" customHeight="1" x14ac:dyDescent="0.3">
      <c r="A15" s="17" t="s">
        <v>33</v>
      </c>
      <c r="B15" s="17" t="s">
        <v>164</v>
      </c>
      <c r="C15" s="40" t="s">
        <v>176</v>
      </c>
      <c r="E15" s="17"/>
    </row>
    <row r="16" spans="1:8" ht="220.5" customHeight="1" x14ac:dyDescent="0.3">
      <c r="A16" s="17" t="s">
        <v>34</v>
      </c>
      <c r="B16" s="17" t="s">
        <v>168</v>
      </c>
      <c r="C16" s="40" t="s">
        <v>270</v>
      </c>
      <c r="E16" s="40" t="s">
        <v>167</v>
      </c>
    </row>
    <row r="17" spans="1:5" ht="130" x14ac:dyDescent="0.3">
      <c r="A17" s="17" t="s">
        <v>35</v>
      </c>
      <c r="B17" s="17" t="s">
        <v>168</v>
      </c>
      <c r="C17" s="40" t="s">
        <v>262</v>
      </c>
      <c r="E17" s="40" t="s">
        <v>166</v>
      </c>
    </row>
    <row r="18" spans="1:5" ht="37.5" customHeight="1" x14ac:dyDescent="0.3">
      <c r="A18" s="17" t="s">
        <v>36</v>
      </c>
      <c r="B18" s="17" t="s">
        <v>169</v>
      </c>
      <c r="C18" s="40" t="s">
        <v>263</v>
      </c>
      <c r="E18" s="40" t="s">
        <v>166</v>
      </c>
    </row>
    <row r="19" spans="1:5" ht="32.25" customHeight="1" x14ac:dyDescent="0.3">
      <c r="A19" s="17" t="s">
        <v>37</v>
      </c>
      <c r="B19" s="17" t="s">
        <v>164</v>
      </c>
      <c r="C19" s="40" t="s">
        <v>176</v>
      </c>
      <c r="E19" s="40" t="s">
        <v>166</v>
      </c>
    </row>
    <row r="20" spans="1:5" ht="24" customHeight="1" x14ac:dyDescent="0.3">
      <c r="A20" s="17" t="s">
        <v>38</v>
      </c>
      <c r="B20" s="17" t="s">
        <v>164</v>
      </c>
      <c r="C20" s="40" t="s">
        <v>176</v>
      </c>
      <c r="E20" s="40" t="s">
        <v>166</v>
      </c>
    </row>
    <row r="21" spans="1:5" x14ac:dyDescent="0.3">
      <c r="A21" s="22"/>
      <c r="B21" s="22"/>
      <c r="C21" s="22"/>
      <c r="E21" s="22"/>
    </row>
    <row r="22" spans="1:5" x14ac:dyDescent="0.3">
      <c r="A22" s="21"/>
      <c r="B22" s="22"/>
      <c r="C22" s="22"/>
      <c r="E22" s="22"/>
    </row>
    <row r="23" spans="1:5" x14ac:dyDescent="0.3">
      <c r="A23" s="22"/>
      <c r="B23" s="22"/>
      <c r="C23" s="22"/>
      <c r="E23" s="22"/>
    </row>
    <row r="24" spans="1:5" x14ac:dyDescent="0.3">
      <c r="A24" s="22"/>
      <c r="B24" s="22"/>
      <c r="C24" s="22"/>
      <c r="E24" s="22"/>
    </row>
    <row r="25" spans="1:5" x14ac:dyDescent="0.3">
      <c r="A25" s="22"/>
      <c r="B25" s="22"/>
      <c r="C25" s="22"/>
      <c r="E25" s="22"/>
    </row>
    <row r="26" spans="1:5" x14ac:dyDescent="0.3">
      <c r="A26" s="22"/>
      <c r="B26" s="22"/>
      <c r="C26" s="22"/>
      <c r="E26" s="22"/>
    </row>
    <row r="27" spans="1:5" x14ac:dyDescent="0.3">
      <c r="A27" s="22"/>
      <c r="B27" s="22"/>
      <c r="C27" s="22"/>
      <c r="E27" s="22"/>
    </row>
    <row r="28" spans="1:5" x14ac:dyDescent="0.3">
      <c r="A28" s="22"/>
      <c r="B28" s="22"/>
      <c r="C28" s="22"/>
      <c r="E28" s="22"/>
    </row>
    <row r="39" spans="1:13" x14ac:dyDescent="0.3">
      <c r="A39" s="6"/>
    </row>
    <row r="42" spans="1:13" x14ac:dyDescent="0.3">
      <c r="A42" s="24" t="s">
        <v>244</v>
      </c>
      <c r="B42" s="24" t="s">
        <v>245</v>
      </c>
      <c r="C42" s="25"/>
    </row>
    <row r="43" spans="1:13" x14ac:dyDescent="0.3">
      <c r="A43" s="25">
        <v>29</v>
      </c>
      <c r="B43" s="25">
        <v>29</v>
      </c>
      <c r="C43" s="25"/>
    </row>
    <row r="44" spans="1:13" x14ac:dyDescent="0.3">
      <c r="A44" s="25">
        <v>10</v>
      </c>
      <c r="B44" s="25">
        <f>80%*A44</f>
        <v>8</v>
      </c>
      <c r="C44" s="25"/>
    </row>
    <row r="45" spans="1:13" x14ac:dyDescent="0.3">
      <c r="A45" s="25">
        <v>54</v>
      </c>
      <c r="B45" s="25">
        <f t="shared" ref="B45:B46" si="0">80%*A45</f>
        <v>43.2</v>
      </c>
      <c r="C45" s="25"/>
    </row>
    <row r="46" spans="1:13" x14ac:dyDescent="0.3">
      <c r="A46" s="25">
        <v>14</v>
      </c>
      <c r="B46" s="25">
        <f t="shared" si="0"/>
        <v>11.200000000000001</v>
      </c>
      <c r="C46" s="25"/>
    </row>
    <row r="47" spans="1:13" x14ac:dyDescent="0.3">
      <c r="A47" s="25">
        <v>21</v>
      </c>
      <c r="B47" s="25">
        <f>75%*A47</f>
        <v>15.75</v>
      </c>
      <c r="C47" s="25"/>
      <c r="M47" s="11"/>
    </row>
    <row r="48" spans="1:13" ht="13.5" thickBot="1" x14ac:dyDescent="0.35">
      <c r="A48" s="26">
        <v>7</v>
      </c>
      <c r="B48" s="26">
        <v>0</v>
      </c>
      <c r="C48" s="25"/>
    </row>
    <row r="49" spans="1:3" ht="13.5" thickTop="1" x14ac:dyDescent="0.3">
      <c r="A49" s="24">
        <f>SUM(A43:A48)</f>
        <v>135</v>
      </c>
      <c r="B49" s="24">
        <f>SUM(B43:B48)</f>
        <v>107.15</v>
      </c>
      <c r="C49" s="25"/>
    </row>
    <row r="50" spans="1:3" x14ac:dyDescent="0.3">
      <c r="A50" s="25"/>
      <c r="B50" s="25"/>
      <c r="C50" s="25"/>
    </row>
    <row r="51" spans="1:3" x14ac:dyDescent="0.3">
      <c r="A51" s="25"/>
      <c r="B51" s="25"/>
      <c r="C51" s="25"/>
    </row>
    <row r="52" spans="1:3" x14ac:dyDescent="0.3">
      <c r="A52" s="25"/>
      <c r="B52" s="25"/>
      <c r="C52" s="25"/>
    </row>
    <row r="53" spans="1:3" x14ac:dyDescent="0.3">
      <c r="A53" s="25"/>
      <c r="B53" s="25"/>
      <c r="C53" s="25"/>
    </row>
    <row r="54" spans="1:3" x14ac:dyDescent="0.3">
      <c r="A54" s="25"/>
      <c r="B54" s="25"/>
      <c r="C54" s="25"/>
    </row>
    <row r="55" spans="1:3" x14ac:dyDescent="0.3">
      <c r="A55" s="25"/>
      <c r="B55" s="25"/>
      <c r="C55" s="25"/>
    </row>
  </sheetData>
  <mergeCells count="2">
    <mergeCell ref="B4:C4"/>
    <mergeCell ref="B5:C5"/>
  </mergeCells>
  <dataValidations count="4">
    <dataValidation type="list" allowBlank="1" showInputMessage="1" showErrorMessage="1" sqref="B6">
      <formula1>"ANH,NES,NWT,SRN,SVE,SWB,TMS,WSH,WSX,YKY,AFW,BRL,HDD,PRT,SES,SEW,SSC"</formula1>
    </dataValidation>
    <dataValidation type="list" allowBlank="1" showInputMessage="1" showErrorMessage="1" sqref="B21:B28">
      <formula1>"Pass,Marginal pass, Partial pass, Fail, ,Not assessed, N/A"</formula1>
    </dataValidation>
    <dataValidation type="list" allowBlank="1" showInputMessage="1" showErrorMessage="1" sqref="B7">
      <formula1>"Wholesale water, Wholesale wastewater"</formula1>
    </dataValidation>
    <dataValidation type="list" allowBlank="1" showInputMessage="1" showErrorMessage="1" sqref="B13:B20">
      <formula1>"Pass, Partial pass, Fail, ,Not assessed, N/A"</formula1>
    </dataValidation>
  </dataValidation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3"/>
  </sheetPr>
  <dimension ref="A1:M48"/>
  <sheetViews>
    <sheetView showGridLines="0" zoomScale="96" zoomScaleNormal="96" workbookViewId="0">
      <selection activeCell="B4" sqref="B4:C4"/>
    </sheetView>
  </sheetViews>
  <sheetFormatPr defaultColWidth="8.7265625" defaultRowHeight="13" x14ac:dyDescent="0.3"/>
  <cols>
    <col min="1" max="1" width="37.7265625" style="2" customWidth="1"/>
    <col min="2" max="2" width="16.54296875" style="2" customWidth="1"/>
    <col min="3" max="3" width="187.7265625" style="2" customWidth="1"/>
    <col min="4" max="4" width="8.54296875" style="2" customWidth="1"/>
    <col min="5" max="5" width="46.7265625" style="2" customWidth="1"/>
    <col min="6" max="13" width="8.54296875" style="2" customWidth="1"/>
    <col min="14" max="16384" width="8.7265625" style="2"/>
  </cols>
  <sheetData>
    <row r="1" spans="1:8" s="63" customFormat="1" ht="18.5" x14ac:dyDescent="0.45">
      <c r="A1" s="1" t="s">
        <v>298</v>
      </c>
      <c r="B1" s="1"/>
      <c r="C1" s="1"/>
      <c r="D1" s="1"/>
      <c r="E1" s="1"/>
      <c r="F1" s="44"/>
      <c r="G1" s="61"/>
      <c r="H1" s="62"/>
    </row>
    <row r="2" spans="1:8" s="13" customFormat="1" x14ac:dyDescent="0.3">
      <c r="A2" s="2"/>
      <c r="B2" s="27"/>
      <c r="C2" s="27"/>
      <c r="D2" s="2"/>
      <c r="E2" s="2"/>
      <c r="F2" s="2"/>
      <c r="G2" s="11"/>
      <c r="H2" s="12"/>
    </row>
    <row r="3" spans="1:8" s="13" customFormat="1" x14ac:dyDescent="0.3">
      <c r="A3" s="6" t="s">
        <v>41</v>
      </c>
      <c r="B3" s="27"/>
      <c r="C3" s="27"/>
      <c r="D3" s="2"/>
      <c r="E3" s="2"/>
      <c r="F3" s="2"/>
      <c r="G3" s="11"/>
      <c r="H3" s="12"/>
    </row>
    <row r="4" spans="1:8" x14ac:dyDescent="0.3">
      <c r="A4" s="14" t="s">
        <v>25</v>
      </c>
      <c r="B4" s="88" t="s">
        <v>174</v>
      </c>
      <c r="C4" s="88"/>
    </row>
    <row r="5" spans="1:8" x14ac:dyDescent="0.3">
      <c r="A5" s="14" t="s">
        <v>26</v>
      </c>
      <c r="B5" s="88" t="s">
        <v>221</v>
      </c>
      <c r="C5" s="88"/>
    </row>
    <row r="6" spans="1:8" x14ac:dyDescent="0.3">
      <c r="A6" s="17" t="s">
        <v>23</v>
      </c>
      <c r="B6" s="18" t="s">
        <v>7</v>
      </c>
      <c r="C6" s="19"/>
    </row>
    <row r="7" spans="1:8" x14ac:dyDescent="0.3">
      <c r="A7" s="17" t="s">
        <v>27</v>
      </c>
      <c r="B7" s="18" t="s">
        <v>39</v>
      </c>
      <c r="C7" s="19"/>
    </row>
    <row r="8" spans="1:8" x14ac:dyDescent="0.3">
      <c r="A8" s="17" t="s">
        <v>141</v>
      </c>
      <c r="B8" s="20">
        <f>Allowance!$G$20</f>
        <v>208.77742507520003</v>
      </c>
    </row>
    <row r="9" spans="1:8" x14ac:dyDescent="0.3">
      <c r="A9" s="16" t="s">
        <v>40</v>
      </c>
      <c r="B9" s="20">
        <v>109.88581131392002</v>
      </c>
      <c r="C9" s="15"/>
      <c r="D9" s="15"/>
    </row>
    <row r="11" spans="1:8" x14ac:dyDescent="0.3">
      <c r="A11" s="6" t="s">
        <v>28</v>
      </c>
    </row>
    <row r="12" spans="1:8" x14ac:dyDescent="0.3">
      <c r="A12" s="21" t="s">
        <v>29</v>
      </c>
      <c r="E12" s="6" t="s">
        <v>30</v>
      </c>
    </row>
    <row r="13" spans="1:8" ht="287.25" customHeight="1" x14ac:dyDescent="0.3">
      <c r="A13" s="17" t="s">
        <v>31</v>
      </c>
      <c r="B13" s="17" t="s">
        <v>169</v>
      </c>
      <c r="C13" s="40" t="s">
        <v>264</v>
      </c>
      <c r="E13" s="40" t="s">
        <v>187</v>
      </c>
    </row>
    <row r="14" spans="1:8" x14ac:dyDescent="0.3">
      <c r="A14" s="17" t="s">
        <v>32</v>
      </c>
      <c r="B14" s="17" t="s">
        <v>164</v>
      </c>
      <c r="C14" s="17"/>
      <c r="E14" s="17"/>
    </row>
    <row r="15" spans="1:8" x14ac:dyDescent="0.3">
      <c r="A15" s="17" t="s">
        <v>33</v>
      </c>
      <c r="B15" s="17" t="s">
        <v>164</v>
      </c>
      <c r="C15" s="17"/>
      <c r="E15" s="17"/>
    </row>
    <row r="16" spans="1:8" ht="273" x14ac:dyDescent="0.3">
      <c r="A16" s="17" t="s">
        <v>34</v>
      </c>
      <c r="B16" s="17" t="s">
        <v>172</v>
      </c>
      <c r="C16" s="40" t="s">
        <v>200</v>
      </c>
      <c r="E16" s="40" t="s">
        <v>188</v>
      </c>
    </row>
    <row r="17" spans="1:5" ht="78" x14ac:dyDescent="0.3">
      <c r="A17" s="17" t="s">
        <v>35</v>
      </c>
      <c r="B17" s="17" t="s">
        <v>168</v>
      </c>
      <c r="C17" s="40" t="s">
        <v>201</v>
      </c>
      <c r="E17" s="40" t="s">
        <v>188</v>
      </c>
    </row>
    <row r="18" spans="1:5" ht="26" x14ac:dyDescent="0.3">
      <c r="A18" s="17" t="s">
        <v>36</v>
      </c>
      <c r="B18" s="17" t="s">
        <v>168</v>
      </c>
      <c r="C18" s="47" t="s">
        <v>202</v>
      </c>
      <c r="E18" s="17"/>
    </row>
    <row r="19" spans="1:5" x14ac:dyDescent="0.3">
      <c r="A19" s="17" t="s">
        <v>37</v>
      </c>
      <c r="B19" s="17" t="s">
        <v>164</v>
      </c>
      <c r="C19" s="48"/>
      <c r="E19" s="17"/>
    </row>
    <row r="20" spans="1:5" x14ac:dyDescent="0.3">
      <c r="A20" s="17" t="s">
        <v>38</v>
      </c>
      <c r="B20" s="17" t="s">
        <v>164</v>
      </c>
      <c r="C20" s="48"/>
      <c r="E20" s="17"/>
    </row>
    <row r="21" spans="1:5" x14ac:dyDescent="0.3">
      <c r="A21" s="22"/>
      <c r="B21" s="22"/>
      <c r="C21" s="22"/>
      <c r="E21" s="22"/>
    </row>
    <row r="22" spans="1:5" x14ac:dyDescent="0.3">
      <c r="A22" s="21"/>
      <c r="B22" s="22"/>
      <c r="C22" s="22"/>
      <c r="E22" s="22"/>
    </row>
    <row r="23" spans="1:5" x14ac:dyDescent="0.3">
      <c r="A23" s="22"/>
      <c r="B23" s="22"/>
      <c r="C23" s="22"/>
      <c r="E23" s="22"/>
    </row>
    <row r="24" spans="1:5" x14ac:dyDescent="0.3">
      <c r="A24" s="22"/>
      <c r="B24" s="22"/>
      <c r="C24" s="22"/>
      <c r="E24" s="22"/>
    </row>
    <row r="25" spans="1:5" x14ac:dyDescent="0.3">
      <c r="A25" s="22"/>
      <c r="B25" s="22"/>
      <c r="C25" s="22"/>
      <c r="E25" s="22"/>
    </row>
    <row r="26" spans="1:5" x14ac:dyDescent="0.3">
      <c r="A26" s="22"/>
      <c r="B26" s="22"/>
      <c r="C26" s="22"/>
      <c r="E26" s="22"/>
    </row>
    <row r="27" spans="1:5" x14ac:dyDescent="0.3">
      <c r="A27" s="22"/>
      <c r="B27" s="22"/>
      <c r="C27" s="22"/>
      <c r="E27" s="22"/>
    </row>
    <row r="28" spans="1:5" x14ac:dyDescent="0.3">
      <c r="A28" s="22"/>
      <c r="B28" s="22"/>
      <c r="C28" s="22"/>
      <c r="E28" s="22"/>
    </row>
    <row r="39" spans="1:13" x14ac:dyDescent="0.3">
      <c r="A39" s="6"/>
    </row>
    <row r="42" spans="1:13" x14ac:dyDescent="0.3">
      <c r="A42" s="6"/>
      <c r="B42" s="49"/>
    </row>
    <row r="43" spans="1:13" x14ac:dyDescent="0.3">
      <c r="B43" s="49"/>
    </row>
    <row r="44" spans="1:13" x14ac:dyDescent="0.3">
      <c r="B44" s="49"/>
    </row>
    <row r="45" spans="1:13" x14ac:dyDescent="0.3">
      <c r="B45" s="50"/>
    </row>
    <row r="47" spans="1:13" x14ac:dyDescent="0.3">
      <c r="M47" s="11"/>
    </row>
    <row r="48" spans="1:13" x14ac:dyDescent="0.3">
      <c r="B48" s="51"/>
    </row>
  </sheetData>
  <mergeCells count="2">
    <mergeCell ref="B4:C4"/>
    <mergeCell ref="B5:C5"/>
  </mergeCells>
  <dataValidations count="4">
    <dataValidation type="list" allowBlank="1" showInputMessage="1" showErrorMessage="1" sqref="B6">
      <formula1>"ANH,NES,NWT,SRN,SVE,SWB,TMS,WSH,WSX,YKY,AFW,BRL,HDD,PRT,SES,SEW,SSC"</formula1>
    </dataValidation>
    <dataValidation type="list" allowBlank="1" showInputMessage="1" showErrorMessage="1" sqref="B21:B28">
      <formula1>"Pass,Marginal pass, Partial pass, Fail, ,Not assessed, N/A"</formula1>
    </dataValidation>
    <dataValidation type="list" allowBlank="1" showInputMessage="1" showErrorMessage="1" sqref="B7">
      <formula1>"Wholesale water, Wholesale wastewater"</formula1>
    </dataValidation>
    <dataValidation type="list" allowBlank="1" showInputMessage="1" showErrorMessage="1" sqref="B13:B20">
      <formula1>"Pass, Partial pass, Fail, ,Not assessed, N/A"</formula1>
    </dataValidation>
  </dataValidation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3"/>
  </sheetPr>
  <dimension ref="A1:M47"/>
  <sheetViews>
    <sheetView showGridLines="0" zoomScale="95" zoomScaleNormal="95" workbookViewId="0">
      <selection activeCell="C10" sqref="C10"/>
    </sheetView>
  </sheetViews>
  <sheetFormatPr defaultColWidth="8.7265625" defaultRowHeight="13" x14ac:dyDescent="0.3"/>
  <cols>
    <col min="1" max="1" width="37.7265625" style="2" customWidth="1"/>
    <col min="2" max="2" width="16.54296875" style="2" customWidth="1"/>
    <col min="3" max="3" width="167.453125" style="2" customWidth="1"/>
    <col min="4" max="4" width="8.54296875" style="2" customWidth="1"/>
    <col min="5" max="5" width="26.54296875" style="2" customWidth="1"/>
    <col min="6" max="13" width="8.54296875" style="2" customWidth="1"/>
    <col min="14" max="16384" width="8.7265625" style="2"/>
  </cols>
  <sheetData>
    <row r="1" spans="1:8" s="63" customFormat="1" ht="18.5" x14ac:dyDescent="0.45">
      <c r="A1" s="1" t="s">
        <v>299</v>
      </c>
      <c r="B1" s="1"/>
      <c r="C1" s="1"/>
      <c r="D1" s="1"/>
      <c r="E1" s="1"/>
      <c r="F1" s="44"/>
      <c r="G1" s="61"/>
      <c r="H1" s="62"/>
    </row>
    <row r="2" spans="1:8" s="13" customFormat="1" x14ac:dyDescent="0.3">
      <c r="A2" s="2"/>
      <c r="B2" s="27"/>
      <c r="C2" s="27"/>
      <c r="D2" s="2"/>
      <c r="E2" s="2"/>
      <c r="F2" s="2"/>
      <c r="G2" s="11"/>
      <c r="H2" s="12"/>
    </row>
    <row r="3" spans="1:8" s="13" customFormat="1" x14ac:dyDescent="0.3">
      <c r="A3" s="6" t="s">
        <v>41</v>
      </c>
      <c r="B3" s="27"/>
      <c r="C3" s="27"/>
      <c r="D3" s="2"/>
      <c r="E3" s="2"/>
      <c r="F3" s="2"/>
      <c r="G3" s="11"/>
      <c r="H3" s="12"/>
    </row>
    <row r="4" spans="1:8" x14ac:dyDescent="0.3">
      <c r="A4" s="14" t="s">
        <v>25</v>
      </c>
      <c r="B4" s="88" t="s">
        <v>174</v>
      </c>
      <c r="C4" s="88"/>
    </row>
    <row r="5" spans="1:8" x14ac:dyDescent="0.3">
      <c r="A5" s="14" t="s">
        <v>26</v>
      </c>
      <c r="B5" s="88" t="s">
        <v>221</v>
      </c>
      <c r="C5" s="88"/>
    </row>
    <row r="6" spans="1:8" x14ac:dyDescent="0.3">
      <c r="A6" s="17" t="s">
        <v>23</v>
      </c>
      <c r="B6" s="18" t="s">
        <v>8</v>
      </c>
      <c r="C6" s="19"/>
    </row>
    <row r="7" spans="1:8" x14ac:dyDescent="0.3">
      <c r="A7" s="17" t="s">
        <v>27</v>
      </c>
      <c r="B7" s="18" t="s">
        <v>39</v>
      </c>
      <c r="C7" s="19"/>
    </row>
    <row r="8" spans="1:8" x14ac:dyDescent="0.3">
      <c r="A8" s="17" t="s">
        <v>141</v>
      </c>
      <c r="B8" s="20">
        <f>Allowance!$G$21</f>
        <v>38.426999999999964</v>
      </c>
    </row>
    <row r="9" spans="1:8" x14ac:dyDescent="0.3">
      <c r="A9" s="16" t="s">
        <v>40</v>
      </c>
      <c r="B9" s="20">
        <v>5.31</v>
      </c>
      <c r="C9" s="15"/>
      <c r="D9" s="15"/>
    </row>
    <row r="11" spans="1:8" x14ac:dyDescent="0.3">
      <c r="A11" s="6" t="s">
        <v>28</v>
      </c>
    </row>
    <row r="12" spans="1:8" x14ac:dyDescent="0.3">
      <c r="A12" s="21" t="s">
        <v>29</v>
      </c>
      <c r="E12" s="6" t="s">
        <v>30</v>
      </c>
    </row>
    <row r="13" spans="1:8" ht="310.5" customHeight="1" x14ac:dyDescent="0.3">
      <c r="A13" s="17" t="s">
        <v>31</v>
      </c>
      <c r="B13" s="40" t="s">
        <v>168</v>
      </c>
      <c r="C13" s="84" t="s">
        <v>265</v>
      </c>
      <c r="D13" s="5"/>
      <c r="E13" s="40" t="s">
        <v>236</v>
      </c>
    </row>
    <row r="14" spans="1:8" x14ac:dyDescent="0.3">
      <c r="A14" s="17" t="s">
        <v>32</v>
      </c>
      <c r="B14" s="40" t="s">
        <v>164</v>
      </c>
      <c r="C14" s="40"/>
      <c r="D14" s="5"/>
      <c r="E14" s="40"/>
    </row>
    <row r="15" spans="1:8" x14ac:dyDescent="0.3">
      <c r="A15" s="17" t="s">
        <v>33</v>
      </c>
      <c r="B15" s="40" t="s">
        <v>164</v>
      </c>
      <c r="C15" s="40"/>
      <c r="D15" s="5"/>
      <c r="E15" s="40"/>
    </row>
    <row r="16" spans="1:8" ht="91" x14ac:dyDescent="0.3">
      <c r="A16" s="17" t="s">
        <v>34</v>
      </c>
      <c r="B16" s="40" t="s">
        <v>168</v>
      </c>
      <c r="C16" s="86" t="s">
        <v>266</v>
      </c>
      <c r="D16" s="5"/>
      <c r="E16" s="40" t="s">
        <v>181</v>
      </c>
    </row>
    <row r="17" spans="1:9" ht="26" x14ac:dyDescent="0.3">
      <c r="A17" s="17" t="s">
        <v>35</v>
      </c>
      <c r="B17" s="40" t="s">
        <v>168</v>
      </c>
      <c r="C17" s="46" t="s">
        <v>267</v>
      </c>
      <c r="D17" s="5"/>
      <c r="E17" s="40" t="s">
        <v>182</v>
      </c>
      <c r="I17" s="40"/>
    </row>
    <row r="18" spans="1:9" ht="26" x14ac:dyDescent="0.3">
      <c r="A18" s="17" t="s">
        <v>36</v>
      </c>
      <c r="B18" s="40" t="s">
        <v>169</v>
      </c>
      <c r="C18" s="40" t="s">
        <v>275</v>
      </c>
      <c r="D18" s="5"/>
      <c r="E18" s="40"/>
    </row>
    <row r="19" spans="1:9" x14ac:dyDescent="0.3">
      <c r="A19" s="17" t="s">
        <v>37</v>
      </c>
      <c r="B19" s="40" t="s">
        <v>164</v>
      </c>
      <c r="C19" s="40"/>
      <c r="D19" s="5"/>
      <c r="E19" s="40"/>
    </row>
    <row r="20" spans="1:9" x14ac:dyDescent="0.3">
      <c r="A20" s="17" t="s">
        <v>38</v>
      </c>
      <c r="B20" s="40" t="s">
        <v>164</v>
      </c>
      <c r="C20" s="40"/>
      <c r="D20" s="5"/>
      <c r="E20" s="40"/>
    </row>
    <row r="21" spans="1:9" x14ac:dyDescent="0.3">
      <c r="A21" s="22"/>
      <c r="B21" s="22"/>
      <c r="C21" s="22"/>
      <c r="E21" s="22"/>
    </row>
    <row r="22" spans="1:9" x14ac:dyDescent="0.3">
      <c r="A22" s="21"/>
      <c r="B22" s="22"/>
      <c r="C22" s="22"/>
      <c r="E22" s="22"/>
    </row>
    <row r="23" spans="1:9" x14ac:dyDescent="0.3">
      <c r="A23" s="22"/>
      <c r="B23" s="22"/>
      <c r="C23" s="22"/>
      <c r="E23" s="22"/>
    </row>
    <row r="24" spans="1:9" x14ac:dyDescent="0.3">
      <c r="A24" s="22"/>
      <c r="B24" s="22"/>
      <c r="C24" s="22"/>
      <c r="E24" s="22"/>
    </row>
    <row r="25" spans="1:9" x14ac:dyDescent="0.3">
      <c r="A25" s="22"/>
      <c r="B25" s="22"/>
      <c r="C25" s="22"/>
      <c r="E25" s="22"/>
    </row>
    <row r="26" spans="1:9" x14ac:dyDescent="0.3">
      <c r="A26" s="22"/>
      <c r="B26" s="22"/>
      <c r="C26" s="22"/>
      <c r="E26" s="22"/>
    </row>
    <row r="27" spans="1:9" x14ac:dyDescent="0.3">
      <c r="A27" s="22"/>
      <c r="B27" s="22"/>
      <c r="C27" s="22"/>
      <c r="E27" s="22"/>
    </row>
    <row r="28" spans="1:9" x14ac:dyDescent="0.3">
      <c r="A28" s="22"/>
      <c r="B28" s="22"/>
      <c r="C28" s="22"/>
      <c r="E28" s="22"/>
    </row>
    <row r="39" spans="1:13" x14ac:dyDescent="0.3">
      <c r="A39" s="6"/>
    </row>
    <row r="42" spans="1:13" x14ac:dyDescent="0.3">
      <c r="A42" s="6"/>
    </row>
    <row r="47" spans="1:13" x14ac:dyDescent="0.3">
      <c r="M47" s="11"/>
    </row>
  </sheetData>
  <mergeCells count="2">
    <mergeCell ref="B5:C5"/>
    <mergeCell ref="B4:C4"/>
  </mergeCells>
  <dataValidations count="4">
    <dataValidation type="list" allowBlank="1" showInputMessage="1" showErrorMessage="1" sqref="B13:B20">
      <formula1>"Pass, Partial pass, Fail, ,Not assessed, N/A"</formula1>
    </dataValidation>
    <dataValidation type="list" allowBlank="1" showInputMessage="1" showErrorMessage="1" sqref="B7">
      <formula1>"Wholesale water, Wholesale wastewater"</formula1>
    </dataValidation>
    <dataValidation type="list" allowBlank="1" showInputMessage="1" showErrorMessage="1" sqref="B21:B28">
      <formula1>"Pass,Marginal pass, Partial pass, Fail, ,Not assessed, N/A"</formula1>
    </dataValidation>
    <dataValidation type="list" allowBlank="1" showInputMessage="1" showErrorMessage="1" sqref="B6">
      <formula1>"ANH,NES,NWT,SRN,SVE,SWB,TMS,WSH,WSX,YKY,AFW,BRL,HDD,PRT,SES,SEW,SSC"</formula1>
    </dataValidation>
  </dataValidation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3"/>
  </sheetPr>
  <dimension ref="B1:N47"/>
  <sheetViews>
    <sheetView showGridLines="0" zoomScale="98" zoomScaleNormal="98" workbookViewId="0">
      <selection activeCell="D24" sqref="D24"/>
    </sheetView>
  </sheetViews>
  <sheetFormatPr defaultColWidth="8.7265625" defaultRowHeight="13" x14ac:dyDescent="0.3"/>
  <cols>
    <col min="1" max="1" width="2.1796875" style="2" customWidth="1"/>
    <col min="2" max="2" width="37.7265625" style="2" customWidth="1"/>
    <col min="3" max="3" width="16.54296875" style="2" customWidth="1"/>
    <col min="4" max="4" width="124.7265625" style="2" customWidth="1"/>
    <col min="5" max="5" width="8.54296875" style="2" customWidth="1"/>
    <col min="6" max="6" width="26.54296875" style="2" customWidth="1"/>
    <col min="7" max="14" width="8.54296875" style="2" customWidth="1"/>
    <col min="15" max="16384" width="8.7265625" style="2"/>
  </cols>
  <sheetData>
    <row r="1" spans="2:9" s="63" customFormat="1" ht="18.5" x14ac:dyDescent="0.45">
      <c r="B1" s="1" t="s">
        <v>300</v>
      </c>
      <c r="C1" s="1"/>
      <c r="D1" s="1"/>
      <c r="E1" s="1"/>
      <c r="F1" s="1"/>
      <c r="G1" s="44"/>
      <c r="H1" s="61"/>
      <c r="I1" s="62"/>
    </row>
    <row r="2" spans="2:9" s="13" customFormat="1" x14ac:dyDescent="0.3">
      <c r="B2" s="2"/>
      <c r="C2" s="27"/>
      <c r="D2" s="27"/>
      <c r="E2" s="2"/>
      <c r="F2" s="2"/>
      <c r="G2" s="2"/>
      <c r="H2" s="11"/>
      <c r="I2" s="12"/>
    </row>
    <row r="3" spans="2:9" s="13" customFormat="1" x14ac:dyDescent="0.3">
      <c r="B3" s="6" t="s">
        <v>41</v>
      </c>
      <c r="C3" s="27"/>
      <c r="D3" s="27"/>
      <c r="E3" s="2"/>
      <c r="F3" s="2"/>
      <c r="G3" s="2"/>
      <c r="H3" s="11"/>
      <c r="I3" s="12"/>
    </row>
    <row r="4" spans="2:9" x14ac:dyDescent="0.3">
      <c r="B4" s="14" t="s">
        <v>25</v>
      </c>
      <c r="C4" s="88" t="s">
        <v>217</v>
      </c>
      <c r="D4" s="88"/>
    </row>
    <row r="5" spans="2:9" x14ac:dyDescent="0.3">
      <c r="B5" s="14" t="s">
        <v>26</v>
      </c>
      <c r="C5" s="88" t="s">
        <v>221</v>
      </c>
      <c r="D5" s="88"/>
    </row>
    <row r="6" spans="2:9" x14ac:dyDescent="0.3">
      <c r="B6" s="17" t="s">
        <v>23</v>
      </c>
      <c r="C6" s="18" t="s">
        <v>9</v>
      </c>
      <c r="D6" s="19"/>
    </row>
    <row r="7" spans="2:9" x14ac:dyDescent="0.3">
      <c r="B7" s="17" t="s">
        <v>27</v>
      </c>
      <c r="C7" s="18" t="s">
        <v>39</v>
      </c>
      <c r="D7" s="19"/>
    </row>
    <row r="8" spans="2:9" x14ac:dyDescent="0.3">
      <c r="B8" s="17" t="s">
        <v>141</v>
      </c>
      <c r="C8" s="20">
        <f>Allowance!$G$22</f>
        <v>5.3017307692307494</v>
      </c>
    </row>
    <row r="9" spans="2:9" x14ac:dyDescent="0.3">
      <c r="B9" s="16" t="s">
        <v>40</v>
      </c>
      <c r="C9" s="20">
        <v>5.3017307692307494</v>
      </c>
      <c r="D9" s="15"/>
      <c r="E9" s="15"/>
    </row>
    <row r="11" spans="2:9" x14ac:dyDescent="0.3">
      <c r="B11" s="6" t="s">
        <v>28</v>
      </c>
    </row>
    <row r="12" spans="2:9" x14ac:dyDescent="0.3">
      <c r="B12" s="21" t="s">
        <v>29</v>
      </c>
      <c r="F12" s="6" t="s">
        <v>30</v>
      </c>
    </row>
    <row r="13" spans="2:9" ht="104" x14ac:dyDescent="0.3">
      <c r="B13" s="17" t="s">
        <v>31</v>
      </c>
      <c r="C13" s="17" t="s">
        <v>168</v>
      </c>
      <c r="D13" s="45" t="s">
        <v>301</v>
      </c>
      <c r="E13" s="5"/>
      <c r="F13" s="40" t="s">
        <v>183</v>
      </c>
    </row>
    <row r="14" spans="2:9" x14ac:dyDescent="0.3">
      <c r="B14" s="17" t="s">
        <v>32</v>
      </c>
      <c r="C14" s="17" t="s">
        <v>164</v>
      </c>
      <c r="D14" s="17" t="s">
        <v>176</v>
      </c>
      <c r="E14" s="5"/>
      <c r="F14" s="40"/>
    </row>
    <row r="15" spans="2:9" x14ac:dyDescent="0.3">
      <c r="B15" s="17" t="s">
        <v>33</v>
      </c>
      <c r="C15" s="17" t="s">
        <v>164</v>
      </c>
      <c r="D15" s="17" t="s">
        <v>176</v>
      </c>
      <c r="E15" s="5"/>
      <c r="F15" s="40"/>
    </row>
    <row r="16" spans="2:9" ht="39" x14ac:dyDescent="0.3">
      <c r="B16" s="17" t="s">
        <v>34</v>
      </c>
      <c r="C16" s="17" t="s">
        <v>168</v>
      </c>
      <c r="D16" s="40" t="s">
        <v>268</v>
      </c>
      <c r="E16" s="5"/>
      <c r="F16" s="40" t="s">
        <v>302</v>
      </c>
    </row>
    <row r="17" spans="2:6" ht="39" x14ac:dyDescent="0.3">
      <c r="B17" s="17" t="s">
        <v>35</v>
      </c>
      <c r="C17" s="17" t="s">
        <v>168</v>
      </c>
      <c r="D17" s="40" t="s">
        <v>269</v>
      </c>
      <c r="E17" s="5"/>
      <c r="F17" s="40" t="s">
        <v>184</v>
      </c>
    </row>
    <row r="18" spans="2:6" ht="26" x14ac:dyDescent="0.3">
      <c r="B18" s="17" t="s">
        <v>36</v>
      </c>
      <c r="C18" s="17" t="s">
        <v>169</v>
      </c>
      <c r="D18" s="40" t="s">
        <v>241</v>
      </c>
      <c r="E18" s="5"/>
      <c r="F18" s="40"/>
    </row>
    <row r="19" spans="2:6" x14ac:dyDescent="0.3">
      <c r="B19" s="17" t="s">
        <v>37</v>
      </c>
      <c r="C19" s="17" t="s">
        <v>164</v>
      </c>
      <c r="D19" s="17" t="s">
        <v>176</v>
      </c>
      <c r="E19" s="5"/>
      <c r="F19" s="40"/>
    </row>
    <row r="20" spans="2:6" x14ac:dyDescent="0.3">
      <c r="B20" s="17" t="s">
        <v>38</v>
      </c>
      <c r="C20" s="17" t="s">
        <v>164</v>
      </c>
      <c r="D20" s="17" t="s">
        <v>176</v>
      </c>
      <c r="E20" s="5"/>
      <c r="F20" s="40"/>
    </row>
    <row r="21" spans="2:6" x14ac:dyDescent="0.3">
      <c r="B21" s="22"/>
      <c r="C21" s="22"/>
      <c r="D21" s="22"/>
      <c r="F21" s="22"/>
    </row>
    <row r="22" spans="2:6" x14ac:dyDescent="0.3">
      <c r="B22" s="21"/>
      <c r="C22" s="22"/>
      <c r="D22" s="22"/>
      <c r="F22" s="22"/>
    </row>
    <row r="23" spans="2:6" x14ac:dyDescent="0.3">
      <c r="B23" s="22"/>
      <c r="C23" s="22"/>
      <c r="D23" s="22"/>
      <c r="F23" s="22"/>
    </row>
    <row r="24" spans="2:6" x14ac:dyDescent="0.3">
      <c r="B24" s="22"/>
      <c r="C24" s="22"/>
      <c r="D24" s="22"/>
      <c r="F24" s="22"/>
    </row>
    <row r="25" spans="2:6" x14ac:dyDescent="0.3">
      <c r="B25" s="22"/>
      <c r="C25" s="22"/>
      <c r="D25" s="22"/>
      <c r="F25" s="22"/>
    </row>
    <row r="26" spans="2:6" x14ac:dyDescent="0.3">
      <c r="B26" s="22"/>
      <c r="C26" s="22"/>
      <c r="D26" s="22"/>
      <c r="F26" s="22"/>
    </row>
    <row r="27" spans="2:6" x14ac:dyDescent="0.3">
      <c r="B27" s="22"/>
      <c r="C27" s="22"/>
      <c r="D27" s="22"/>
      <c r="F27" s="22"/>
    </row>
    <row r="28" spans="2:6" x14ac:dyDescent="0.3">
      <c r="B28" s="22"/>
      <c r="C28" s="22"/>
      <c r="D28" s="22"/>
      <c r="F28" s="22"/>
    </row>
    <row r="39" spans="2:14" x14ac:dyDescent="0.3">
      <c r="B39" s="6"/>
    </row>
    <row r="42" spans="2:14" x14ac:dyDescent="0.3">
      <c r="B42" s="6"/>
    </row>
    <row r="47" spans="2:14" x14ac:dyDescent="0.3">
      <c r="N47" s="11"/>
    </row>
  </sheetData>
  <mergeCells count="2">
    <mergeCell ref="C4:D4"/>
    <mergeCell ref="C5:D5"/>
  </mergeCells>
  <dataValidations count="4">
    <dataValidation type="list" allowBlank="1" showInputMessage="1" showErrorMessage="1" sqref="C6">
      <formula1>"ANH,NES,NWT,SRN,SVE,SWB,TMS,WSH,WSX,YKY,AFW,BRL,HDD,PRT,SES,SEW,SSC"</formula1>
    </dataValidation>
    <dataValidation type="list" allowBlank="1" showInputMessage="1" showErrorMessage="1" sqref="C21:C28">
      <formula1>"Pass,Marginal pass, Partial pass, Fail, ,Not assessed, N/A"</formula1>
    </dataValidation>
    <dataValidation type="list" allowBlank="1" showInputMessage="1" showErrorMessage="1" sqref="C7">
      <formula1>"Wholesale water, Wholesale wastewater"</formula1>
    </dataValidation>
    <dataValidation type="list" allowBlank="1" showInputMessage="1" showErrorMessage="1" sqref="C13:C20">
      <formula1>"Pass, Partial pass, Fail, ,Not assessed, N/A"</formula1>
    </dataValidation>
  </dataValidation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L30"/>
  <sheetViews>
    <sheetView showGridLines="0" zoomScale="80" zoomScaleNormal="80" workbookViewId="0">
      <selection activeCell="R31" sqref="R31"/>
    </sheetView>
  </sheetViews>
  <sheetFormatPr defaultColWidth="9.1796875" defaultRowHeight="13" x14ac:dyDescent="0.3"/>
  <cols>
    <col min="1" max="1" width="2.7265625" style="2" customWidth="1"/>
    <col min="2" max="2" width="14.453125" style="2" customWidth="1"/>
    <col min="3" max="4" width="19.1796875" style="2" customWidth="1"/>
    <col min="5" max="5" width="15.7265625" style="2" customWidth="1"/>
    <col min="6" max="7" width="12.7265625" style="2" customWidth="1"/>
    <col min="8" max="8" width="13.1796875" style="2" customWidth="1"/>
    <col min="9" max="9" width="11.54296875" style="2" bestFit="1" customWidth="1"/>
    <col min="10" max="10" width="11.54296875" style="2" customWidth="1"/>
    <col min="11" max="11" width="14.54296875" style="2" customWidth="1"/>
    <col min="12" max="12" width="12.7265625" style="2" customWidth="1"/>
    <col min="13" max="14" width="9.1796875" style="2"/>
    <col min="15" max="15" width="9.26953125" style="2" customWidth="1"/>
    <col min="16" max="16384" width="9.1796875" style="2"/>
  </cols>
  <sheetData>
    <row r="1" spans="1:12" s="44" customFormat="1" ht="18.5" x14ac:dyDescent="0.45">
      <c r="A1" s="4" t="s">
        <v>150</v>
      </c>
      <c r="B1" s="4"/>
      <c r="C1" s="4"/>
      <c r="D1" s="4"/>
      <c r="E1" s="4"/>
      <c r="F1" s="4"/>
      <c r="G1" s="4"/>
      <c r="H1" s="4"/>
      <c r="I1" s="4"/>
      <c r="J1" s="4"/>
      <c r="K1" s="4"/>
    </row>
    <row r="3" spans="1:12" x14ac:dyDescent="0.3">
      <c r="B3" s="14" t="s">
        <v>25</v>
      </c>
      <c r="C3" s="28" t="s">
        <v>237</v>
      </c>
    </row>
    <row r="4" spans="1:12" x14ac:dyDescent="0.3">
      <c r="B4" s="14" t="s">
        <v>151</v>
      </c>
      <c r="C4" s="28"/>
      <c r="D4" s="29"/>
    </row>
    <row r="5" spans="1:12" x14ac:dyDescent="0.3">
      <c r="B5" s="14" t="s">
        <v>152</v>
      </c>
      <c r="C5" s="30" t="s">
        <v>24</v>
      </c>
      <c r="D5" s="15"/>
    </row>
    <row r="6" spans="1:12" x14ac:dyDescent="0.3">
      <c r="B6" s="14" t="s">
        <v>153</v>
      </c>
      <c r="C6" s="30" t="s">
        <v>144</v>
      </c>
      <c r="D6" s="15"/>
    </row>
    <row r="7" spans="1:12" x14ac:dyDescent="0.3">
      <c r="B7" s="32" t="s">
        <v>27</v>
      </c>
      <c r="C7" s="33" t="s">
        <v>39</v>
      </c>
      <c r="D7" s="29"/>
    </row>
    <row r="10" spans="1:12" ht="12.75" customHeight="1" x14ac:dyDescent="0.3">
      <c r="A10" s="6" t="s">
        <v>154</v>
      </c>
    </row>
    <row r="11" spans="1:12" ht="12.75" customHeight="1" x14ac:dyDescent="0.3">
      <c r="A11" s="31"/>
      <c r="B11" s="31"/>
      <c r="C11" s="31"/>
      <c r="D11" s="31"/>
      <c r="E11" s="31"/>
      <c r="F11" s="31"/>
      <c r="G11" s="31"/>
      <c r="H11" s="31"/>
      <c r="I11" s="34"/>
      <c r="J11" s="31"/>
    </row>
    <row r="12" spans="1:12" ht="52" x14ac:dyDescent="0.3">
      <c r="B12" s="7" t="s">
        <v>23</v>
      </c>
      <c r="C12" s="7" t="s">
        <v>155</v>
      </c>
      <c r="D12" s="7" t="s">
        <v>161</v>
      </c>
      <c r="E12" s="7" t="s">
        <v>162</v>
      </c>
      <c r="F12" s="7" t="s">
        <v>163</v>
      </c>
      <c r="G12" s="7" t="s">
        <v>197</v>
      </c>
      <c r="H12" s="8" t="s">
        <v>198</v>
      </c>
      <c r="I12" s="10" t="s">
        <v>156</v>
      </c>
      <c r="J12" s="7" t="s">
        <v>157</v>
      </c>
      <c r="K12" s="7" t="s">
        <v>158</v>
      </c>
      <c r="L12" s="7" t="s">
        <v>159</v>
      </c>
    </row>
    <row r="13" spans="1:12" x14ac:dyDescent="0.3">
      <c r="A13" s="35">
        <v>1</v>
      </c>
      <c r="B13" s="36" t="s">
        <v>0</v>
      </c>
      <c r="C13" s="23">
        <f>Analysis!H6</f>
        <v>358.04963129133279</v>
      </c>
      <c r="D13" s="78">
        <v>335.26500000000004</v>
      </c>
      <c r="E13" s="78">
        <v>3.8710632678375302E-2</v>
      </c>
      <c r="F13" s="79">
        <f>E13-D13</f>
        <v>-335.22628936732167</v>
      </c>
      <c r="G13" s="23">
        <f>C13+F13</f>
        <v>22.823341924011117</v>
      </c>
      <c r="H13" s="23">
        <f>Analysis!Q6</f>
        <v>15.519872508327561</v>
      </c>
      <c r="I13" s="77">
        <f>MIN(G13,H13)</f>
        <v>15.519872508327561</v>
      </c>
      <c r="J13" s="37">
        <v>6.6103895975401991E-3</v>
      </c>
      <c r="K13" s="23">
        <f>$I13*$J13</f>
        <v>0.10259240378419862</v>
      </c>
      <c r="L13" s="23">
        <f>$I13*(1-$J13)</f>
        <v>15.417280104543362</v>
      </c>
    </row>
    <row r="14" spans="1:12" x14ac:dyDescent="0.3">
      <c r="A14" s="35">
        <v>2</v>
      </c>
      <c r="B14" s="36" t="s">
        <v>140</v>
      </c>
      <c r="C14" s="23">
        <f>Analysis!H7</f>
        <v>1.65</v>
      </c>
      <c r="D14" s="78">
        <v>0</v>
      </c>
      <c r="E14" s="78">
        <v>0</v>
      </c>
      <c r="F14" s="79">
        <f t="shared" ref="F14:F29" si="0">E14-D14</f>
        <v>0</v>
      </c>
      <c r="G14" s="23">
        <f>C14+F14</f>
        <v>1.65</v>
      </c>
      <c r="H14" s="23">
        <f>Analysis!Q7</f>
        <v>1.65</v>
      </c>
      <c r="I14" s="77">
        <f>MIN(G14,H14)</f>
        <v>1.65</v>
      </c>
      <c r="J14" s="37">
        <v>0</v>
      </c>
      <c r="K14" s="23">
        <f>$I14*$J14</f>
        <v>0</v>
      </c>
      <c r="L14" s="23">
        <f>$I14*(1-$J14)</f>
        <v>1.65</v>
      </c>
    </row>
    <row r="15" spans="1:12" x14ac:dyDescent="0.3">
      <c r="A15" s="35">
        <v>3</v>
      </c>
      <c r="B15" s="36" t="s">
        <v>1</v>
      </c>
      <c r="C15" s="23">
        <f>Analysis!H8</f>
        <v>153.18699999999998</v>
      </c>
      <c r="D15" s="78">
        <v>53.20000000000001</v>
      </c>
      <c r="E15" s="78">
        <v>0</v>
      </c>
      <c r="F15" s="79">
        <f t="shared" si="0"/>
        <v>-53.20000000000001</v>
      </c>
      <c r="G15" s="23">
        <f t="shared" ref="G15:G29" si="1">C15+F15</f>
        <v>99.986999999999966</v>
      </c>
      <c r="H15" s="23">
        <f>Analysis!Q8</f>
        <v>50.986482746024585</v>
      </c>
      <c r="I15" s="77">
        <f t="shared" ref="I15:I29" si="2">MIN(G15,H15)</f>
        <v>50.986482746024585</v>
      </c>
      <c r="J15" s="37">
        <v>0</v>
      </c>
      <c r="K15" s="23">
        <f t="shared" ref="K15:K29" si="3">$I15*$J15</f>
        <v>0</v>
      </c>
      <c r="L15" s="23">
        <f t="shared" ref="L15:L29" si="4">$I15*(1-$J15)</f>
        <v>50.986482746024585</v>
      </c>
    </row>
    <row r="16" spans="1:12" x14ac:dyDescent="0.3">
      <c r="A16" s="35">
        <v>4</v>
      </c>
      <c r="B16" s="36" t="s">
        <v>2</v>
      </c>
      <c r="C16" s="23">
        <f>Analysis!H9</f>
        <v>107.93320076422924</v>
      </c>
      <c r="D16" s="78">
        <v>12.999999999999998</v>
      </c>
      <c r="E16" s="78">
        <v>0</v>
      </c>
      <c r="F16" s="79">
        <f t="shared" si="0"/>
        <v>-12.999999999999998</v>
      </c>
      <c r="G16" s="23">
        <f>C16+F16 - 72.681</f>
        <v>22.252200764229244</v>
      </c>
      <c r="H16" s="23">
        <f>Analysis!Q9</f>
        <v>22.252200764229244</v>
      </c>
      <c r="I16" s="77">
        <f t="shared" si="2"/>
        <v>22.252200764229244</v>
      </c>
      <c r="J16" s="37">
        <v>0</v>
      </c>
      <c r="K16" s="23">
        <f t="shared" si="3"/>
        <v>0</v>
      </c>
      <c r="L16" s="23">
        <f t="shared" si="4"/>
        <v>22.252200764229244</v>
      </c>
    </row>
    <row r="17" spans="1:12" x14ac:dyDescent="0.3">
      <c r="A17" s="35">
        <v>5</v>
      </c>
      <c r="B17" s="36" t="s">
        <v>3</v>
      </c>
      <c r="C17" s="23">
        <f>Analysis!H10</f>
        <v>0</v>
      </c>
      <c r="D17" s="78">
        <v>0</v>
      </c>
      <c r="E17" s="78">
        <v>0</v>
      </c>
      <c r="F17" s="79">
        <f t="shared" si="0"/>
        <v>0</v>
      </c>
      <c r="G17" s="23">
        <f t="shared" si="1"/>
        <v>0</v>
      </c>
      <c r="H17" s="23">
        <f>Analysis!Q10</f>
        <v>0</v>
      </c>
      <c r="I17" s="77">
        <f t="shared" si="2"/>
        <v>0</v>
      </c>
      <c r="J17" s="37">
        <v>0</v>
      </c>
      <c r="K17" s="23">
        <f t="shared" si="3"/>
        <v>0</v>
      </c>
      <c r="L17" s="23">
        <f t="shared" si="4"/>
        <v>0</v>
      </c>
    </row>
    <row r="18" spans="1:12" x14ac:dyDescent="0.3">
      <c r="A18" s="35">
        <v>6</v>
      </c>
      <c r="B18" s="36" t="s">
        <v>139</v>
      </c>
      <c r="C18" s="23">
        <f>Analysis!H11</f>
        <v>135.39600000000002</v>
      </c>
      <c r="D18" s="78">
        <v>0</v>
      </c>
      <c r="E18" s="78">
        <v>0</v>
      </c>
      <c r="F18" s="79">
        <f t="shared" si="0"/>
        <v>0</v>
      </c>
      <c r="G18" s="23">
        <f t="shared" si="1"/>
        <v>135.39600000000002</v>
      </c>
      <c r="H18" s="23">
        <f>Analysis!Q11</f>
        <v>107.15</v>
      </c>
      <c r="I18" s="77">
        <f t="shared" si="2"/>
        <v>107.15</v>
      </c>
      <c r="J18" s="37">
        <v>1.1078613843835858E-2</v>
      </c>
      <c r="K18" s="23">
        <f t="shared" si="3"/>
        <v>1.1870734733670123</v>
      </c>
      <c r="L18" s="23">
        <f t="shared" si="4"/>
        <v>105.96292652663298</v>
      </c>
    </row>
    <row r="19" spans="1:12" x14ac:dyDescent="0.3">
      <c r="A19" s="35">
        <v>7</v>
      </c>
      <c r="B19" s="36" t="s">
        <v>6</v>
      </c>
      <c r="C19" s="23">
        <f>Analysis!H12</f>
        <v>43.17</v>
      </c>
      <c r="D19" s="78">
        <v>12.89</v>
      </c>
      <c r="E19" s="78">
        <v>11.975</v>
      </c>
      <c r="F19" s="79">
        <f t="shared" si="0"/>
        <v>-0.91500000000000092</v>
      </c>
      <c r="G19" s="23">
        <f>C19+F19-33.264</f>
        <v>8.9909999999999997</v>
      </c>
      <c r="H19" s="23">
        <f>Analysis!Q12</f>
        <v>7.1928000000000001</v>
      </c>
      <c r="I19" s="77">
        <f t="shared" si="2"/>
        <v>7.1928000000000001</v>
      </c>
      <c r="J19" s="37">
        <v>0</v>
      </c>
      <c r="K19" s="23">
        <f t="shared" si="3"/>
        <v>0</v>
      </c>
      <c r="L19" s="23">
        <f t="shared" si="4"/>
        <v>7.1928000000000001</v>
      </c>
    </row>
    <row r="20" spans="1:12" x14ac:dyDescent="0.3">
      <c r="A20" s="35">
        <v>8</v>
      </c>
      <c r="B20" s="36" t="s">
        <v>7</v>
      </c>
      <c r="C20" s="23">
        <f>Analysis!H13</f>
        <v>208.77742507520003</v>
      </c>
      <c r="D20" s="78">
        <v>0</v>
      </c>
      <c r="E20" s="78">
        <v>0</v>
      </c>
      <c r="F20" s="79">
        <f t="shared" si="0"/>
        <v>0</v>
      </c>
      <c r="G20" s="23">
        <f t="shared" si="1"/>
        <v>208.77742507520003</v>
      </c>
      <c r="H20" s="23">
        <f>Analysis!Q13</f>
        <v>109.88581131392002</v>
      </c>
      <c r="I20" s="77">
        <f t="shared" si="2"/>
        <v>109.88581131392002</v>
      </c>
      <c r="J20" s="37">
        <v>0</v>
      </c>
      <c r="K20" s="23">
        <f t="shared" si="3"/>
        <v>0</v>
      </c>
      <c r="L20" s="23">
        <f t="shared" si="4"/>
        <v>109.88581131392002</v>
      </c>
    </row>
    <row r="21" spans="1:12" x14ac:dyDescent="0.3">
      <c r="A21" s="35">
        <v>9</v>
      </c>
      <c r="B21" s="36" t="s">
        <v>8</v>
      </c>
      <c r="C21" s="23">
        <f>Analysis!H14</f>
        <v>124.34699999999998</v>
      </c>
      <c r="D21" s="78">
        <v>85.920000000000016</v>
      </c>
      <c r="E21" s="78">
        <v>0</v>
      </c>
      <c r="F21" s="79">
        <f t="shared" si="0"/>
        <v>-85.920000000000016</v>
      </c>
      <c r="G21" s="23">
        <f>C21+F21</f>
        <v>38.426999999999964</v>
      </c>
      <c r="H21" s="23">
        <f>Analysis!Q14</f>
        <v>5.31</v>
      </c>
      <c r="I21" s="77">
        <f t="shared" si="2"/>
        <v>5.31</v>
      </c>
      <c r="J21" s="37">
        <v>0.24401071195927529</v>
      </c>
      <c r="K21" s="23">
        <f t="shared" si="3"/>
        <v>1.2956968805037516</v>
      </c>
      <c r="L21" s="23">
        <f t="shared" si="4"/>
        <v>4.0143031194962484</v>
      </c>
    </row>
    <row r="22" spans="1:12" x14ac:dyDescent="0.3">
      <c r="A22" s="35">
        <v>10</v>
      </c>
      <c r="B22" s="36" t="s">
        <v>9</v>
      </c>
      <c r="C22" s="23">
        <f>Analysis!H15</f>
        <v>8.5517307692307494</v>
      </c>
      <c r="D22" s="78">
        <v>3.25</v>
      </c>
      <c r="E22" s="78">
        <v>0</v>
      </c>
      <c r="F22" s="79">
        <f t="shared" si="0"/>
        <v>-3.25</v>
      </c>
      <c r="G22" s="23">
        <f t="shared" si="1"/>
        <v>5.3017307692307494</v>
      </c>
      <c r="H22" s="23">
        <f>Analysis!Q15</f>
        <v>5.3017307692307494</v>
      </c>
      <c r="I22" s="77">
        <f t="shared" si="2"/>
        <v>5.3017307692307494</v>
      </c>
      <c r="J22" s="37">
        <v>0</v>
      </c>
      <c r="K22" s="23">
        <f t="shared" si="3"/>
        <v>0</v>
      </c>
      <c r="L22" s="23">
        <f t="shared" si="4"/>
        <v>5.3017307692307494</v>
      </c>
    </row>
    <row r="23" spans="1:12" x14ac:dyDescent="0.3">
      <c r="A23" s="35">
        <v>11</v>
      </c>
      <c r="B23" s="36" t="s">
        <v>10</v>
      </c>
      <c r="C23" s="23">
        <f>Analysis!H16</f>
        <v>0</v>
      </c>
      <c r="D23" s="78">
        <v>0</v>
      </c>
      <c r="E23" s="78">
        <v>0</v>
      </c>
      <c r="F23" s="79">
        <f t="shared" si="0"/>
        <v>0</v>
      </c>
      <c r="G23" s="23">
        <f t="shared" si="1"/>
        <v>0</v>
      </c>
      <c r="H23" s="23">
        <f>Analysis!Q16</f>
        <v>0</v>
      </c>
      <c r="I23" s="77">
        <f t="shared" si="2"/>
        <v>0</v>
      </c>
      <c r="J23" s="37">
        <v>0</v>
      </c>
      <c r="K23" s="23">
        <f t="shared" si="3"/>
        <v>0</v>
      </c>
      <c r="L23" s="23">
        <f t="shared" si="4"/>
        <v>0</v>
      </c>
    </row>
    <row r="24" spans="1:12" x14ac:dyDescent="0.3">
      <c r="A24" s="35">
        <v>12</v>
      </c>
      <c r="B24" s="36" t="s">
        <v>11</v>
      </c>
      <c r="C24" s="23">
        <f>Analysis!H17</f>
        <v>3.3</v>
      </c>
      <c r="D24" s="78">
        <v>0</v>
      </c>
      <c r="E24" s="78">
        <v>2.0000000000000004</v>
      </c>
      <c r="F24" s="79">
        <f t="shared" si="0"/>
        <v>2.0000000000000004</v>
      </c>
      <c r="G24" s="23">
        <f t="shared" si="1"/>
        <v>5.3000000000000007</v>
      </c>
      <c r="H24" s="23">
        <f>Analysis!Q17</f>
        <v>3.0996723164817843</v>
      </c>
      <c r="I24" s="77">
        <f t="shared" si="2"/>
        <v>3.0996723164817843</v>
      </c>
      <c r="J24" s="37">
        <v>0</v>
      </c>
      <c r="K24" s="23">
        <f t="shared" si="3"/>
        <v>0</v>
      </c>
      <c r="L24" s="23">
        <f t="shared" si="4"/>
        <v>3.0996723164817843</v>
      </c>
    </row>
    <row r="25" spans="1:12" x14ac:dyDescent="0.3">
      <c r="A25" s="35">
        <v>13</v>
      </c>
      <c r="B25" s="36" t="s">
        <v>12</v>
      </c>
      <c r="C25" s="23">
        <f>Analysis!H18</f>
        <v>11.959999999999999</v>
      </c>
      <c r="D25" s="78">
        <v>11.96</v>
      </c>
      <c r="E25" s="78">
        <v>0</v>
      </c>
      <c r="F25" s="79">
        <f t="shared" si="0"/>
        <v>-11.96</v>
      </c>
      <c r="G25" s="23">
        <f t="shared" si="1"/>
        <v>0</v>
      </c>
      <c r="H25" s="23">
        <f>Analysis!Q18</f>
        <v>0</v>
      </c>
      <c r="I25" s="77">
        <f t="shared" si="2"/>
        <v>0</v>
      </c>
      <c r="J25" s="37">
        <v>0</v>
      </c>
      <c r="K25" s="23">
        <f t="shared" si="3"/>
        <v>0</v>
      </c>
      <c r="L25" s="23">
        <f t="shared" si="4"/>
        <v>0</v>
      </c>
    </row>
    <row r="26" spans="1:12" x14ac:dyDescent="0.3">
      <c r="A26" s="35">
        <v>14</v>
      </c>
      <c r="B26" s="36" t="s">
        <v>14</v>
      </c>
      <c r="C26" s="23">
        <f>Analysis!H19</f>
        <v>2.7930000000000001</v>
      </c>
      <c r="D26" s="78">
        <v>0.24499999999999997</v>
      </c>
      <c r="E26" s="78">
        <v>0</v>
      </c>
      <c r="F26" s="79">
        <f t="shared" si="0"/>
        <v>-0.24499999999999997</v>
      </c>
      <c r="G26" s="23">
        <f t="shared" si="1"/>
        <v>2.548</v>
      </c>
      <c r="H26" s="23">
        <f>Analysis!Q19</f>
        <v>2.548</v>
      </c>
      <c r="I26" s="77">
        <f t="shared" si="2"/>
        <v>2.548</v>
      </c>
      <c r="J26" s="37">
        <v>0</v>
      </c>
      <c r="K26" s="23">
        <f t="shared" si="3"/>
        <v>0</v>
      </c>
      <c r="L26" s="23">
        <f t="shared" si="4"/>
        <v>2.548</v>
      </c>
    </row>
    <row r="27" spans="1:12" x14ac:dyDescent="0.3">
      <c r="A27" s="35">
        <v>15</v>
      </c>
      <c r="B27" s="36" t="s">
        <v>15</v>
      </c>
      <c r="C27" s="23">
        <f>Analysis!H20</f>
        <v>8.8680000000000003</v>
      </c>
      <c r="D27" s="78">
        <v>0</v>
      </c>
      <c r="E27" s="78">
        <v>0</v>
      </c>
      <c r="F27" s="79">
        <f t="shared" si="0"/>
        <v>0</v>
      </c>
      <c r="G27" s="23">
        <f t="shared" si="1"/>
        <v>8.8680000000000003</v>
      </c>
      <c r="H27" s="23">
        <f>Analysis!Q20</f>
        <v>8.0573915382441186</v>
      </c>
      <c r="I27" s="77">
        <f t="shared" si="2"/>
        <v>8.0573915382441186</v>
      </c>
      <c r="J27" s="37">
        <v>0</v>
      </c>
      <c r="K27" s="23">
        <f t="shared" si="3"/>
        <v>0</v>
      </c>
      <c r="L27" s="23">
        <f t="shared" si="4"/>
        <v>8.0573915382441186</v>
      </c>
    </row>
    <row r="28" spans="1:12" x14ac:dyDescent="0.3">
      <c r="A28" s="35">
        <v>16</v>
      </c>
      <c r="B28" s="36" t="s">
        <v>16</v>
      </c>
      <c r="C28" s="23">
        <f>Analysis!H21</f>
        <v>33.960516557413662</v>
      </c>
      <c r="D28" s="78">
        <v>32.64</v>
      </c>
      <c r="E28" s="78">
        <v>0</v>
      </c>
      <c r="F28" s="79">
        <f t="shared" si="0"/>
        <v>-32.64</v>
      </c>
      <c r="G28" s="23">
        <f>C28+F28</f>
        <v>1.3205165574136615</v>
      </c>
      <c r="H28" s="23">
        <f>Analysis!Q21</f>
        <v>1.3092098249029223</v>
      </c>
      <c r="I28" s="77">
        <f t="shared" si="2"/>
        <v>1.3092098249029223</v>
      </c>
      <c r="J28" s="37">
        <v>1.1088898565366821E-2</v>
      </c>
      <c r="K28" s="23">
        <f t="shared" si="3"/>
        <v>1.4517694949130161E-2</v>
      </c>
      <c r="L28" s="23">
        <f t="shared" si="4"/>
        <v>1.2946921299537921</v>
      </c>
    </row>
    <row r="29" spans="1:12" x14ac:dyDescent="0.3">
      <c r="A29" s="35">
        <v>17</v>
      </c>
      <c r="B29" s="36" t="s">
        <v>17</v>
      </c>
      <c r="C29" s="23">
        <f>Analysis!H22</f>
        <v>6.417458141172478</v>
      </c>
      <c r="D29" s="78">
        <v>2.27</v>
      </c>
      <c r="E29" s="78">
        <v>0</v>
      </c>
      <c r="F29" s="79">
        <f t="shared" si="0"/>
        <v>-2.27</v>
      </c>
      <c r="G29" s="23">
        <f t="shared" si="1"/>
        <v>4.1474581411724785</v>
      </c>
      <c r="H29" s="23">
        <f>Analysis!Q22</f>
        <v>3.8622017733461615</v>
      </c>
      <c r="I29" s="77">
        <f t="shared" si="2"/>
        <v>3.8622017733461615</v>
      </c>
      <c r="J29" s="37">
        <v>8.7852838566444699E-2</v>
      </c>
      <c r="K29" s="23">
        <f t="shared" si="3"/>
        <v>0.33930538890481676</v>
      </c>
      <c r="L29" s="23">
        <f t="shared" si="4"/>
        <v>3.5228963844413448</v>
      </c>
    </row>
    <row r="30" spans="1:12" x14ac:dyDescent="0.3">
      <c r="B30" s="38" t="s">
        <v>160</v>
      </c>
      <c r="C30" s="76">
        <f t="shared" ref="C30:L30" si="5">SUM(C13:C29)</f>
        <v>1208.3609625985789</v>
      </c>
      <c r="D30" s="76">
        <f t="shared" si="5"/>
        <v>550.64</v>
      </c>
      <c r="E30" s="76">
        <f t="shared" si="5"/>
        <v>14.013710632678375</v>
      </c>
      <c r="F30" s="76">
        <f t="shared" si="5"/>
        <v>-536.62628936732165</v>
      </c>
      <c r="G30" s="76">
        <f t="shared" si="5"/>
        <v>565.78967323125721</v>
      </c>
      <c r="H30" s="76">
        <f t="shared" si="5"/>
        <v>344.12537355470715</v>
      </c>
      <c r="I30" s="76">
        <f t="shared" si="5"/>
        <v>344.12537355470715</v>
      </c>
      <c r="J30" s="39">
        <f t="shared" si="5"/>
        <v>0.36064145253246288</v>
      </c>
      <c r="K30" s="76">
        <f t="shared" si="5"/>
        <v>2.9391858415089098</v>
      </c>
      <c r="L30" s="76">
        <f t="shared" si="5"/>
        <v>341.18618771319825</v>
      </c>
    </row>
  </sheetData>
  <conditionalFormatting sqref="F13:F29">
    <cfRule type="cellIs" dxfId="1" priority="1" operator="lessThan">
      <formula>0</formula>
    </cfRule>
    <cfRule type="cellIs" dxfId="0" priority="2" operator="greaterThan">
      <formula>0</formula>
    </cfRule>
  </conditionalFormatting>
  <dataValidations count="1">
    <dataValidation type="list" allowBlank="1" showInputMessage="1" showErrorMessage="1" sqref="C7:H7">
      <formula1>"Wholesale water, Wholesale wastewater"</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115"/>
  <sheetViews>
    <sheetView showGridLines="0" workbookViewId="0">
      <pane xSplit="3" ySplit="7" topLeftCell="D77" activePane="bottomRight" state="frozen"/>
      <selection activeCell="C23" sqref="C23"/>
      <selection pane="topRight" activeCell="C23" sqref="C23"/>
      <selection pane="bottomLeft" activeCell="C23" sqref="C23"/>
      <selection pane="bottomRight" activeCell="E116" sqref="E116"/>
    </sheetView>
  </sheetViews>
  <sheetFormatPr defaultColWidth="8.54296875" defaultRowHeight="13" x14ac:dyDescent="0.3"/>
  <cols>
    <col min="1" max="1" width="10.54296875" style="55" customWidth="1"/>
    <col min="2" max="2" width="11.453125" style="55" customWidth="1"/>
    <col min="3" max="4" width="10.453125" style="55" customWidth="1"/>
    <col min="5" max="7" width="13.7265625" style="2" customWidth="1"/>
    <col min="8" max="16384" width="8.54296875" style="2"/>
  </cols>
  <sheetData>
    <row r="1" spans="1:9" s="44" customFormat="1" ht="18.5" x14ac:dyDescent="0.45">
      <c r="A1" s="80" t="s">
        <v>203</v>
      </c>
      <c r="B1" s="55"/>
      <c r="C1" s="55"/>
      <c r="D1" s="2"/>
      <c r="E1" s="2"/>
      <c r="F1" s="2"/>
      <c r="G1" s="2"/>
      <c r="H1" s="2"/>
      <c r="I1" s="2"/>
    </row>
    <row r="2" spans="1:9" ht="15.5" x14ac:dyDescent="0.3">
      <c r="A2" s="81" t="s">
        <v>191</v>
      </c>
      <c r="B2" s="2"/>
      <c r="C2" s="2"/>
      <c r="D2" s="2"/>
    </row>
    <row r="3" spans="1:9" x14ac:dyDescent="0.3">
      <c r="B3" s="2"/>
      <c r="C3" s="2"/>
      <c r="D3" s="2"/>
    </row>
    <row r="4" spans="1:9" x14ac:dyDescent="0.3">
      <c r="B4" s="2"/>
      <c r="C4" s="2"/>
      <c r="D4" s="2"/>
    </row>
    <row r="5" spans="1:9" x14ac:dyDescent="0.3">
      <c r="B5" s="2"/>
      <c r="C5" s="2"/>
      <c r="D5" s="2"/>
    </row>
    <row r="6" spans="1:9" s="56" customFormat="1" ht="26" x14ac:dyDescent="0.35">
      <c r="A6" s="82"/>
      <c r="B6" s="82"/>
      <c r="C6" s="82"/>
      <c r="D6" s="83" t="s">
        <v>189</v>
      </c>
      <c r="E6" s="83" t="s">
        <v>24</v>
      </c>
      <c r="F6" s="83" t="s">
        <v>143</v>
      </c>
      <c r="G6" s="83" t="s">
        <v>142</v>
      </c>
    </row>
    <row r="7" spans="1:9" ht="116.25" customHeight="1" x14ac:dyDescent="0.3">
      <c r="A7" s="82" t="s">
        <v>204</v>
      </c>
      <c r="B7" s="82" t="s">
        <v>23</v>
      </c>
      <c r="C7" s="82" t="s">
        <v>205</v>
      </c>
      <c r="D7" s="82" t="s">
        <v>189</v>
      </c>
      <c r="E7" s="82" t="s">
        <v>144</v>
      </c>
      <c r="F7" s="82" t="s">
        <v>146</v>
      </c>
      <c r="G7" s="82" t="s">
        <v>145</v>
      </c>
    </row>
    <row r="8" spans="1:9" x14ac:dyDescent="0.3">
      <c r="A8" s="59" t="s">
        <v>44</v>
      </c>
      <c r="B8" s="42" t="s">
        <v>0</v>
      </c>
      <c r="C8" s="42" t="s">
        <v>18</v>
      </c>
      <c r="D8" s="3">
        <f t="shared" ref="D8:D17" si="0">RIGHT(C8,2)+2000</f>
        <v>2021</v>
      </c>
      <c r="E8" s="57">
        <v>28.0032131150382</v>
      </c>
      <c r="F8" s="57">
        <v>28.0032131150382</v>
      </c>
      <c r="G8" s="58">
        <v>498.47770338281299</v>
      </c>
    </row>
    <row r="9" spans="1:9" x14ac:dyDescent="0.3">
      <c r="A9" s="59" t="s">
        <v>45</v>
      </c>
      <c r="B9" s="42" t="s">
        <v>0</v>
      </c>
      <c r="C9" s="42" t="s">
        <v>19</v>
      </c>
      <c r="D9" s="3">
        <f t="shared" si="0"/>
        <v>2022</v>
      </c>
      <c r="E9" s="57">
        <v>65.288420520791405</v>
      </c>
      <c r="F9" s="57">
        <v>65.288420520791405</v>
      </c>
      <c r="G9" s="58">
        <v>579.18202511472305</v>
      </c>
    </row>
    <row r="10" spans="1:9" x14ac:dyDescent="0.3">
      <c r="A10" s="59" t="s">
        <v>46</v>
      </c>
      <c r="B10" s="42" t="s">
        <v>0</v>
      </c>
      <c r="C10" s="42" t="s">
        <v>20</v>
      </c>
      <c r="D10" s="3">
        <f t="shared" si="0"/>
        <v>2023</v>
      </c>
      <c r="E10" s="57">
        <v>103.284862229843</v>
      </c>
      <c r="F10" s="57">
        <v>103.284862229843</v>
      </c>
      <c r="G10" s="58">
        <v>637.09420862741194</v>
      </c>
    </row>
    <row r="11" spans="1:9" x14ac:dyDescent="0.3">
      <c r="A11" s="59" t="s">
        <v>47</v>
      </c>
      <c r="B11" s="42" t="s">
        <v>0</v>
      </c>
      <c r="C11" s="42" t="s">
        <v>21</v>
      </c>
      <c r="D11" s="3">
        <f t="shared" si="0"/>
        <v>2024</v>
      </c>
      <c r="E11" s="57">
        <v>109.909064249436</v>
      </c>
      <c r="F11" s="57">
        <v>109.909064249436</v>
      </c>
      <c r="G11" s="58">
        <v>622.90395098778004</v>
      </c>
    </row>
    <row r="12" spans="1:9" x14ac:dyDescent="0.3">
      <c r="A12" s="59" t="s">
        <v>48</v>
      </c>
      <c r="B12" s="42" t="s">
        <v>0</v>
      </c>
      <c r="C12" s="42" t="s">
        <v>22</v>
      </c>
      <c r="D12" s="3">
        <f t="shared" si="0"/>
        <v>2025</v>
      </c>
      <c r="E12" s="57">
        <v>51.564071176224203</v>
      </c>
      <c r="F12" s="57">
        <v>51.564071176224203</v>
      </c>
      <c r="G12" s="58">
        <v>476.34762997356398</v>
      </c>
    </row>
    <row r="13" spans="1:9" x14ac:dyDescent="0.3">
      <c r="A13" s="59" t="s">
        <v>49</v>
      </c>
      <c r="B13" s="42" t="s">
        <v>1</v>
      </c>
      <c r="C13" s="42" t="s">
        <v>18</v>
      </c>
      <c r="D13" s="3">
        <f t="shared" si="0"/>
        <v>2021</v>
      </c>
      <c r="E13" s="57">
        <v>29.259</v>
      </c>
      <c r="F13" s="57">
        <v>29.259</v>
      </c>
      <c r="G13" s="58">
        <v>349.52199999999999</v>
      </c>
    </row>
    <row r="14" spans="1:9" x14ac:dyDescent="0.3">
      <c r="A14" s="59" t="s">
        <v>50</v>
      </c>
      <c r="B14" s="42" t="s">
        <v>1</v>
      </c>
      <c r="C14" s="42" t="s">
        <v>19</v>
      </c>
      <c r="D14" s="3">
        <f t="shared" si="0"/>
        <v>2022</v>
      </c>
      <c r="E14" s="57">
        <v>50.267000000000003</v>
      </c>
      <c r="F14" s="57">
        <v>50.267000000000003</v>
      </c>
      <c r="G14" s="58">
        <v>369.464</v>
      </c>
    </row>
    <row r="15" spans="1:9" x14ac:dyDescent="0.3">
      <c r="A15" s="59" t="s">
        <v>51</v>
      </c>
      <c r="B15" s="42" t="s">
        <v>1</v>
      </c>
      <c r="C15" s="42" t="s">
        <v>20</v>
      </c>
      <c r="D15" s="3">
        <f t="shared" si="0"/>
        <v>2023</v>
      </c>
      <c r="E15" s="57">
        <v>45.503999999999998</v>
      </c>
      <c r="F15" s="57">
        <v>45.503999999999998</v>
      </c>
      <c r="G15" s="58">
        <v>361.08300000000003</v>
      </c>
    </row>
    <row r="16" spans="1:9" x14ac:dyDescent="0.3">
      <c r="A16" s="59" t="s">
        <v>52</v>
      </c>
      <c r="B16" s="42" t="s">
        <v>1</v>
      </c>
      <c r="C16" s="42" t="s">
        <v>21</v>
      </c>
      <c r="D16" s="3">
        <f t="shared" si="0"/>
        <v>2024</v>
      </c>
      <c r="E16" s="57">
        <v>25.914999999999999</v>
      </c>
      <c r="F16" s="57">
        <v>25.914999999999999</v>
      </c>
      <c r="G16" s="58">
        <v>337.65199999999999</v>
      </c>
    </row>
    <row r="17" spans="1:7" x14ac:dyDescent="0.3">
      <c r="A17" s="59" t="s">
        <v>53</v>
      </c>
      <c r="B17" s="42" t="s">
        <v>1</v>
      </c>
      <c r="C17" s="42" t="s">
        <v>22</v>
      </c>
      <c r="D17" s="3">
        <f t="shared" si="0"/>
        <v>2025</v>
      </c>
      <c r="E17" s="57">
        <v>2.242</v>
      </c>
      <c r="F17" s="57">
        <v>2.242</v>
      </c>
      <c r="G17" s="58">
        <v>312.16300000000001</v>
      </c>
    </row>
    <row r="18" spans="1:7" x14ac:dyDescent="0.3">
      <c r="A18" s="59" t="s">
        <v>54</v>
      </c>
      <c r="B18" s="42" t="s">
        <v>2</v>
      </c>
      <c r="C18" s="42" t="s">
        <v>18</v>
      </c>
      <c r="D18" s="3">
        <f t="shared" ref="D18:D32" si="1">RIGHT(C18,2)+2000</f>
        <v>2021</v>
      </c>
      <c r="E18" s="57">
        <v>71.807416466479097</v>
      </c>
      <c r="F18" s="57">
        <v>71.807416466479097</v>
      </c>
      <c r="G18" s="58">
        <v>546.91416406629901</v>
      </c>
    </row>
    <row r="19" spans="1:7" x14ac:dyDescent="0.3">
      <c r="A19" s="59" t="s">
        <v>55</v>
      </c>
      <c r="B19" s="42" t="s">
        <v>2</v>
      </c>
      <c r="C19" s="42" t="s">
        <v>19</v>
      </c>
      <c r="D19" s="3">
        <f t="shared" si="1"/>
        <v>2022</v>
      </c>
      <c r="E19" s="57">
        <v>13.4604081416181</v>
      </c>
      <c r="F19" s="57">
        <v>13.4604081416181</v>
      </c>
      <c r="G19" s="58">
        <v>511.02602983742503</v>
      </c>
    </row>
    <row r="20" spans="1:7" x14ac:dyDescent="0.3">
      <c r="A20" s="59" t="s">
        <v>56</v>
      </c>
      <c r="B20" s="42" t="s">
        <v>2</v>
      </c>
      <c r="C20" s="42" t="s">
        <v>20</v>
      </c>
      <c r="D20" s="3">
        <f t="shared" si="1"/>
        <v>2023</v>
      </c>
      <c r="E20" s="57">
        <v>5.1579523724015797</v>
      </c>
      <c r="F20" s="57">
        <v>5.1579523724015797</v>
      </c>
      <c r="G20" s="58">
        <v>491.88321983896702</v>
      </c>
    </row>
    <row r="21" spans="1:7" x14ac:dyDescent="0.3">
      <c r="A21" s="59" t="s">
        <v>57</v>
      </c>
      <c r="B21" s="42" t="s">
        <v>2</v>
      </c>
      <c r="C21" s="42" t="s">
        <v>21</v>
      </c>
      <c r="D21" s="3">
        <f t="shared" si="1"/>
        <v>2024</v>
      </c>
      <c r="E21" s="57">
        <v>5.4351144670870601</v>
      </c>
      <c r="F21" s="57">
        <v>5.4351144670870601</v>
      </c>
      <c r="G21" s="58">
        <v>466.261810421863</v>
      </c>
    </row>
    <row r="22" spans="1:7" x14ac:dyDescent="0.3">
      <c r="A22" s="59" t="s">
        <v>58</v>
      </c>
      <c r="B22" s="42" t="s">
        <v>2</v>
      </c>
      <c r="C22" s="42" t="s">
        <v>22</v>
      </c>
      <c r="D22" s="3">
        <f t="shared" si="1"/>
        <v>2025</v>
      </c>
      <c r="E22" s="57">
        <v>12.0723093166434</v>
      </c>
      <c r="F22" s="57">
        <v>12.0723093166434</v>
      </c>
      <c r="G22" s="58">
        <v>461.41828629616703</v>
      </c>
    </row>
    <row r="23" spans="1:7" x14ac:dyDescent="0.3">
      <c r="A23" s="59" t="s">
        <v>59</v>
      </c>
      <c r="B23" s="42" t="s">
        <v>3</v>
      </c>
      <c r="C23" s="42" t="s">
        <v>18</v>
      </c>
      <c r="D23" s="3">
        <f t="shared" si="1"/>
        <v>2021</v>
      </c>
      <c r="E23" s="57">
        <v>0</v>
      </c>
      <c r="F23" s="57">
        <v>0</v>
      </c>
      <c r="G23" s="58">
        <v>250.37200000000001</v>
      </c>
    </row>
    <row r="24" spans="1:7" x14ac:dyDescent="0.3">
      <c r="A24" s="59" t="s">
        <v>60</v>
      </c>
      <c r="B24" s="42" t="s">
        <v>3</v>
      </c>
      <c r="C24" s="42" t="s">
        <v>19</v>
      </c>
      <c r="D24" s="3">
        <f t="shared" si="1"/>
        <v>2022</v>
      </c>
      <c r="E24" s="57">
        <v>0</v>
      </c>
      <c r="F24" s="57">
        <v>0</v>
      </c>
      <c r="G24" s="58">
        <v>250.60900000000001</v>
      </c>
    </row>
    <row r="25" spans="1:7" x14ac:dyDescent="0.3">
      <c r="A25" s="59" t="s">
        <v>61</v>
      </c>
      <c r="B25" s="42" t="s">
        <v>3</v>
      </c>
      <c r="C25" s="42" t="s">
        <v>20</v>
      </c>
      <c r="D25" s="3">
        <f t="shared" si="1"/>
        <v>2023</v>
      </c>
      <c r="E25" s="57">
        <v>0</v>
      </c>
      <c r="F25" s="57">
        <v>0</v>
      </c>
      <c r="G25" s="58">
        <v>233.85300000000001</v>
      </c>
    </row>
    <row r="26" spans="1:7" x14ac:dyDescent="0.3">
      <c r="A26" s="59" t="s">
        <v>62</v>
      </c>
      <c r="B26" s="42" t="s">
        <v>3</v>
      </c>
      <c r="C26" s="42" t="s">
        <v>21</v>
      </c>
      <c r="D26" s="3">
        <f t="shared" si="1"/>
        <v>2024</v>
      </c>
      <c r="E26" s="57">
        <v>0</v>
      </c>
      <c r="F26" s="57">
        <v>0</v>
      </c>
      <c r="G26" s="58">
        <v>230.23699999999999</v>
      </c>
    </row>
    <row r="27" spans="1:7" x14ac:dyDescent="0.3">
      <c r="A27" s="59" t="s">
        <v>63</v>
      </c>
      <c r="B27" s="42" t="s">
        <v>3</v>
      </c>
      <c r="C27" s="42" t="s">
        <v>22</v>
      </c>
      <c r="D27" s="3">
        <f t="shared" si="1"/>
        <v>2025</v>
      </c>
      <c r="E27" s="57">
        <v>0</v>
      </c>
      <c r="F27" s="57">
        <v>0</v>
      </c>
      <c r="G27" s="58">
        <v>261.53300000000002</v>
      </c>
    </row>
    <row r="28" spans="1:7" x14ac:dyDescent="0.3">
      <c r="A28" s="59" t="s">
        <v>64</v>
      </c>
      <c r="B28" s="42" t="s">
        <v>4</v>
      </c>
      <c r="C28" s="42" t="s">
        <v>18</v>
      </c>
      <c r="D28" s="3">
        <f t="shared" si="1"/>
        <v>2021</v>
      </c>
      <c r="E28" s="57">
        <v>0</v>
      </c>
      <c r="F28" s="57">
        <v>0</v>
      </c>
      <c r="G28" s="58">
        <v>0</v>
      </c>
    </row>
    <row r="29" spans="1:7" x14ac:dyDescent="0.3">
      <c r="A29" s="59" t="s">
        <v>65</v>
      </c>
      <c r="B29" s="42" t="s">
        <v>4</v>
      </c>
      <c r="C29" s="42" t="s">
        <v>19</v>
      </c>
      <c r="D29" s="3">
        <f t="shared" si="1"/>
        <v>2022</v>
      </c>
      <c r="E29" s="57">
        <v>0</v>
      </c>
      <c r="F29" s="57">
        <v>0</v>
      </c>
      <c r="G29" s="58">
        <v>0</v>
      </c>
    </row>
    <row r="30" spans="1:7" x14ac:dyDescent="0.3">
      <c r="A30" s="59" t="s">
        <v>66</v>
      </c>
      <c r="B30" s="42" t="s">
        <v>4</v>
      </c>
      <c r="C30" s="42" t="s">
        <v>20</v>
      </c>
      <c r="D30" s="3">
        <f t="shared" si="1"/>
        <v>2023</v>
      </c>
      <c r="E30" s="57">
        <v>0</v>
      </c>
      <c r="F30" s="57">
        <v>0</v>
      </c>
      <c r="G30" s="58">
        <v>0</v>
      </c>
    </row>
    <row r="31" spans="1:7" x14ac:dyDescent="0.3">
      <c r="A31" s="59" t="s">
        <v>67</v>
      </c>
      <c r="B31" s="42" t="s">
        <v>4</v>
      </c>
      <c r="C31" s="42" t="s">
        <v>21</v>
      </c>
      <c r="D31" s="3">
        <f t="shared" si="1"/>
        <v>2024</v>
      </c>
      <c r="E31" s="57">
        <v>0</v>
      </c>
      <c r="F31" s="57">
        <v>0</v>
      </c>
      <c r="G31" s="58">
        <v>0</v>
      </c>
    </row>
    <row r="32" spans="1:7" x14ac:dyDescent="0.3">
      <c r="A32" s="59" t="s">
        <v>68</v>
      </c>
      <c r="B32" s="42" t="s">
        <v>4</v>
      </c>
      <c r="C32" s="42" t="s">
        <v>22</v>
      </c>
      <c r="D32" s="3">
        <f t="shared" si="1"/>
        <v>2025</v>
      </c>
      <c r="E32" s="57">
        <v>0</v>
      </c>
      <c r="F32" s="57">
        <v>0</v>
      </c>
      <c r="G32" s="58">
        <v>0</v>
      </c>
    </row>
    <row r="33" spans="1:7" x14ac:dyDescent="0.3">
      <c r="A33" s="59" t="s">
        <v>69</v>
      </c>
      <c r="B33" s="42" t="s">
        <v>5</v>
      </c>
      <c r="C33" s="42" t="s">
        <v>18</v>
      </c>
      <c r="D33" s="3">
        <f t="shared" ref="D33:D47" si="2">RIGHT(C33,2)+2000</f>
        <v>2021</v>
      </c>
      <c r="E33" s="57">
        <v>0</v>
      </c>
      <c r="F33" s="57">
        <v>0</v>
      </c>
      <c r="G33" s="58">
        <v>0</v>
      </c>
    </row>
    <row r="34" spans="1:7" x14ac:dyDescent="0.3">
      <c r="A34" s="59" t="s">
        <v>70</v>
      </c>
      <c r="B34" s="42" t="s">
        <v>5</v>
      </c>
      <c r="C34" s="42" t="s">
        <v>19</v>
      </c>
      <c r="D34" s="3">
        <f t="shared" si="2"/>
        <v>2022</v>
      </c>
      <c r="E34" s="57">
        <v>0</v>
      </c>
      <c r="F34" s="57">
        <v>0</v>
      </c>
      <c r="G34" s="58">
        <v>0</v>
      </c>
    </row>
    <row r="35" spans="1:7" x14ac:dyDescent="0.3">
      <c r="A35" s="59" t="s">
        <v>71</v>
      </c>
      <c r="B35" s="42" t="s">
        <v>5</v>
      </c>
      <c r="C35" s="42" t="s">
        <v>20</v>
      </c>
      <c r="D35" s="3">
        <f t="shared" si="2"/>
        <v>2023</v>
      </c>
      <c r="E35" s="57">
        <v>0</v>
      </c>
      <c r="F35" s="57">
        <v>0</v>
      </c>
      <c r="G35" s="58">
        <v>0</v>
      </c>
    </row>
    <row r="36" spans="1:7" x14ac:dyDescent="0.3">
      <c r="A36" s="59" t="s">
        <v>72</v>
      </c>
      <c r="B36" s="42" t="s">
        <v>5</v>
      </c>
      <c r="C36" s="42" t="s">
        <v>21</v>
      </c>
      <c r="D36" s="3">
        <f t="shared" si="2"/>
        <v>2024</v>
      </c>
      <c r="E36" s="57">
        <v>0</v>
      </c>
      <c r="F36" s="57">
        <v>0</v>
      </c>
      <c r="G36" s="58">
        <v>0</v>
      </c>
    </row>
    <row r="37" spans="1:7" x14ac:dyDescent="0.3">
      <c r="A37" s="59" t="s">
        <v>73</v>
      </c>
      <c r="B37" s="42" t="s">
        <v>5</v>
      </c>
      <c r="C37" s="42" t="s">
        <v>22</v>
      </c>
      <c r="D37" s="3">
        <f t="shared" si="2"/>
        <v>2025</v>
      </c>
      <c r="E37" s="57">
        <v>0</v>
      </c>
      <c r="F37" s="57">
        <v>0</v>
      </c>
      <c r="G37" s="58">
        <v>0</v>
      </c>
    </row>
    <row r="38" spans="1:7" x14ac:dyDescent="0.3">
      <c r="A38" s="59" t="s">
        <v>74</v>
      </c>
      <c r="B38" s="42" t="s">
        <v>6</v>
      </c>
      <c r="C38" s="42" t="s">
        <v>18</v>
      </c>
      <c r="D38" s="3">
        <f t="shared" si="2"/>
        <v>2021</v>
      </c>
      <c r="E38" s="57">
        <v>2.8809999999999998</v>
      </c>
      <c r="F38" s="57">
        <v>2.8809999999999998</v>
      </c>
      <c r="G38" s="58">
        <v>164.92599999999999</v>
      </c>
    </row>
    <row r="39" spans="1:7" x14ac:dyDescent="0.3">
      <c r="A39" s="59" t="s">
        <v>75</v>
      </c>
      <c r="B39" s="42" t="s">
        <v>6</v>
      </c>
      <c r="C39" s="42" t="s">
        <v>19</v>
      </c>
      <c r="D39" s="3">
        <f t="shared" si="2"/>
        <v>2022</v>
      </c>
      <c r="E39" s="57">
        <v>5.5810000000000004</v>
      </c>
      <c r="F39" s="57">
        <v>5.5810000000000004</v>
      </c>
      <c r="G39" s="58">
        <v>179.66900000000001</v>
      </c>
    </row>
    <row r="40" spans="1:7" x14ac:dyDescent="0.3">
      <c r="A40" s="59" t="s">
        <v>76</v>
      </c>
      <c r="B40" s="42" t="s">
        <v>6</v>
      </c>
      <c r="C40" s="42" t="s">
        <v>20</v>
      </c>
      <c r="D40" s="3">
        <f t="shared" si="2"/>
        <v>2023</v>
      </c>
      <c r="E40" s="57">
        <v>11.398</v>
      </c>
      <c r="F40" s="57">
        <v>11.398</v>
      </c>
      <c r="G40" s="58">
        <v>192.19399999999999</v>
      </c>
    </row>
    <row r="41" spans="1:7" x14ac:dyDescent="0.3">
      <c r="A41" s="59" t="s">
        <v>77</v>
      </c>
      <c r="B41" s="42" t="s">
        <v>6</v>
      </c>
      <c r="C41" s="42" t="s">
        <v>21</v>
      </c>
      <c r="D41" s="3">
        <f t="shared" si="2"/>
        <v>2024</v>
      </c>
      <c r="E41" s="57">
        <v>11.670999999999999</v>
      </c>
      <c r="F41" s="57">
        <v>11.670999999999999</v>
      </c>
      <c r="G41" s="58">
        <v>181.702</v>
      </c>
    </row>
    <row r="42" spans="1:7" x14ac:dyDescent="0.3">
      <c r="A42" s="59" t="s">
        <v>78</v>
      </c>
      <c r="B42" s="42" t="s">
        <v>6</v>
      </c>
      <c r="C42" s="42" t="s">
        <v>22</v>
      </c>
      <c r="D42" s="3">
        <f t="shared" si="2"/>
        <v>2025</v>
      </c>
      <c r="E42" s="57">
        <v>11.638999999999999</v>
      </c>
      <c r="F42" s="57">
        <v>11.638999999999999</v>
      </c>
      <c r="G42" s="58">
        <v>175.761</v>
      </c>
    </row>
    <row r="43" spans="1:7" x14ac:dyDescent="0.3">
      <c r="A43" s="59" t="s">
        <v>79</v>
      </c>
      <c r="B43" s="42" t="s">
        <v>7</v>
      </c>
      <c r="C43" s="42" t="s">
        <v>18</v>
      </c>
      <c r="D43" s="3">
        <f t="shared" si="2"/>
        <v>2021</v>
      </c>
      <c r="E43" s="57">
        <v>19.027405353799999</v>
      </c>
      <c r="F43" s="57">
        <v>19.027405353799999</v>
      </c>
      <c r="G43" s="58">
        <v>1070.0059304862</v>
      </c>
    </row>
    <row r="44" spans="1:7" x14ac:dyDescent="0.3">
      <c r="A44" s="59" t="s">
        <v>80</v>
      </c>
      <c r="B44" s="42" t="s">
        <v>7</v>
      </c>
      <c r="C44" s="42" t="s">
        <v>19</v>
      </c>
      <c r="D44" s="3">
        <f t="shared" si="2"/>
        <v>2022</v>
      </c>
      <c r="E44" s="57">
        <v>37.1013504302</v>
      </c>
      <c r="F44" s="57">
        <v>37.1013504302</v>
      </c>
      <c r="G44" s="58">
        <v>1195.82265311585</v>
      </c>
    </row>
    <row r="45" spans="1:7" x14ac:dyDescent="0.3">
      <c r="A45" s="59" t="s">
        <v>81</v>
      </c>
      <c r="B45" s="42" t="s">
        <v>7</v>
      </c>
      <c r="C45" s="42" t="s">
        <v>20</v>
      </c>
      <c r="D45" s="3">
        <f t="shared" si="2"/>
        <v>2023</v>
      </c>
      <c r="E45" s="57">
        <v>52.818894925099997</v>
      </c>
      <c r="F45" s="57">
        <v>52.818894925099997</v>
      </c>
      <c r="G45" s="58">
        <v>1164.87342744906</v>
      </c>
    </row>
    <row r="46" spans="1:7" x14ac:dyDescent="0.3">
      <c r="A46" s="59" t="s">
        <v>82</v>
      </c>
      <c r="B46" s="42" t="s">
        <v>7</v>
      </c>
      <c r="C46" s="42" t="s">
        <v>21</v>
      </c>
      <c r="D46" s="3">
        <f t="shared" si="2"/>
        <v>2024</v>
      </c>
      <c r="E46" s="57">
        <v>56.890172806000002</v>
      </c>
      <c r="F46" s="57">
        <v>56.890172806000002</v>
      </c>
      <c r="G46" s="58">
        <v>1136.5628313935199</v>
      </c>
    </row>
    <row r="47" spans="1:7" x14ac:dyDescent="0.3">
      <c r="A47" s="59" t="s">
        <v>83</v>
      </c>
      <c r="B47" s="42" t="s">
        <v>7</v>
      </c>
      <c r="C47" s="42" t="s">
        <v>22</v>
      </c>
      <c r="D47" s="3">
        <f t="shared" si="2"/>
        <v>2025</v>
      </c>
      <c r="E47" s="57">
        <v>42.939601560100002</v>
      </c>
      <c r="F47" s="57">
        <v>42.939601560100002</v>
      </c>
      <c r="G47" s="58">
        <v>1090.9390820118099</v>
      </c>
    </row>
    <row r="48" spans="1:7" x14ac:dyDescent="0.3">
      <c r="A48" s="59" t="s">
        <v>84</v>
      </c>
      <c r="B48" s="42" t="s">
        <v>8</v>
      </c>
      <c r="C48" s="42" t="s">
        <v>18</v>
      </c>
      <c r="D48" s="3">
        <f t="shared" ref="D48:D60" si="3">RIGHT(C48,2)+2000</f>
        <v>2021</v>
      </c>
      <c r="E48" s="57">
        <v>23.634</v>
      </c>
      <c r="F48" s="57">
        <v>23.634</v>
      </c>
      <c r="G48" s="58">
        <v>329.959</v>
      </c>
    </row>
    <row r="49" spans="1:7" x14ac:dyDescent="0.3">
      <c r="A49" s="59" t="s">
        <v>85</v>
      </c>
      <c r="B49" s="42" t="s">
        <v>8</v>
      </c>
      <c r="C49" s="42" t="s">
        <v>19</v>
      </c>
      <c r="D49" s="3">
        <f t="shared" si="3"/>
        <v>2022</v>
      </c>
      <c r="E49" s="57">
        <v>26.867999999999999</v>
      </c>
      <c r="F49" s="57">
        <v>26.867999999999999</v>
      </c>
      <c r="G49" s="58">
        <v>343.76</v>
      </c>
    </row>
    <row r="50" spans="1:7" x14ac:dyDescent="0.3">
      <c r="A50" s="59" t="s">
        <v>86</v>
      </c>
      <c r="B50" s="42" t="s">
        <v>8</v>
      </c>
      <c r="C50" s="42" t="s">
        <v>20</v>
      </c>
      <c r="D50" s="3">
        <f t="shared" si="3"/>
        <v>2023</v>
      </c>
      <c r="E50" s="57">
        <v>24.663</v>
      </c>
      <c r="F50" s="57">
        <v>24.663</v>
      </c>
      <c r="G50" s="58">
        <v>335.88499999999999</v>
      </c>
    </row>
    <row r="51" spans="1:7" x14ac:dyDescent="0.3">
      <c r="A51" s="59" t="s">
        <v>87</v>
      </c>
      <c r="B51" s="42" t="s">
        <v>8</v>
      </c>
      <c r="C51" s="42" t="s">
        <v>21</v>
      </c>
      <c r="D51" s="3">
        <f t="shared" si="3"/>
        <v>2024</v>
      </c>
      <c r="E51" s="57">
        <v>24.695</v>
      </c>
      <c r="F51" s="57">
        <v>24.695</v>
      </c>
      <c r="G51" s="58">
        <v>322.13900000000001</v>
      </c>
    </row>
    <row r="52" spans="1:7" x14ac:dyDescent="0.3">
      <c r="A52" s="59" t="s">
        <v>88</v>
      </c>
      <c r="B52" s="42" t="s">
        <v>8</v>
      </c>
      <c r="C52" s="42" t="s">
        <v>22</v>
      </c>
      <c r="D52" s="3">
        <f t="shared" si="3"/>
        <v>2025</v>
      </c>
      <c r="E52" s="57">
        <v>24.486999999999998</v>
      </c>
      <c r="F52" s="57">
        <v>24.486999999999998</v>
      </c>
      <c r="G52" s="58">
        <v>314.649</v>
      </c>
    </row>
    <row r="53" spans="1:7" x14ac:dyDescent="0.3">
      <c r="A53" s="59" t="s">
        <v>89</v>
      </c>
      <c r="B53" s="42" t="s">
        <v>9</v>
      </c>
      <c r="C53" s="42" t="s">
        <v>18</v>
      </c>
      <c r="D53" s="3">
        <f t="shared" si="3"/>
        <v>2021</v>
      </c>
      <c r="E53" s="57">
        <v>1.71034615384615</v>
      </c>
      <c r="F53" s="57">
        <v>1.71034615384615</v>
      </c>
      <c r="G53" s="58">
        <v>136.11830693204701</v>
      </c>
    </row>
    <row r="54" spans="1:7" x14ac:dyDescent="0.3">
      <c r="A54" s="59" t="s">
        <v>90</v>
      </c>
      <c r="B54" s="42" t="s">
        <v>9</v>
      </c>
      <c r="C54" s="42" t="s">
        <v>19</v>
      </c>
      <c r="D54" s="3">
        <f t="shared" si="3"/>
        <v>2022</v>
      </c>
      <c r="E54" s="57">
        <v>1.71034615384615</v>
      </c>
      <c r="F54" s="57">
        <v>1.71034615384615</v>
      </c>
      <c r="G54" s="58">
        <v>127.600640139625</v>
      </c>
    </row>
    <row r="55" spans="1:7" x14ac:dyDescent="0.3">
      <c r="A55" s="59" t="s">
        <v>91</v>
      </c>
      <c r="B55" s="42" t="s">
        <v>9</v>
      </c>
      <c r="C55" s="42" t="s">
        <v>20</v>
      </c>
      <c r="D55" s="3">
        <f t="shared" si="3"/>
        <v>2023</v>
      </c>
      <c r="E55" s="57">
        <v>1.71034615384615</v>
      </c>
      <c r="F55" s="57">
        <v>1.71034615384615</v>
      </c>
      <c r="G55" s="58">
        <v>146.37373859446299</v>
      </c>
    </row>
    <row r="56" spans="1:7" x14ac:dyDescent="0.3">
      <c r="A56" s="59" t="s">
        <v>92</v>
      </c>
      <c r="B56" s="42" t="s">
        <v>9</v>
      </c>
      <c r="C56" s="42" t="s">
        <v>21</v>
      </c>
      <c r="D56" s="3">
        <f t="shared" si="3"/>
        <v>2024</v>
      </c>
      <c r="E56" s="57">
        <v>1.71034615384615</v>
      </c>
      <c r="F56" s="57">
        <v>1.71034615384615</v>
      </c>
      <c r="G56" s="58">
        <v>127.48123932778</v>
      </c>
    </row>
    <row r="57" spans="1:7" x14ac:dyDescent="0.3">
      <c r="A57" s="59" t="s">
        <v>93</v>
      </c>
      <c r="B57" s="42" t="s">
        <v>9</v>
      </c>
      <c r="C57" s="42" t="s">
        <v>22</v>
      </c>
      <c r="D57" s="3">
        <f t="shared" si="3"/>
        <v>2025</v>
      </c>
      <c r="E57" s="57">
        <v>1.71034615384615</v>
      </c>
      <c r="F57" s="57">
        <v>1.71034615384615</v>
      </c>
      <c r="G57" s="58">
        <v>122.774642789297</v>
      </c>
    </row>
    <row r="58" spans="1:7" x14ac:dyDescent="0.3">
      <c r="A58" s="59" t="s">
        <v>94</v>
      </c>
      <c r="B58" s="42" t="s">
        <v>10</v>
      </c>
      <c r="C58" s="42" t="s">
        <v>18</v>
      </c>
      <c r="D58" s="3">
        <f t="shared" si="3"/>
        <v>2021</v>
      </c>
      <c r="E58" s="57">
        <v>0</v>
      </c>
      <c r="F58" s="57">
        <v>0</v>
      </c>
      <c r="G58" s="58">
        <v>414.65499999999997</v>
      </c>
    </row>
    <row r="59" spans="1:7" x14ac:dyDescent="0.3">
      <c r="A59" s="59" t="s">
        <v>95</v>
      </c>
      <c r="B59" s="42" t="s">
        <v>10</v>
      </c>
      <c r="C59" s="42" t="s">
        <v>19</v>
      </c>
      <c r="D59" s="3">
        <f t="shared" si="3"/>
        <v>2022</v>
      </c>
      <c r="E59" s="57">
        <v>0</v>
      </c>
      <c r="F59" s="57">
        <v>0</v>
      </c>
      <c r="G59" s="58">
        <v>412.077</v>
      </c>
    </row>
    <row r="60" spans="1:7" x14ac:dyDescent="0.3">
      <c r="A60" s="59" t="s">
        <v>96</v>
      </c>
      <c r="B60" s="42" t="s">
        <v>10</v>
      </c>
      <c r="C60" s="42" t="s">
        <v>20</v>
      </c>
      <c r="D60" s="3">
        <f t="shared" si="3"/>
        <v>2023</v>
      </c>
      <c r="E60" s="57">
        <v>0</v>
      </c>
      <c r="F60" s="57">
        <v>0</v>
      </c>
      <c r="G60" s="58">
        <v>420.154</v>
      </c>
    </row>
    <row r="61" spans="1:7" x14ac:dyDescent="0.3">
      <c r="A61" s="59" t="s">
        <v>97</v>
      </c>
      <c r="B61" s="42" t="s">
        <v>10</v>
      </c>
      <c r="C61" s="42" t="s">
        <v>21</v>
      </c>
      <c r="D61" s="3">
        <f t="shared" ref="D61:D72" si="4">RIGHT(C61,2)+2000</f>
        <v>2024</v>
      </c>
      <c r="E61" s="57">
        <v>0</v>
      </c>
      <c r="F61" s="57">
        <v>0</v>
      </c>
      <c r="G61" s="58">
        <v>402.70400000000001</v>
      </c>
    </row>
    <row r="62" spans="1:7" x14ac:dyDescent="0.3">
      <c r="A62" s="59" t="s">
        <v>98</v>
      </c>
      <c r="B62" s="42" t="s">
        <v>10</v>
      </c>
      <c r="C62" s="42" t="s">
        <v>22</v>
      </c>
      <c r="D62" s="3">
        <f t="shared" si="4"/>
        <v>2025</v>
      </c>
      <c r="E62" s="57">
        <v>0</v>
      </c>
      <c r="F62" s="57">
        <v>0</v>
      </c>
      <c r="G62" s="58">
        <v>374.83300000000003</v>
      </c>
    </row>
    <row r="63" spans="1:7" x14ac:dyDescent="0.3">
      <c r="A63" s="59" t="s">
        <v>99</v>
      </c>
      <c r="B63" s="42" t="s">
        <v>11</v>
      </c>
      <c r="C63" s="42" t="s">
        <v>18</v>
      </c>
      <c r="D63" s="3">
        <f t="shared" si="4"/>
        <v>2021</v>
      </c>
      <c r="E63" s="57">
        <v>1.65</v>
      </c>
      <c r="F63" s="57">
        <v>1.65</v>
      </c>
      <c r="G63" s="58">
        <v>294.21575712666902</v>
      </c>
    </row>
    <row r="64" spans="1:7" x14ac:dyDescent="0.3">
      <c r="A64" s="59" t="s">
        <v>100</v>
      </c>
      <c r="B64" s="42" t="s">
        <v>11</v>
      </c>
      <c r="C64" s="42" t="s">
        <v>19</v>
      </c>
      <c r="D64" s="3">
        <f t="shared" si="4"/>
        <v>2022</v>
      </c>
      <c r="E64" s="57">
        <v>1.65</v>
      </c>
      <c r="F64" s="57">
        <v>1.65</v>
      </c>
      <c r="G64" s="58">
        <v>293.25057516172097</v>
      </c>
    </row>
    <row r="65" spans="1:7" x14ac:dyDescent="0.3">
      <c r="A65" s="59" t="s">
        <v>101</v>
      </c>
      <c r="B65" s="42" t="s">
        <v>11</v>
      </c>
      <c r="C65" s="42" t="s">
        <v>20</v>
      </c>
      <c r="D65" s="3">
        <f t="shared" si="4"/>
        <v>2023</v>
      </c>
      <c r="E65" s="57">
        <v>0</v>
      </c>
      <c r="F65" s="57">
        <v>0</v>
      </c>
      <c r="G65" s="58">
        <v>281.71299825291601</v>
      </c>
    </row>
    <row r="66" spans="1:7" x14ac:dyDescent="0.3">
      <c r="A66" s="59" t="s">
        <v>102</v>
      </c>
      <c r="B66" s="42" t="s">
        <v>11</v>
      </c>
      <c r="C66" s="42" t="s">
        <v>21</v>
      </c>
      <c r="D66" s="3">
        <f t="shared" si="4"/>
        <v>2024</v>
      </c>
      <c r="E66" s="57">
        <v>0</v>
      </c>
      <c r="F66" s="57">
        <v>0</v>
      </c>
      <c r="G66" s="58">
        <v>263.00993647553798</v>
      </c>
    </row>
    <row r="67" spans="1:7" x14ac:dyDescent="0.3">
      <c r="A67" s="59" t="s">
        <v>103</v>
      </c>
      <c r="B67" s="42" t="s">
        <v>11</v>
      </c>
      <c r="C67" s="42" t="s">
        <v>22</v>
      </c>
      <c r="D67" s="3">
        <f t="shared" si="4"/>
        <v>2025</v>
      </c>
      <c r="E67" s="57">
        <v>0</v>
      </c>
      <c r="F67" s="57">
        <v>0</v>
      </c>
      <c r="G67" s="58">
        <v>236.27183602763799</v>
      </c>
    </row>
    <row r="68" spans="1:7" x14ac:dyDescent="0.3">
      <c r="A68" s="59" t="s">
        <v>104</v>
      </c>
      <c r="B68" s="42" t="s">
        <v>12</v>
      </c>
      <c r="C68" s="42" t="s">
        <v>18</v>
      </c>
      <c r="D68" s="3">
        <f t="shared" si="4"/>
        <v>2021</v>
      </c>
      <c r="E68" s="57">
        <v>2.3919999999999999</v>
      </c>
      <c r="F68" s="57">
        <v>2.3919999999999999</v>
      </c>
      <c r="G68" s="58">
        <v>90.980999999999995</v>
      </c>
    </row>
    <row r="69" spans="1:7" x14ac:dyDescent="0.3">
      <c r="A69" s="59" t="s">
        <v>105</v>
      </c>
      <c r="B69" s="42" t="s">
        <v>12</v>
      </c>
      <c r="C69" s="42" t="s">
        <v>19</v>
      </c>
      <c r="D69" s="3">
        <f t="shared" si="4"/>
        <v>2022</v>
      </c>
      <c r="E69" s="57">
        <v>2.3919999999999999</v>
      </c>
      <c r="F69" s="57">
        <v>2.3919999999999999</v>
      </c>
      <c r="G69" s="58">
        <v>90.581999999999994</v>
      </c>
    </row>
    <row r="70" spans="1:7" x14ac:dyDescent="0.3">
      <c r="A70" s="59" t="s">
        <v>106</v>
      </c>
      <c r="B70" s="42" t="s">
        <v>12</v>
      </c>
      <c r="C70" s="42" t="s">
        <v>20</v>
      </c>
      <c r="D70" s="3">
        <f t="shared" si="4"/>
        <v>2023</v>
      </c>
      <c r="E70" s="57">
        <v>2.3919999999999999</v>
      </c>
      <c r="F70" s="57">
        <v>2.3919999999999999</v>
      </c>
      <c r="G70" s="58">
        <v>91.372</v>
      </c>
    </row>
    <row r="71" spans="1:7" x14ac:dyDescent="0.3">
      <c r="A71" s="59" t="s">
        <v>107</v>
      </c>
      <c r="B71" s="42" t="s">
        <v>12</v>
      </c>
      <c r="C71" s="42" t="s">
        <v>21</v>
      </c>
      <c r="D71" s="3">
        <f t="shared" si="4"/>
        <v>2024</v>
      </c>
      <c r="E71" s="57">
        <v>2.3919999999999999</v>
      </c>
      <c r="F71" s="57">
        <v>2.3919999999999999</v>
      </c>
      <c r="G71" s="58">
        <v>91.606999999999999</v>
      </c>
    </row>
    <row r="72" spans="1:7" x14ac:dyDescent="0.3">
      <c r="A72" s="59" t="s">
        <v>108</v>
      </c>
      <c r="B72" s="42" t="s">
        <v>12</v>
      </c>
      <c r="C72" s="42" t="s">
        <v>22</v>
      </c>
      <c r="D72" s="3">
        <f t="shared" si="4"/>
        <v>2025</v>
      </c>
      <c r="E72" s="57">
        <v>2.3919999999999999</v>
      </c>
      <c r="F72" s="57">
        <v>2.3919999999999999</v>
      </c>
      <c r="G72" s="58">
        <v>92.655000000000001</v>
      </c>
    </row>
    <row r="73" spans="1:7" x14ac:dyDescent="0.3">
      <c r="A73" s="59" t="s">
        <v>109</v>
      </c>
      <c r="B73" s="42" t="s">
        <v>43</v>
      </c>
      <c r="C73" s="42" t="s">
        <v>18</v>
      </c>
      <c r="D73" s="3">
        <f t="shared" ref="D73:D87" si="5">RIGHT(C73,2)+2000</f>
        <v>2021</v>
      </c>
      <c r="E73" s="57">
        <v>0</v>
      </c>
      <c r="F73" s="57">
        <v>0</v>
      </c>
      <c r="G73" s="58">
        <v>0</v>
      </c>
    </row>
    <row r="74" spans="1:7" x14ac:dyDescent="0.3">
      <c r="A74" s="59" t="s">
        <v>110</v>
      </c>
      <c r="B74" s="42" t="s">
        <v>43</v>
      </c>
      <c r="C74" s="42" t="s">
        <v>19</v>
      </c>
      <c r="D74" s="3">
        <f t="shared" si="5"/>
        <v>2022</v>
      </c>
      <c r="E74" s="57">
        <v>0</v>
      </c>
      <c r="F74" s="57">
        <v>0</v>
      </c>
      <c r="G74" s="58">
        <v>0</v>
      </c>
    </row>
    <row r="75" spans="1:7" x14ac:dyDescent="0.3">
      <c r="A75" s="59" t="s">
        <v>111</v>
      </c>
      <c r="B75" s="42" t="s">
        <v>43</v>
      </c>
      <c r="C75" s="42" t="s">
        <v>20</v>
      </c>
      <c r="D75" s="3">
        <f t="shared" si="5"/>
        <v>2023</v>
      </c>
      <c r="E75" s="57">
        <v>0</v>
      </c>
      <c r="F75" s="57">
        <v>0</v>
      </c>
      <c r="G75" s="58">
        <v>0</v>
      </c>
    </row>
    <row r="76" spans="1:7" x14ac:dyDescent="0.3">
      <c r="A76" s="59" t="s">
        <v>112</v>
      </c>
      <c r="B76" s="42" t="s">
        <v>43</v>
      </c>
      <c r="C76" s="42" t="s">
        <v>21</v>
      </c>
      <c r="D76" s="3">
        <f t="shared" si="5"/>
        <v>2024</v>
      </c>
      <c r="E76" s="57">
        <v>0</v>
      </c>
      <c r="F76" s="57">
        <v>0</v>
      </c>
      <c r="G76" s="58">
        <v>0</v>
      </c>
    </row>
    <row r="77" spans="1:7" x14ac:dyDescent="0.3">
      <c r="A77" s="59" t="s">
        <v>113</v>
      </c>
      <c r="B77" s="42" t="s">
        <v>43</v>
      </c>
      <c r="C77" s="42" t="s">
        <v>22</v>
      </c>
      <c r="D77" s="3">
        <f t="shared" si="5"/>
        <v>2025</v>
      </c>
      <c r="E77" s="57">
        <v>0</v>
      </c>
      <c r="F77" s="57">
        <v>0</v>
      </c>
      <c r="G77" s="58">
        <v>0</v>
      </c>
    </row>
    <row r="78" spans="1:7" x14ac:dyDescent="0.3">
      <c r="A78" s="59" t="s">
        <v>114</v>
      </c>
      <c r="B78" s="42" t="s">
        <v>13</v>
      </c>
      <c r="C78" s="42" t="s">
        <v>18</v>
      </c>
      <c r="D78" s="3">
        <f t="shared" si="5"/>
        <v>2021</v>
      </c>
      <c r="E78" s="57">
        <v>0</v>
      </c>
      <c r="F78" s="57">
        <v>0</v>
      </c>
      <c r="G78" s="58">
        <v>0</v>
      </c>
    </row>
    <row r="79" spans="1:7" x14ac:dyDescent="0.3">
      <c r="A79" s="59" t="s">
        <v>115</v>
      </c>
      <c r="B79" s="42" t="s">
        <v>13</v>
      </c>
      <c r="C79" s="42" t="s">
        <v>19</v>
      </c>
      <c r="D79" s="3">
        <f t="shared" si="5"/>
        <v>2022</v>
      </c>
      <c r="E79" s="57">
        <v>0</v>
      </c>
      <c r="F79" s="57">
        <v>0</v>
      </c>
      <c r="G79" s="58">
        <v>0</v>
      </c>
    </row>
    <row r="80" spans="1:7" x14ac:dyDescent="0.3">
      <c r="A80" s="59" t="s">
        <v>116</v>
      </c>
      <c r="B80" s="42" t="s">
        <v>13</v>
      </c>
      <c r="C80" s="42" t="s">
        <v>20</v>
      </c>
      <c r="D80" s="3">
        <f t="shared" si="5"/>
        <v>2023</v>
      </c>
      <c r="E80" s="57">
        <v>0</v>
      </c>
      <c r="F80" s="57">
        <v>0</v>
      </c>
      <c r="G80" s="58">
        <v>0</v>
      </c>
    </row>
    <row r="81" spans="1:7" x14ac:dyDescent="0.3">
      <c r="A81" s="59" t="s">
        <v>117</v>
      </c>
      <c r="B81" s="42" t="s">
        <v>13</v>
      </c>
      <c r="C81" s="42" t="s">
        <v>21</v>
      </c>
      <c r="D81" s="3">
        <f t="shared" si="5"/>
        <v>2024</v>
      </c>
      <c r="E81" s="57">
        <v>0</v>
      </c>
      <c r="F81" s="57">
        <v>0</v>
      </c>
      <c r="G81" s="58">
        <v>0</v>
      </c>
    </row>
    <row r="82" spans="1:7" x14ac:dyDescent="0.3">
      <c r="A82" s="59" t="s">
        <v>118</v>
      </c>
      <c r="B82" s="42" t="s">
        <v>13</v>
      </c>
      <c r="C82" s="42" t="s">
        <v>22</v>
      </c>
      <c r="D82" s="3">
        <f t="shared" si="5"/>
        <v>2025</v>
      </c>
      <c r="E82" s="57">
        <v>0</v>
      </c>
      <c r="F82" s="57">
        <v>0</v>
      </c>
      <c r="G82" s="58">
        <v>0</v>
      </c>
    </row>
    <row r="83" spans="1:7" x14ac:dyDescent="0.3">
      <c r="A83" s="59" t="s">
        <v>119</v>
      </c>
      <c r="B83" s="42" t="s">
        <v>14</v>
      </c>
      <c r="C83" s="42" t="s">
        <v>18</v>
      </c>
      <c r="D83" s="3">
        <f t="shared" si="5"/>
        <v>2021</v>
      </c>
      <c r="E83" s="57">
        <v>0</v>
      </c>
      <c r="F83" s="57">
        <v>0</v>
      </c>
      <c r="G83" s="58">
        <v>40.406999999999996</v>
      </c>
    </row>
    <row r="84" spans="1:7" x14ac:dyDescent="0.3">
      <c r="A84" s="59" t="s">
        <v>120</v>
      </c>
      <c r="B84" s="42" t="s">
        <v>14</v>
      </c>
      <c r="C84" s="42" t="s">
        <v>19</v>
      </c>
      <c r="D84" s="3">
        <f t="shared" si="5"/>
        <v>2022</v>
      </c>
      <c r="E84" s="57">
        <v>0</v>
      </c>
      <c r="F84" s="57">
        <v>0</v>
      </c>
      <c r="G84" s="58">
        <v>38.174999999999997</v>
      </c>
    </row>
    <row r="85" spans="1:7" x14ac:dyDescent="0.3">
      <c r="A85" s="59" t="s">
        <v>121</v>
      </c>
      <c r="B85" s="42" t="s">
        <v>14</v>
      </c>
      <c r="C85" s="42" t="s">
        <v>20</v>
      </c>
      <c r="D85" s="3">
        <f t="shared" si="5"/>
        <v>2023</v>
      </c>
      <c r="E85" s="57">
        <v>0.185</v>
      </c>
      <c r="F85" s="57">
        <v>0.185</v>
      </c>
      <c r="G85" s="58">
        <v>38.857999999999997</v>
      </c>
    </row>
    <row r="86" spans="1:7" x14ac:dyDescent="0.3">
      <c r="A86" s="59" t="s">
        <v>122</v>
      </c>
      <c r="B86" s="42" t="s">
        <v>14</v>
      </c>
      <c r="C86" s="42" t="s">
        <v>21</v>
      </c>
      <c r="D86" s="3">
        <f t="shared" si="5"/>
        <v>2024</v>
      </c>
      <c r="E86" s="57">
        <v>1.27</v>
      </c>
      <c r="F86" s="57">
        <v>1.27</v>
      </c>
      <c r="G86" s="58">
        <v>51.771999999999998</v>
      </c>
    </row>
    <row r="87" spans="1:7" x14ac:dyDescent="0.3">
      <c r="A87" s="59" t="s">
        <v>123</v>
      </c>
      <c r="B87" s="42" t="s">
        <v>14</v>
      </c>
      <c r="C87" s="42" t="s">
        <v>22</v>
      </c>
      <c r="D87" s="3">
        <f t="shared" si="5"/>
        <v>2025</v>
      </c>
      <c r="E87" s="57">
        <v>1.3380000000000001</v>
      </c>
      <c r="F87" s="57">
        <v>1.3380000000000001</v>
      </c>
      <c r="G87" s="58">
        <v>54.731999999999999</v>
      </c>
    </row>
    <row r="88" spans="1:7" x14ac:dyDescent="0.3">
      <c r="A88" s="59" t="s">
        <v>124</v>
      </c>
      <c r="B88" s="42" t="s">
        <v>15</v>
      </c>
      <c r="C88" s="42" t="s">
        <v>18</v>
      </c>
      <c r="D88" s="3">
        <f t="shared" ref="D88:D97" si="6">RIGHT(C88,2)+2000</f>
        <v>2021</v>
      </c>
      <c r="E88" s="57">
        <v>1.643</v>
      </c>
      <c r="F88" s="57">
        <v>1.643</v>
      </c>
      <c r="G88" s="58">
        <v>52.654000000000003</v>
      </c>
    </row>
    <row r="89" spans="1:7" x14ac:dyDescent="0.3">
      <c r="A89" s="59" t="s">
        <v>125</v>
      </c>
      <c r="B89" s="42" t="s">
        <v>15</v>
      </c>
      <c r="C89" s="42" t="s">
        <v>19</v>
      </c>
      <c r="D89" s="3">
        <f t="shared" si="6"/>
        <v>2022</v>
      </c>
      <c r="E89" s="57">
        <v>5.1100000000000003</v>
      </c>
      <c r="F89" s="57">
        <v>5.1100000000000003</v>
      </c>
      <c r="G89" s="58">
        <v>57.351999999999997</v>
      </c>
    </row>
    <row r="90" spans="1:7" x14ac:dyDescent="0.3">
      <c r="A90" s="59" t="s">
        <v>126</v>
      </c>
      <c r="B90" s="42" t="s">
        <v>15</v>
      </c>
      <c r="C90" s="42" t="s">
        <v>20</v>
      </c>
      <c r="D90" s="3">
        <f t="shared" si="6"/>
        <v>2023</v>
      </c>
      <c r="E90" s="57">
        <v>1.923</v>
      </c>
      <c r="F90" s="57">
        <v>1.923</v>
      </c>
      <c r="G90" s="58">
        <v>51.917999999999999</v>
      </c>
    </row>
    <row r="91" spans="1:7" x14ac:dyDescent="0.3">
      <c r="A91" s="59" t="s">
        <v>127</v>
      </c>
      <c r="B91" s="42" t="s">
        <v>15</v>
      </c>
      <c r="C91" s="42" t="s">
        <v>21</v>
      </c>
      <c r="D91" s="3">
        <f t="shared" si="6"/>
        <v>2024</v>
      </c>
      <c r="E91" s="57">
        <v>9.6000000000000002E-2</v>
      </c>
      <c r="F91" s="57">
        <v>9.6000000000000002E-2</v>
      </c>
      <c r="G91" s="58">
        <v>46.165999999999997</v>
      </c>
    </row>
    <row r="92" spans="1:7" x14ac:dyDescent="0.3">
      <c r="A92" s="59" t="s">
        <v>128</v>
      </c>
      <c r="B92" s="42" t="s">
        <v>15</v>
      </c>
      <c r="C92" s="42" t="s">
        <v>22</v>
      </c>
      <c r="D92" s="3">
        <f t="shared" si="6"/>
        <v>2025</v>
      </c>
      <c r="E92" s="57">
        <v>9.6000000000000002E-2</v>
      </c>
      <c r="F92" s="57">
        <v>9.6000000000000002E-2</v>
      </c>
      <c r="G92" s="58">
        <v>45.219000000000001</v>
      </c>
    </row>
    <row r="93" spans="1:7" x14ac:dyDescent="0.3">
      <c r="A93" s="59" t="s">
        <v>129</v>
      </c>
      <c r="B93" s="42" t="s">
        <v>16</v>
      </c>
      <c r="C93" s="42" t="s">
        <v>18</v>
      </c>
      <c r="D93" s="3">
        <f t="shared" si="6"/>
        <v>2021</v>
      </c>
      <c r="E93" s="57">
        <v>1.371984221188</v>
      </c>
      <c r="F93" s="57">
        <v>1.371984221188</v>
      </c>
      <c r="G93" s="58">
        <v>172.16200000000001</v>
      </c>
    </row>
    <row r="94" spans="1:7" x14ac:dyDescent="0.3">
      <c r="A94" s="59" t="s">
        <v>130</v>
      </c>
      <c r="B94" s="42" t="s">
        <v>16</v>
      </c>
      <c r="C94" s="42" t="s">
        <v>19</v>
      </c>
      <c r="D94" s="3">
        <f t="shared" si="6"/>
        <v>2022</v>
      </c>
      <c r="E94" s="57">
        <v>6.8894675735061703</v>
      </c>
      <c r="F94" s="57">
        <v>6.8894675735061703</v>
      </c>
      <c r="G94" s="58">
        <v>199.673</v>
      </c>
    </row>
    <row r="95" spans="1:7" x14ac:dyDescent="0.3">
      <c r="A95" s="59" t="s">
        <v>131</v>
      </c>
      <c r="B95" s="42" t="s">
        <v>16</v>
      </c>
      <c r="C95" s="42" t="s">
        <v>20</v>
      </c>
      <c r="D95" s="3">
        <f t="shared" si="6"/>
        <v>2023</v>
      </c>
      <c r="E95" s="57">
        <v>11.709482952484899</v>
      </c>
      <c r="F95" s="57">
        <v>11.709482952484899</v>
      </c>
      <c r="G95" s="58">
        <v>208.291</v>
      </c>
    </row>
    <row r="96" spans="1:7" x14ac:dyDescent="0.3">
      <c r="A96" s="59" t="s">
        <v>132</v>
      </c>
      <c r="B96" s="42" t="s">
        <v>16</v>
      </c>
      <c r="C96" s="42" t="s">
        <v>21</v>
      </c>
      <c r="D96" s="3">
        <f t="shared" si="6"/>
        <v>2024</v>
      </c>
      <c r="E96" s="57">
        <v>5.5898608650105999</v>
      </c>
      <c r="F96" s="57">
        <v>5.5898608650105999</v>
      </c>
      <c r="G96" s="58">
        <v>186.22200000000001</v>
      </c>
    </row>
    <row r="97" spans="1:7" x14ac:dyDescent="0.3">
      <c r="A97" s="59" t="s">
        <v>133</v>
      </c>
      <c r="B97" s="42" t="s">
        <v>16</v>
      </c>
      <c r="C97" s="42" t="s">
        <v>22</v>
      </c>
      <c r="D97" s="3">
        <f t="shared" si="6"/>
        <v>2025</v>
      </c>
      <c r="E97" s="57">
        <v>8.39972094522399</v>
      </c>
      <c r="F97" s="57">
        <v>8.39972094522399</v>
      </c>
      <c r="G97" s="58">
        <v>194.59899999999999</v>
      </c>
    </row>
    <row r="98" spans="1:7" x14ac:dyDescent="0.3">
      <c r="A98" s="59" t="s">
        <v>134</v>
      </c>
      <c r="B98" s="42" t="s">
        <v>17</v>
      </c>
      <c r="C98" s="42" t="s">
        <v>18</v>
      </c>
      <c r="D98" s="3">
        <f t="shared" ref="D98:D112" si="7">RIGHT(C98,2)+2000</f>
        <v>2021</v>
      </c>
      <c r="E98" s="57">
        <v>1.29753554233982</v>
      </c>
      <c r="F98" s="57">
        <v>1.29753554233982</v>
      </c>
      <c r="G98" s="58">
        <v>112.527432753265</v>
      </c>
    </row>
    <row r="99" spans="1:7" x14ac:dyDescent="0.3">
      <c r="A99" s="59" t="s">
        <v>135</v>
      </c>
      <c r="B99" s="42" t="s">
        <v>17</v>
      </c>
      <c r="C99" s="42" t="s">
        <v>19</v>
      </c>
      <c r="D99" s="3">
        <f t="shared" si="7"/>
        <v>2022</v>
      </c>
      <c r="E99" s="57">
        <v>1.4135504849490299</v>
      </c>
      <c r="F99" s="57">
        <v>1.4135504849490299</v>
      </c>
      <c r="G99" s="58">
        <v>116.29561663750501</v>
      </c>
    </row>
    <row r="100" spans="1:7" x14ac:dyDescent="0.3">
      <c r="A100" s="59" t="s">
        <v>136</v>
      </c>
      <c r="B100" s="42" t="s">
        <v>17</v>
      </c>
      <c r="C100" s="42" t="s">
        <v>20</v>
      </c>
      <c r="D100" s="3">
        <f t="shared" si="7"/>
        <v>2023</v>
      </c>
      <c r="E100" s="57">
        <v>1.90915817837608</v>
      </c>
      <c r="F100" s="57">
        <v>1.90915817837608</v>
      </c>
      <c r="G100" s="58">
        <v>117.955781425252</v>
      </c>
    </row>
    <row r="101" spans="1:7" x14ac:dyDescent="0.3">
      <c r="A101" s="59" t="s">
        <v>137</v>
      </c>
      <c r="B101" s="42" t="s">
        <v>17</v>
      </c>
      <c r="C101" s="42" t="s">
        <v>21</v>
      </c>
      <c r="D101" s="3">
        <f t="shared" si="7"/>
        <v>2024</v>
      </c>
      <c r="E101" s="57">
        <v>1.00851586075197</v>
      </c>
      <c r="F101" s="57">
        <v>1.00851586075197</v>
      </c>
      <c r="G101" s="58">
        <v>94.121966414052807</v>
      </c>
    </row>
    <row r="102" spans="1:7" x14ac:dyDescent="0.3">
      <c r="A102" s="59" t="s">
        <v>138</v>
      </c>
      <c r="B102" s="42" t="s">
        <v>17</v>
      </c>
      <c r="C102" s="42" t="s">
        <v>22</v>
      </c>
      <c r="D102" s="3">
        <f t="shared" si="7"/>
        <v>2025</v>
      </c>
      <c r="E102" s="57">
        <v>0.78869807475557796</v>
      </c>
      <c r="F102" s="57">
        <v>0.78869807475557796</v>
      </c>
      <c r="G102" s="58">
        <v>97.128204442325099</v>
      </c>
    </row>
    <row r="103" spans="1:7" x14ac:dyDescent="0.3">
      <c r="A103" s="59" t="s">
        <v>206</v>
      </c>
      <c r="B103" s="42" t="s">
        <v>139</v>
      </c>
      <c r="C103" s="42" t="s">
        <v>18</v>
      </c>
      <c r="D103" s="3">
        <f t="shared" si="7"/>
        <v>2021</v>
      </c>
      <c r="E103" s="57">
        <v>26.398</v>
      </c>
      <c r="F103" s="57">
        <v>26.398</v>
      </c>
      <c r="G103" s="58">
        <v>575.06571742576398</v>
      </c>
    </row>
    <row r="104" spans="1:7" x14ac:dyDescent="0.3">
      <c r="A104" s="59" t="s">
        <v>207</v>
      </c>
      <c r="B104" s="42" t="s">
        <v>139</v>
      </c>
      <c r="C104" s="42" t="s">
        <v>19</v>
      </c>
      <c r="D104" s="3">
        <f t="shared" si="7"/>
        <v>2022</v>
      </c>
      <c r="E104" s="57">
        <v>27.881</v>
      </c>
      <c r="F104" s="57">
        <v>27.881</v>
      </c>
      <c r="G104" s="58">
        <v>631.12859132579104</v>
      </c>
    </row>
    <row r="105" spans="1:7" x14ac:dyDescent="0.3">
      <c r="A105" s="59" t="s">
        <v>208</v>
      </c>
      <c r="B105" s="42" t="s">
        <v>139</v>
      </c>
      <c r="C105" s="42" t="s">
        <v>20</v>
      </c>
      <c r="D105" s="3">
        <f t="shared" si="7"/>
        <v>2023</v>
      </c>
      <c r="E105" s="57">
        <v>26.858000000000001</v>
      </c>
      <c r="F105" s="57">
        <v>26.858000000000001</v>
      </c>
      <c r="G105" s="58">
        <v>643.43469392974998</v>
      </c>
    </row>
    <row r="106" spans="1:7" x14ac:dyDescent="0.3">
      <c r="A106" s="59" t="s">
        <v>209</v>
      </c>
      <c r="B106" s="42" t="s">
        <v>139</v>
      </c>
      <c r="C106" s="42" t="s">
        <v>21</v>
      </c>
      <c r="D106" s="3">
        <f t="shared" si="7"/>
        <v>2024</v>
      </c>
      <c r="E106" s="57">
        <v>27.972999999999999</v>
      </c>
      <c r="F106" s="57">
        <v>27.972999999999999</v>
      </c>
      <c r="G106" s="58">
        <v>635.41164547131598</v>
      </c>
    </row>
    <row r="107" spans="1:7" x14ac:dyDescent="0.3">
      <c r="A107" s="59" t="s">
        <v>210</v>
      </c>
      <c r="B107" s="42" t="s">
        <v>139</v>
      </c>
      <c r="C107" s="42" t="s">
        <v>22</v>
      </c>
      <c r="D107" s="3">
        <f t="shared" si="7"/>
        <v>2025</v>
      </c>
      <c r="E107" s="57">
        <v>26.286000000000001</v>
      </c>
      <c r="F107" s="57">
        <v>26.286000000000001</v>
      </c>
      <c r="G107" s="58">
        <v>630.76354224170598</v>
      </c>
    </row>
    <row r="108" spans="1:7" x14ac:dyDescent="0.3">
      <c r="A108" s="59" t="s">
        <v>211</v>
      </c>
      <c r="B108" s="42" t="s">
        <v>140</v>
      </c>
      <c r="C108" s="42" t="s">
        <v>18</v>
      </c>
      <c r="D108" s="3">
        <f t="shared" si="7"/>
        <v>2021</v>
      </c>
      <c r="E108" s="57">
        <v>0.23</v>
      </c>
      <c r="F108" s="57">
        <v>0.23</v>
      </c>
      <c r="G108" s="58">
        <v>26.872050951823599</v>
      </c>
    </row>
    <row r="109" spans="1:7" x14ac:dyDescent="0.3">
      <c r="A109" s="59" t="s">
        <v>212</v>
      </c>
      <c r="B109" s="42" t="s">
        <v>140</v>
      </c>
      <c r="C109" s="42" t="s">
        <v>19</v>
      </c>
      <c r="D109" s="3">
        <f t="shared" si="7"/>
        <v>2022</v>
      </c>
      <c r="E109" s="57">
        <v>0.48</v>
      </c>
      <c r="F109" s="57">
        <v>0.48</v>
      </c>
      <c r="G109" s="58">
        <v>26.692718899269298</v>
      </c>
    </row>
    <row r="110" spans="1:7" x14ac:dyDescent="0.3">
      <c r="A110" s="59" t="s">
        <v>213</v>
      </c>
      <c r="B110" s="42" t="s">
        <v>140</v>
      </c>
      <c r="C110" s="42" t="s">
        <v>20</v>
      </c>
      <c r="D110" s="3">
        <f t="shared" si="7"/>
        <v>2023</v>
      </c>
      <c r="E110" s="57">
        <v>0.48</v>
      </c>
      <c r="F110" s="57">
        <v>0.48</v>
      </c>
      <c r="G110" s="58">
        <v>26.203587153191499</v>
      </c>
    </row>
    <row r="111" spans="1:7" x14ac:dyDescent="0.3">
      <c r="A111" s="59" t="s">
        <v>214</v>
      </c>
      <c r="B111" s="42" t="s">
        <v>140</v>
      </c>
      <c r="C111" s="42" t="s">
        <v>21</v>
      </c>
      <c r="D111" s="3">
        <f t="shared" si="7"/>
        <v>2024</v>
      </c>
      <c r="E111" s="57">
        <v>0.23</v>
      </c>
      <c r="F111" s="57">
        <v>0.23</v>
      </c>
      <c r="G111" s="58">
        <v>25.616950688549899</v>
      </c>
    </row>
    <row r="112" spans="1:7" x14ac:dyDescent="0.3">
      <c r="A112" s="59" t="s">
        <v>215</v>
      </c>
      <c r="B112" s="42" t="s">
        <v>140</v>
      </c>
      <c r="C112" s="42" t="s">
        <v>22</v>
      </c>
      <c r="D112" s="3">
        <f t="shared" si="7"/>
        <v>2025</v>
      </c>
      <c r="E112" s="57">
        <v>0.23</v>
      </c>
      <c r="F112" s="57">
        <v>0.23</v>
      </c>
      <c r="G112" s="58">
        <v>25.9173372120738</v>
      </c>
    </row>
    <row r="113" spans="4:7" x14ac:dyDescent="0.3">
      <c r="D113" s="2"/>
      <c r="E113" s="52"/>
      <c r="F113" s="52"/>
    </row>
    <row r="114" spans="4:7" x14ac:dyDescent="0.3">
      <c r="D114" s="2"/>
      <c r="E114" s="52"/>
      <c r="F114" s="52"/>
      <c r="G114" s="52"/>
    </row>
    <row r="115" spans="4:7" x14ac:dyDescent="0.3">
      <c r="D115"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23"/>
  <sheetViews>
    <sheetView showGridLines="0" zoomScale="80" zoomScaleNormal="80" workbookViewId="0">
      <selection activeCell="S21" sqref="S21"/>
    </sheetView>
  </sheetViews>
  <sheetFormatPr defaultColWidth="9.1796875" defaultRowHeight="13" x14ac:dyDescent="0.3"/>
  <cols>
    <col min="1" max="1" width="2.7265625" style="2" customWidth="1"/>
    <col min="2" max="16384" width="9.1796875" style="2"/>
  </cols>
  <sheetData>
    <row r="1" spans="1:17" s="44" customFormat="1" ht="18.5" x14ac:dyDescent="0.45">
      <c r="A1" s="64" t="s">
        <v>190</v>
      </c>
    </row>
    <row r="2" spans="1:17" x14ac:dyDescent="0.3">
      <c r="B2" s="65" t="s">
        <v>191</v>
      </c>
    </row>
    <row r="4" spans="1:17" x14ac:dyDescent="0.3">
      <c r="B4" s="75" t="str">
        <f>Data!E7</f>
        <v>£m, Enhancement capex water - Resilience</v>
      </c>
    </row>
    <row r="5" spans="1:17" ht="91" x14ac:dyDescent="0.3">
      <c r="C5" s="66">
        <v>2021</v>
      </c>
      <c r="D5" s="66">
        <v>2022</v>
      </c>
      <c r="E5" s="66">
        <v>2023</v>
      </c>
      <c r="F5" s="66">
        <v>2024</v>
      </c>
      <c r="G5" s="66">
        <v>2025</v>
      </c>
      <c r="H5" s="67" t="s">
        <v>192</v>
      </c>
      <c r="I5" s="67" t="s">
        <v>199</v>
      </c>
      <c r="J5" s="67" t="s">
        <v>42</v>
      </c>
      <c r="L5" s="67" t="s">
        <v>193</v>
      </c>
      <c r="M5" s="67" t="s">
        <v>148</v>
      </c>
      <c r="N5" s="67" t="s">
        <v>149</v>
      </c>
      <c r="O5" s="67" t="s">
        <v>194</v>
      </c>
      <c r="P5" s="67" t="s">
        <v>195</v>
      </c>
      <c r="Q5" s="67" t="s">
        <v>196</v>
      </c>
    </row>
    <row r="6" spans="1:17" x14ac:dyDescent="0.3">
      <c r="B6" s="68" t="s">
        <v>0</v>
      </c>
      <c r="C6" s="23">
        <f>SUMIFS(Data!$E:$E,Data!$B:$B,$B6,Data!$D:$D,C$5)</f>
        <v>28.0032131150382</v>
      </c>
      <c r="D6" s="23">
        <f>SUMIFS(Data!$E:$E,Data!$B:$B,$B6,Data!$D:$D,D$5)</f>
        <v>65.288420520791405</v>
      </c>
      <c r="E6" s="23">
        <f>SUMIFS(Data!$E:$E,Data!$B:$B,$B6,Data!$D:$D,E$5)</f>
        <v>103.284862229843</v>
      </c>
      <c r="F6" s="23">
        <f>SUMIFS(Data!$E:$E,Data!$B:$B,$B6,Data!$D:$D,F$5)</f>
        <v>109.909064249436</v>
      </c>
      <c r="G6" s="23">
        <f>SUMIFS(Data!$E:$E,Data!$B:$B,$B6,Data!$D:$D,G$5)</f>
        <v>51.564071176224203</v>
      </c>
      <c r="H6" s="69">
        <f t="shared" ref="H6:H23" si="0">SUM(C6:G6)</f>
        <v>358.04963129133279</v>
      </c>
      <c r="I6" s="69">
        <f>Allowance!C13-Allowance!G13</f>
        <v>335.22628936732167</v>
      </c>
      <c r="J6" s="69">
        <f>H6-I6</f>
        <v>22.823341924011117</v>
      </c>
      <c r="L6" s="70">
        <f>SUMIFS(Data!$G:$G,Data!$B:$B,$B6)</f>
        <v>2814.0055180862919</v>
      </c>
      <c r="M6" s="71">
        <f t="shared" ref="M6:M23" si="1">H6/L6</f>
        <v>0.1272384254366459</v>
      </c>
      <c r="N6" s="23">
        <v>0.15</v>
      </c>
      <c r="O6" s="23"/>
      <c r="P6" s="23">
        <f>'Deep dive ANH'!$B$9</f>
        <v>15.519872508327561</v>
      </c>
      <c r="Q6" s="69">
        <f t="shared" ref="Q6:Q22" si="2">O6+P6</f>
        <v>15.519872508327561</v>
      </c>
    </row>
    <row r="7" spans="1:17" x14ac:dyDescent="0.3">
      <c r="B7" s="68" t="s">
        <v>140</v>
      </c>
      <c r="C7" s="23">
        <f>SUMIFS(Data!$E:$E,Data!$B:$B,$B7,Data!$D:$D,C$5)</f>
        <v>0.23</v>
      </c>
      <c r="D7" s="23">
        <f>SUMIFS(Data!$E:$E,Data!$B:$B,$B7,Data!$D:$D,D$5)</f>
        <v>0.48</v>
      </c>
      <c r="E7" s="23">
        <f>SUMIFS(Data!$E:$E,Data!$B:$B,$B7,Data!$D:$D,E$5)</f>
        <v>0.48</v>
      </c>
      <c r="F7" s="23">
        <f>SUMIFS(Data!$E:$E,Data!$B:$B,$B7,Data!$D:$D,F$5)</f>
        <v>0.23</v>
      </c>
      <c r="G7" s="23">
        <f>SUMIFS(Data!$E:$E,Data!$B:$B,$B7,Data!$D:$D,G$5)</f>
        <v>0.23</v>
      </c>
      <c r="H7" s="69">
        <f t="shared" si="0"/>
        <v>1.65</v>
      </c>
      <c r="I7" s="69">
        <f>Allowance!C14-Allowance!G14</f>
        <v>0</v>
      </c>
      <c r="J7" s="69">
        <f t="shared" ref="J7:J22" si="3">H7-I7</f>
        <v>1.65</v>
      </c>
      <c r="L7" s="70">
        <f>SUMIFS(Data!$G:$G,Data!$B:$B,$B7)</f>
        <v>131.30264490490808</v>
      </c>
      <c r="M7" s="71">
        <f t="shared" si="1"/>
        <v>1.2566388142409179E-2</v>
      </c>
      <c r="N7" s="23">
        <v>0</v>
      </c>
      <c r="O7" s="23">
        <f>J7*(1-N7)</f>
        <v>1.65</v>
      </c>
      <c r="P7" s="23"/>
      <c r="Q7" s="69">
        <f t="shared" si="2"/>
        <v>1.65</v>
      </c>
    </row>
    <row r="8" spans="1:17" x14ac:dyDescent="0.3">
      <c r="B8" s="68" t="s">
        <v>1</v>
      </c>
      <c r="C8" s="23">
        <f>SUMIFS(Data!$E:$E,Data!$B:$B,$B8,Data!$D:$D,C$5)</f>
        <v>29.259</v>
      </c>
      <c r="D8" s="23">
        <f>SUMIFS(Data!$E:$E,Data!$B:$B,$B8,Data!$D:$D,D$5)</f>
        <v>50.267000000000003</v>
      </c>
      <c r="E8" s="23">
        <f>SUMIFS(Data!$E:$E,Data!$B:$B,$B8,Data!$D:$D,E$5)</f>
        <v>45.503999999999998</v>
      </c>
      <c r="F8" s="23">
        <f>SUMIFS(Data!$E:$E,Data!$B:$B,$B8,Data!$D:$D,F$5)</f>
        <v>25.914999999999999</v>
      </c>
      <c r="G8" s="23">
        <f>SUMIFS(Data!$E:$E,Data!$B:$B,$B8,Data!$D:$D,G$5)</f>
        <v>2.242</v>
      </c>
      <c r="H8" s="69">
        <f t="shared" si="0"/>
        <v>153.18699999999998</v>
      </c>
      <c r="I8" s="69">
        <f>Allowance!C15-Allowance!G15</f>
        <v>53.200000000000017</v>
      </c>
      <c r="J8" s="69">
        <f t="shared" si="3"/>
        <v>99.986999999999966</v>
      </c>
      <c r="L8" s="70">
        <f>SUMIFS(Data!$G:$G,Data!$B:$B,$B8)</f>
        <v>1729.884</v>
      </c>
      <c r="M8" s="71">
        <f t="shared" si="1"/>
        <v>8.8553336524298726E-2</v>
      </c>
      <c r="N8" s="23">
        <v>2.650441955963285E-4</v>
      </c>
      <c r="O8" s="23"/>
      <c r="P8" s="23">
        <f>'Deep dive NES'!$B$9</f>
        <v>50.986482746024585</v>
      </c>
      <c r="Q8" s="69">
        <f t="shared" si="2"/>
        <v>50.986482746024585</v>
      </c>
    </row>
    <row r="9" spans="1:17" x14ac:dyDescent="0.3">
      <c r="B9" s="68" t="s">
        <v>2</v>
      </c>
      <c r="C9" s="23">
        <f>SUMIFS(Data!$E:$E,Data!$B:$B,$B9,Data!$D:$D,C$5)</f>
        <v>71.807416466479097</v>
      </c>
      <c r="D9" s="23">
        <f>SUMIFS(Data!$E:$E,Data!$B:$B,$B9,Data!$D:$D,D$5)</f>
        <v>13.4604081416181</v>
      </c>
      <c r="E9" s="23">
        <f>SUMIFS(Data!$E:$E,Data!$B:$B,$B9,Data!$D:$D,E$5)</f>
        <v>5.1579523724015797</v>
      </c>
      <c r="F9" s="23">
        <f>SUMIFS(Data!$E:$E,Data!$B:$B,$B9,Data!$D:$D,F$5)</f>
        <v>5.4351144670870601</v>
      </c>
      <c r="G9" s="23">
        <f>SUMIFS(Data!$E:$E,Data!$B:$B,$B9,Data!$D:$D,G$5)</f>
        <v>12.0723093166434</v>
      </c>
      <c r="H9" s="69">
        <f t="shared" si="0"/>
        <v>107.93320076422924</v>
      </c>
      <c r="I9" s="69">
        <f>Allowance!C16-Allowance!G16</f>
        <v>85.680999999999997</v>
      </c>
      <c r="J9" s="69">
        <f t="shared" si="3"/>
        <v>22.252200764229244</v>
      </c>
      <c r="L9" s="70">
        <f>SUMIFS(Data!$G:$G,Data!$B:$B,$B9)</f>
        <v>2477.5035104607214</v>
      </c>
      <c r="M9" s="71">
        <f t="shared" si="1"/>
        <v>4.3565306894018392E-2</v>
      </c>
      <c r="N9" s="23">
        <v>0</v>
      </c>
      <c r="O9" s="23"/>
      <c r="P9" s="23">
        <f>'Deep dive NWT'!$B$9</f>
        <v>22.252200764229244</v>
      </c>
      <c r="Q9" s="69">
        <f t="shared" si="2"/>
        <v>22.252200764229244</v>
      </c>
    </row>
    <row r="10" spans="1:17" x14ac:dyDescent="0.3">
      <c r="B10" s="68" t="s">
        <v>3</v>
      </c>
      <c r="C10" s="23">
        <f>SUMIFS(Data!$E:$E,Data!$B:$B,$B10,Data!$D:$D,C$5)</f>
        <v>0</v>
      </c>
      <c r="D10" s="23">
        <f>SUMIFS(Data!$E:$E,Data!$B:$B,$B10,Data!$D:$D,D$5)</f>
        <v>0</v>
      </c>
      <c r="E10" s="23">
        <f>SUMIFS(Data!$E:$E,Data!$B:$B,$B10,Data!$D:$D,E$5)</f>
        <v>0</v>
      </c>
      <c r="F10" s="23">
        <f>SUMIFS(Data!$E:$E,Data!$B:$B,$B10,Data!$D:$D,F$5)</f>
        <v>0</v>
      </c>
      <c r="G10" s="23">
        <f>SUMIFS(Data!$E:$E,Data!$B:$B,$B10,Data!$D:$D,G$5)</f>
        <v>0</v>
      </c>
      <c r="H10" s="69">
        <f t="shared" si="0"/>
        <v>0</v>
      </c>
      <c r="I10" s="69">
        <f>Allowance!C17-Allowance!G17</f>
        <v>0</v>
      </c>
      <c r="J10" s="69">
        <f t="shared" si="3"/>
        <v>0</v>
      </c>
      <c r="L10" s="70">
        <f>SUMIFS(Data!$G:$G,Data!$B:$B,$B10)</f>
        <v>1226.604</v>
      </c>
      <c r="M10" s="71">
        <f t="shared" si="1"/>
        <v>0</v>
      </c>
      <c r="N10" s="23">
        <v>0.1</v>
      </c>
      <c r="O10" s="23">
        <f t="shared" ref="O10" si="4">J10*(1-N10)</f>
        <v>0</v>
      </c>
      <c r="P10" s="23"/>
      <c r="Q10" s="69">
        <f t="shared" si="2"/>
        <v>0</v>
      </c>
    </row>
    <row r="11" spans="1:17" x14ac:dyDescent="0.3">
      <c r="B11" s="68" t="s">
        <v>139</v>
      </c>
      <c r="C11" s="23">
        <f>SUMIFS(Data!$E:$E,Data!$B:$B,$B11,Data!$D:$D,C$5)</f>
        <v>26.398</v>
      </c>
      <c r="D11" s="23">
        <f>SUMIFS(Data!$E:$E,Data!$B:$B,$B11,Data!$D:$D,D$5)</f>
        <v>27.881</v>
      </c>
      <c r="E11" s="23">
        <f>SUMIFS(Data!$E:$E,Data!$B:$B,$B11,Data!$D:$D,E$5)</f>
        <v>26.858000000000001</v>
      </c>
      <c r="F11" s="23">
        <f>SUMIFS(Data!$E:$E,Data!$B:$B,$B11,Data!$D:$D,F$5)</f>
        <v>27.972999999999999</v>
      </c>
      <c r="G11" s="23">
        <f>SUMIFS(Data!$E:$E,Data!$B:$B,$B11,Data!$D:$D,G$5)</f>
        <v>26.286000000000001</v>
      </c>
      <c r="H11" s="69">
        <f t="shared" si="0"/>
        <v>135.39600000000002</v>
      </c>
      <c r="I11" s="69">
        <f>Allowance!C18-Allowance!G18</f>
        <v>0</v>
      </c>
      <c r="J11" s="69">
        <f t="shared" si="3"/>
        <v>135.39600000000002</v>
      </c>
      <c r="L11" s="70">
        <f>SUMIFS(Data!$G:$G,Data!$B:$B,$B11)</f>
        <v>3115.8041903943272</v>
      </c>
      <c r="M11" s="71">
        <f t="shared" si="1"/>
        <v>4.3454592049593684E-2</v>
      </c>
      <c r="N11" s="23">
        <v>0</v>
      </c>
      <c r="O11" s="23"/>
      <c r="P11" s="23">
        <f>'Deep Dive SVE'!$B$9</f>
        <v>107.15</v>
      </c>
      <c r="Q11" s="69">
        <f t="shared" si="2"/>
        <v>107.15</v>
      </c>
    </row>
    <row r="12" spans="1:17" x14ac:dyDescent="0.3">
      <c r="B12" s="68" t="s">
        <v>6</v>
      </c>
      <c r="C12" s="23">
        <f>SUMIFS(Data!$E:$E,Data!$B:$B,$B12,Data!$D:$D,C$5)</f>
        <v>2.8809999999999998</v>
      </c>
      <c r="D12" s="23">
        <f>SUMIFS(Data!$E:$E,Data!$B:$B,$B12,Data!$D:$D,D$5)</f>
        <v>5.5810000000000004</v>
      </c>
      <c r="E12" s="23">
        <f>SUMIFS(Data!$E:$E,Data!$B:$B,$B12,Data!$D:$D,E$5)</f>
        <v>11.398</v>
      </c>
      <c r="F12" s="23">
        <f>SUMIFS(Data!$E:$E,Data!$B:$B,$B12,Data!$D:$D,F$5)</f>
        <v>11.670999999999999</v>
      </c>
      <c r="G12" s="23">
        <f>SUMIFS(Data!$E:$E,Data!$B:$B,$B12,Data!$D:$D,G$5)</f>
        <v>11.638999999999999</v>
      </c>
      <c r="H12" s="69">
        <f t="shared" si="0"/>
        <v>43.17</v>
      </c>
      <c r="I12" s="69">
        <f>Allowance!C19-Allowance!G19</f>
        <v>34.179000000000002</v>
      </c>
      <c r="J12" s="69">
        <f t="shared" si="3"/>
        <v>8.9909999999999997</v>
      </c>
      <c r="L12" s="70">
        <f>SUMIFS(Data!$G:$G,Data!$B:$B,$B12)</f>
        <v>894.25199999999995</v>
      </c>
      <c r="M12" s="71">
        <f t="shared" si="1"/>
        <v>4.827498289072879E-2</v>
      </c>
      <c r="N12" s="23">
        <v>0</v>
      </c>
      <c r="O12" s="23"/>
      <c r="P12" s="23">
        <f>'Deep Dive SWB'!$B$9</f>
        <v>7.1928000000000001</v>
      </c>
      <c r="Q12" s="69">
        <f t="shared" si="2"/>
        <v>7.1928000000000001</v>
      </c>
    </row>
    <row r="13" spans="1:17" x14ac:dyDescent="0.3">
      <c r="B13" s="68" t="s">
        <v>7</v>
      </c>
      <c r="C13" s="23">
        <f>SUMIFS(Data!$E:$E,Data!$B:$B,$B13,Data!$D:$D,C$5)</f>
        <v>19.027405353799999</v>
      </c>
      <c r="D13" s="23">
        <f>SUMIFS(Data!$E:$E,Data!$B:$B,$B13,Data!$D:$D,D$5)</f>
        <v>37.1013504302</v>
      </c>
      <c r="E13" s="23">
        <f>SUMIFS(Data!$E:$E,Data!$B:$B,$B13,Data!$D:$D,E$5)</f>
        <v>52.818894925099997</v>
      </c>
      <c r="F13" s="23">
        <f>SUMIFS(Data!$E:$E,Data!$B:$B,$B13,Data!$D:$D,F$5)</f>
        <v>56.890172806000002</v>
      </c>
      <c r="G13" s="23">
        <f>SUMIFS(Data!$E:$E,Data!$B:$B,$B13,Data!$D:$D,G$5)</f>
        <v>42.939601560100002</v>
      </c>
      <c r="H13" s="69">
        <f t="shared" si="0"/>
        <v>208.77742507520003</v>
      </c>
      <c r="I13" s="69">
        <f>Allowance!C20-Allowance!G20</f>
        <v>0</v>
      </c>
      <c r="J13" s="69">
        <f t="shared" si="3"/>
        <v>208.77742507520003</v>
      </c>
      <c r="L13" s="70">
        <f>SUMIFS(Data!$G:$G,Data!$B:$B,$B13)</f>
        <v>5658.2039244564403</v>
      </c>
      <c r="M13" s="71">
        <f t="shared" si="1"/>
        <v>3.6898179680799753E-2</v>
      </c>
      <c r="N13" s="23">
        <v>0.13</v>
      </c>
      <c r="O13" s="23"/>
      <c r="P13" s="23">
        <f>'Deep Dive TMS'!$B$9</f>
        <v>109.88581131392002</v>
      </c>
      <c r="Q13" s="69">
        <f t="shared" si="2"/>
        <v>109.88581131392002</v>
      </c>
    </row>
    <row r="14" spans="1:17" x14ac:dyDescent="0.3">
      <c r="B14" s="68" t="s">
        <v>8</v>
      </c>
      <c r="C14" s="23">
        <f>SUMIFS(Data!$E:$E,Data!$B:$B,$B14,Data!$D:$D,C$5)</f>
        <v>23.634</v>
      </c>
      <c r="D14" s="23">
        <f>SUMIFS(Data!$E:$E,Data!$B:$B,$B14,Data!$D:$D,D$5)</f>
        <v>26.867999999999999</v>
      </c>
      <c r="E14" s="23">
        <f>SUMIFS(Data!$E:$E,Data!$B:$B,$B14,Data!$D:$D,E$5)</f>
        <v>24.663</v>
      </c>
      <c r="F14" s="23">
        <f>SUMIFS(Data!$E:$E,Data!$B:$B,$B14,Data!$D:$D,F$5)</f>
        <v>24.695</v>
      </c>
      <c r="G14" s="23">
        <f>SUMIFS(Data!$E:$E,Data!$B:$B,$B14,Data!$D:$D,G$5)</f>
        <v>24.486999999999998</v>
      </c>
      <c r="H14" s="69">
        <f t="shared" si="0"/>
        <v>124.34699999999998</v>
      </c>
      <c r="I14" s="69">
        <f>Allowance!C21-Allowance!G21</f>
        <v>85.920000000000016</v>
      </c>
      <c r="J14" s="69">
        <f t="shared" si="3"/>
        <v>38.426999999999964</v>
      </c>
      <c r="L14" s="70">
        <f>SUMIFS(Data!$G:$G,Data!$B:$B,$B14)</f>
        <v>1646.3919999999998</v>
      </c>
      <c r="M14" s="71">
        <f t="shared" si="1"/>
        <v>7.5526970490624346E-2</v>
      </c>
      <c r="N14" s="23">
        <v>0</v>
      </c>
      <c r="O14" s="23"/>
      <c r="P14" s="23">
        <f>'Deep dive WSH'!$B$9</f>
        <v>5.31</v>
      </c>
      <c r="Q14" s="69">
        <f t="shared" si="2"/>
        <v>5.31</v>
      </c>
    </row>
    <row r="15" spans="1:17" x14ac:dyDescent="0.3">
      <c r="B15" s="68" t="s">
        <v>9</v>
      </c>
      <c r="C15" s="23">
        <f>SUMIFS(Data!$E:$E,Data!$B:$B,$B15,Data!$D:$D,C$5)</f>
        <v>1.71034615384615</v>
      </c>
      <c r="D15" s="23">
        <f>SUMIFS(Data!$E:$E,Data!$B:$B,$B15,Data!$D:$D,D$5)</f>
        <v>1.71034615384615</v>
      </c>
      <c r="E15" s="23">
        <f>SUMIFS(Data!$E:$E,Data!$B:$B,$B15,Data!$D:$D,E$5)</f>
        <v>1.71034615384615</v>
      </c>
      <c r="F15" s="23">
        <f>SUMIFS(Data!$E:$E,Data!$B:$B,$B15,Data!$D:$D,F$5)</f>
        <v>1.71034615384615</v>
      </c>
      <c r="G15" s="23">
        <f>SUMIFS(Data!$E:$E,Data!$B:$B,$B15,Data!$D:$D,G$5)</f>
        <v>1.71034615384615</v>
      </c>
      <c r="H15" s="69">
        <f t="shared" si="0"/>
        <v>8.5517307692307494</v>
      </c>
      <c r="I15" s="69">
        <f>Allowance!C22-Allowance!G22</f>
        <v>3.25</v>
      </c>
      <c r="J15" s="69">
        <f t="shared" si="3"/>
        <v>5.3017307692307494</v>
      </c>
      <c r="L15" s="70">
        <f>SUMIFS(Data!$G:$G,Data!$B:$B,$B15)</f>
        <v>660.34856778321205</v>
      </c>
      <c r="M15" s="71">
        <f t="shared" si="1"/>
        <v>1.2950328336349515E-2</v>
      </c>
      <c r="N15" s="23">
        <v>0</v>
      </c>
      <c r="O15" s="23"/>
      <c r="P15" s="23">
        <f>'Deep dive WSX'!$C$9</f>
        <v>5.3017307692307494</v>
      </c>
      <c r="Q15" s="69">
        <f t="shared" si="2"/>
        <v>5.3017307692307494</v>
      </c>
    </row>
    <row r="16" spans="1:17" x14ac:dyDescent="0.3">
      <c r="B16" s="68" t="s">
        <v>10</v>
      </c>
      <c r="C16" s="23">
        <f>SUMIFS(Data!$E:$E,Data!$B:$B,$B16,Data!$D:$D,C$5)</f>
        <v>0</v>
      </c>
      <c r="D16" s="23">
        <f>SUMIFS(Data!$E:$E,Data!$B:$B,$B16,Data!$D:$D,D$5)</f>
        <v>0</v>
      </c>
      <c r="E16" s="23">
        <f>SUMIFS(Data!$E:$E,Data!$B:$B,$B16,Data!$D:$D,E$5)</f>
        <v>0</v>
      </c>
      <c r="F16" s="23">
        <f>SUMIFS(Data!$E:$E,Data!$B:$B,$B16,Data!$D:$D,F$5)</f>
        <v>0</v>
      </c>
      <c r="G16" s="23">
        <f>SUMIFS(Data!$E:$E,Data!$B:$B,$B16,Data!$D:$D,G$5)</f>
        <v>0</v>
      </c>
      <c r="H16" s="69">
        <f t="shared" si="0"/>
        <v>0</v>
      </c>
      <c r="I16" s="69">
        <f>Allowance!C23-Allowance!G23</f>
        <v>0</v>
      </c>
      <c r="J16" s="69">
        <f t="shared" si="3"/>
        <v>0</v>
      </c>
      <c r="L16" s="70">
        <f>SUMIFS(Data!$G:$G,Data!$B:$B,$B16)</f>
        <v>2024.423</v>
      </c>
      <c r="M16" s="71">
        <f t="shared" si="1"/>
        <v>0</v>
      </c>
      <c r="N16" s="23">
        <v>0.10346547216238228</v>
      </c>
      <c r="O16" s="23">
        <f>J16*(1-N16)</f>
        <v>0</v>
      </c>
      <c r="P16" s="23"/>
      <c r="Q16" s="69">
        <f t="shared" si="2"/>
        <v>0</v>
      </c>
    </row>
    <row r="17" spans="2:17" x14ac:dyDescent="0.3">
      <c r="B17" s="68" t="s">
        <v>11</v>
      </c>
      <c r="C17" s="23">
        <f>SUMIFS(Data!$E:$E,Data!$B:$B,$B17,Data!$D:$D,C$5)</f>
        <v>1.65</v>
      </c>
      <c r="D17" s="23">
        <f>SUMIFS(Data!$E:$E,Data!$B:$B,$B17,Data!$D:$D,D$5)</f>
        <v>1.65</v>
      </c>
      <c r="E17" s="23">
        <f>SUMIFS(Data!$E:$E,Data!$B:$B,$B17,Data!$D:$D,E$5)</f>
        <v>0</v>
      </c>
      <c r="F17" s="23">
        <f>SUMIFS(Data!$E:$E,Data!$B:$B,$B17,Data!$D:$D,F$5)</f>
        <v>0</v>
      </c>
      <c r="G17" s="23">
        <f>SUMIFS(Data!$E:$E,Data!$B:$B,$B17,Data!$D:$D,G$5)</f>
        <v>0</v>
      </c>
      <c r="H17" s="69">
        <f t="shared" si="0"/>
        <v>3.3</v>
      </c>
      <c r="I17" s="69">
        <f>Allowance!C24-Allowance!G24</f>
        <v>-2.0000000000000009</v>
      </c>
      <c r="J17" s="69">
        <f t="shared" si="3"/>
        <v>5.3000000000000007</v>
      </c>
      <c r="L17" s="70">
        <f>SUMIFS(Data!$G:$G,Data!$B:$B,$B17)</f>
        <v>1368.4611030444821</v>
      </c>
      <c r="M17" s="71">
        <f t="shared" si="1"/>
        <v>2.4114678836382919E-3</v>
      </c>
      <c r="N17" s="23">
        <v>6.0705358641883776E-2</v>
      </c>
      <c r="O17" s="23"/>
      <c r="P17" s="23">
        <f>'Deep dive AFW'!$B$9</f>
        <v>3.0996723164817843</v>
      </c>
      <c r="Q17" s="69">
        <f t="shared" si="2"/>
        <v>3.0996723164817843</v>
      </c>
    </row>
    <row r="18" spans="2:17" x14ac:dyDescent="0.3">
      <c r="B18" s="68" t="s">
        <v>12</v>
      </c>
      <c r="C18" s="23">
        <f>SUMIFS(Data!$E:$E,Data!$B:$B,$B18,Data!$D:$D,C$5)</f>
        <v>2.3919999999999999</v>
      </c>
      <c r="D18" s="23">
        <f>SUMIFS(Data!$E:$E,Data!$B:$B,$B18,Data!$D:$D,D$5)</f>
        <v>2.3919999999999999</v>
      </c>
      <c r="E18" s="23">
        <f>SUMIFS(Data!$E:$E,Data!$B:$B,$B18,Data!$D:$D,E$5)</f>
        <v>2.3919999999999999</v>
      </c>
      <c r="F18" s="23">
        <f>SUMIFS(Data!$E:$E,Data!$B:$B,$B18,Data!$D:$D,F$5)</f>
        <v>2.3919999999999999</v>
      </c>
      <c r="G18" s="23">
        <f>SUMIFS(Data!$E:$E,Data!$B:$B,$B18,Data!$D:$D,G$5)</f>
        <v>2.3919999999999999</v>
      </c>
      <c r="H18" s="69">
        <f t="shared" si="0"/>
        <v>11.959999999999999</v>
      </c>
      <c r="I18" s="69">
        <f>Allowance!C25-Allowance!G25</f>
        <v>11.959999999999999</v>
      </c>
      <c r="J18" s="69">
        <f t="shared" si="3"/>
        <v>0</v>
      </c>
      <c r="L18" s="70">
        <f>SUMIFS(Data!$G:$G,Data!$B:$B,$B18)</f>
        <v>457.197</v>
      </c>
      <c r="M18" s="71">
        <f t="shared" si="1"/>
        <v>2.6159401745855723E-2</v>
      </c>
      <c r="N18" s="23">
        <v>7.195828641155512E-2</v>
      </c>
      <c r="O18" s="23">
        <f t="shared" ref="O18:O22" si="5">J18*(1-N18)</f>
        <v>0</v>
      </c>
      <c r="P18" s="23">
        <f>'Deep dive BRL'!$B$9</f>
        <v>0</v>
      </c>
      <c r="Q18" s="69">
        <f t="shared" si="2"/>
        <v>0</v>
      </c>
    </row>
    <row r="19" spans="2:17" x14ac:dyDescent="0.3">
      <c r="B19" s="68" t="s">
        <v>14</v>
      </c>
      <c r="C19" s="23">
        <f>SUMIFS(Data!$E:$E,Data!$B:$B,$B19,Data!$D:$D,C$5)</f>
        <v>0</v>
      </c>
      <c r="D19" s="23">
        <f>SUMIFS(Data!$E:$E,Data!$B:$B,$B19,Data!$D:$D,D$5)</f>
        <v>0</v>
      </c>
      <c r="E19" s="23">
        <f>SUMIFS(Data!$E:$E,Data!$B:$B,$B19,Data!$D:$D,E$5)</f>
        <v>0.185</v>
      </c>
      <c r="F19" s="23">
        <f>SUMIFS(Data!$E:$E,Data!$B:$B,$B19,Data!$D:$D,F$5)</f>
        <v>1.27</v>
      </c>
      <c r="G19" s="23">
        <f>SUMIFS(Data!$E:$E,Data!$B:$B,$B19,Data!$D:$D,G$5)</f>
        <v>1.3380000000000001</v>
      </c>
      <c r="H19" s="69">
        <f t="shared" si="0"/>
        <v>2.7930000000000001</v>
      </c>
      <c r="I19" s="69">
        <f>Allowance!C26-Allowance!G26</f>
        <v>0.24500000000000011</v>
      </c>
      <c r="J19" s="69">
        <f t="shared" si="3"/>
        <v>2.548</v>
      </c>
      <c r="L19" s="70">
        <f>SUMIFS(Data!$G:$G,Data!$B:$B,$B19)</f>
        <v>223.94399999999999</v>
      </c>
      <c r="M19" s="71">
        <f t="shared" si="1"/>
        <v>1.247186796699175E-2</v>
      </c>
      <c r="N19" s="23">
        <v>0</v>
      </c>
      <c r="O19" s="23"/>
      <c r="P19" s="23">
        <f>'Deep dive PRT'!$B$9</f>
        <v>2.548</v>
      </c>
      <c r="Q19" s="69">
        <f t="shared" si="2"/>
        <v>2.548</v>
      </c>
    </row>
    <row r="20" spans="2:17" x14ac:dyDescent="0.3">
      <c r="B20" s="68" t="s">
        <v>15</v>
      </c>
      <c r="C20" s="23">
        <f>SUMIFS(Data!$E:$E,Data!$B:$B,$B20,Data!$D:$D,C$5)</f>
        <v>1.643</v>
      </c>
      <c r="D20" s="23">
        <f>SUMIFS(Data!$E:$E,Data!$B:$B,$B20,Data!$D:$D,D$5)</f>
        <v>5.1100000000000003</v>
      </c>
      <c r="E20" s="23">
        <f>SUMIFS(Data!$E:$E,Data!$B:$B,$B20,Data!$D:$D,E$5)</f>
        <v>1.923</v>
      </c>
      <c r="F20" s="23">
        <f>SUMIFS(Data!$E:$E,Data!$B:$B,$B20,Data!$D:$D,F$5)</f>
        <v>9.6000000000000002E-2</v>
      </c>
      <c r="G20" s="23">
        <f>SUMIFS(Data!$E:$E,Data!$B:$B,$B20,Data!$D:$D,G$5)</f>
        <v>9.6000000000000002E-2</v>
      </c>
      <c r="H20" s="69">
        <f t="shared" si="0"/>
        <v>8.8680000000000003</v>
      </c>
      <c r="I20" s="69">
        <f>Allowance!C27-Allowance!G27</f>
        <v>0</v>
      </c>
      <c r="J20" s="69">
        <f t="shared" si="3"/>
        <v>8.8680000000000003</v>
      </c>
      <c r="L20" s="70">
        <f>SUMIFS(Data!$G:$G,Data!$B:$B,$B20)</f>
        <v>253.309</v>
      </c>
      <c r="M20" s="71">
        <f t="shared" si="1"/>
        <v>3.5008625828533535E-2</v>
      </c>
      <c r="N20" s="23">
        <v>9.1408261361736784E-2</v>
      </c>
      <c r="O20" s="23">
        <f t="shared" si="5"/>
        <v>8.0573915382441186</v>
      </c>
      <c r="P20" s="23"/>
      <c r="Q20" s="69">
        <f t="shared" si="2"/>
        <v>8.0573915382441186</v>
      </c>
    </row>
    <row r="21" spans="2:17" x14ac:dyDescent="0.3">
      <c r="B21" s="68" t="s">
        <v>16</v>
      </c>
      <c r="C21" s="23">
        <f>SUMIFS(Data!$E:$E,Data!$B:$B,$B21,Data!$D:$D,C$5)</f>
        <v>1.371984221188</v>
      </c>
      <c r="D21" s="23">
        <f>SUMIFS(Data!$E:$E,Data!$B:$B,$B21,Data!$D:$D,D$5)</f>
        <v>6.8894675735061703</v>
      </c>
      <c r="E21" s="23">
        <f>SUMIFS(Data!$E:$E,Data!$B:$B,$B21,Data!$D:$D,E$5)</f>
        <v>11.709482952484899</v>
      </c>
      <c r="F21" s="23">
        <f>SUMIFS(Data!$E:$E,Data!$B:$B,$B21,Data!$D:$D,F$5)</f>
        <v>5.5898608650105999</v>
      </c>
      <c r="G21" s="23">
        <f>SUMIFS(Data!$E:$E,Data!$B:$B,$B21,Data!$D:$D,G$5)</f>
        <v>8.39972094522399</v>
      </c>
      <c r="H21" s="69">
        <f t="shared" si="0"/>
        <v>33.960516557413662</v>
      </c>
      <c r="I21" s="69">
        <f>Allowance!C28-Allowance!G28</f>
        <v>32.64</v>
      </c>
      <c r="J21" s="69">
        <f t="shared" si="3"/>
        <v>1.3205165574136615</v>
      </c>
      <c r="L21" s="70">
        <f>SUMIFS(Data!$G:$G,Data!$B:$B,$B21)</f>
        <v>960.94699999999989</v>
      </c>
      <c r="M21" s="71">
        <f t="shared" si="1"/>
        <v>3.5340675976316765E-2</v>
      </c>
      <c r="N21" s="23">
        <v>8.5623557290976458E-3</v>
      </c>
      <c r="O21" s="23"/>
      <c r="P21" s="23">
        <f>'Deep dive SEW'!$B$9</f>
        <v>1.3092098249029223</v>
      </c>
      <c r="Q21" s="69">
        <f t="shared" si="2"/>
        <v>1.3092098249029223</v>
      </c>
    </row>
    <row r="22" spans="2:17" x14ac:dyDescent="0.3">
      <c r="B22" s="68" t="s">
        <v>17</v>
      </c>
      <c r="C22" s="23">
        <f>SUMIFS(Data!$E:$E,Data!$B:$B,$B22,Data!$D:$D,C$5)</f>
        <v>1.29753554233982</v>
      </c>
      <c r="D22" s="23">
        <f>SUMIFS(Data!$E:$E,Data!$B:$B,$B22,Data!$D:$D,D$5)</f>
        <v>1.4135504849490299</v>
      </c>
      <c r="E22" s="23">
        <f>SUMIFS(Data!$E:$E,Data!$B:$B,$B22,Data!$D:$D,E$5)</f>
        <v>1.90915817837608</v>
      </c>
      <c r="F22" s="23">
        <f>SUMIFS(Data!$E:$E,Data!$B:$B,$B22,Data!$D:$D,F$5)</f>
        <v>1.00851586075197</v>
      </c>
      <c r="G22" s="23">
        <f>SUMIFS(Data!$E:$E,Data!$B:$B,$B22,Data!$D:$D,G$5)</f>
        <v>0.78869807475557796</v>
      </c>
      <c r="H22" s="69">
        <f t="shared" si="0"/>
        <v>6.417458141172478</v>
      </c>
      <c r="I22" s="69">
        <f>Allowance!C29-Allowance!G29</f>
        <v>2.2699999999999996</v>
      </c>
      <c r="J22" s="69">
        <f t="shared" si="3"/>
        <v>4.1474581411724785</v>
      </c>
      <c r="L22" s="70">
        <f>SUMIFS(Data!$G:$G,Data!$B:$B,$B22)</f>
        <v>538.02900167239989</v>
      </c>
      <c r="M22" s="71">
        <f t="shared" si="1"/>
        <v>1.1927717876219617E-2</v>
      </c>
      <c r="N22" s="23">
        <v>6.8778600799977052E-2</v>
      </c>
      <c r="O22" s="23">
        <f t="shared" si="5"/>
        <v>3.8622017733461615</v>
      </c>
      <c r="P22" s="23"/>
      <c r="Q22" s="69">
        <f t="shared" si="2"/>
        <v>3.8622017733461615</v>
      </c>
    </row>
    <row r="23" spans="2:17" x14ac:dyDescent="0.3">
      <c r="B23" s="72" t="s">
        <v>160</v>
      </c>
      <c r="C23" s="69">
        <f>SUM(C6:C22)</f>
        <v>211.30490085269128</v>
      </c>
      <c r="D23" s="69">
        <f>SUM(D6:D22)</f>
        <v>246.09254330491089</v>
      </c>
      <c r="E23" s="69">
        <f>SUM(E6:E22)</f>
        <v>289.99369681205172</v>
      </c>
      <c r="F23" s="69">
        <f>SUM(F6:F22)</f>
        <v>274.78507440213178</v>
      </c>
      <c r="G23" s="69">
        <f>SUM(G6:G22)</f>
        <v>186.18474722679332</v>
      </c>
      <c r="H23" s="69">
        <f t="shared" si="0"/>
        <v>1208.3609625985791</v>
      </c>
      <c r="I23" s="69">
        <f t="shared" ref="I23:J23" si="6">SUM(D23:H23)</f>
        <v>2205.4170243444669</v>
      </c>
      <c r="J23" s="69">
        <f t="shared" si="6"/>
        <v>4164.7415053840232</v>
      </c>
      <c r="L23" s="73">
        <f>SUM(L6:L22)</f>
        <v>26180.610460802778</v>
      </c>
      <c r="M23" s="74">
        <f t="shared" si="1"/>
        <v>4.6154804694402342E-2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3"/>
  </sheetPr>
  <dimension ref="A1:M47"/>
  <sheetViews>
    <sheetView showGridLines="0" zoomScale="80" zoomScaleNormal="80" workbookViewId="0">
      <selection activeCell="A2" sqref="A2"/>
    </sheetView>
  </sheetViews>
  <sheetFormatPr defaultColWidth="8.7265625" defaultRowHeight="13" x14ac:dyDescent="0.3"/>
  <cols>
    <col min="1" max="1" width="37.7265625" style="2" customWidth="1"/>
    <col min="2" max="2" width="16.54296875" style="2" customWidth="1"/>
    <col min="3" max="3" width="86.81640625" style="2" customWidth="1"/>
    <col min="4" max="4" width="8.54296875" style="2" customWidth="1"/>
    <col min="5" max="5" width="26.54296875" style="2" customWidth="1"/>
    <col min="6" max="13" width="8.54296875" style="2" customWidth="1"/>
    <col min="14" max="16384" width="8.7265625" style="2"/>
  </cols>
  <sheetData>
    <row r="1" spans="1:8" s="63" customFormat="1" ht="18.5" x14ac:dyDescent="0.45">
      <c r="A1" s="1" t="s">
        <v>287</v>
      </c>
      <c r="B1" s="1"/>
      <c r="C1" s="1"/>
      <c r="D1" s="1"/>
      <c r="E1" s="1"/>
      <c r="F1" s="44"/>
      <c r="G1" s="61"/>
      <c r="H1" s="62"/>
    </row>
    <row r="2" spans="1:8" s="13" customFormat="1" x14ac:dyDescent="0.3">
      <c r="A2" s="2"/>
      <c r="B2" s="27"/>
      <c r="C2" s="27"/>
      <c r="D2" s="2"/>
      <c r="E2" s="2"/>
      <c r="F2" s="2"/>
      <c r="G2" s="11"/>
      <c r="H2" s="12"/>
    </row>
    <row r="3" spans="1:8" s="13" customFormat="1" x14ac:dyDescent="0.3">
      <c r="A3" s="6" t="s">
        <v>41</v>
      </c>
      <c r="B3" s="27"/>
      <c r="C3" s="27"/>
      <c r="D3" s="2"/>
      <c r="E3" s="2"/>
      <c r="F3" s="2"/>
      <c r="G3" s="11"/>
      <c r="H3" s="12"/>
    </row>
    <row r="4" spans="1:8" x14ac:dyDescent="0.3">
      <c r="A4" s="14" t="s">
        <v>25</v>
      </c>
      <c r="B4" s="88" t="s">
        <v>217</v>
      </c>
      <c r="C4" s="88"/>
    </row>
    <row r="5" spans="1:8" x14ac:dyDescent="0.3">
      <c r="A5" s="14" t="s">
        <v>26</v>
      </c>
      <c r="B5" s="88" t="s">
        <v>221</v>
      </c>
      <c r="C5" s="88"/>
    </row>
    <row r="6" spans="1:8" x14ac:dyDescent="0.3">
      <c r="A6" s="17" t="s">
        <v>23</v>
      </c>
      <c r="B6" s="18" t="s">
        <v>11</v>
      </c>
      <c r="C6" s="19"/>
    </row>
    <row r="7" spans="1:8" x14ac:dyDescent="0.3">
      <c r="A7" s="17" t="s">
        <v>27</v>
      </c>
      <c r="B7" s="18" t="s">
        <v>39</v>
      </c>
      <c r="C7" s="19"/>
    </row>
    <row r="8" spans="1:8" x14ac:dyDescent="0.3">
      <c r="A8" s="17" t="s">
        <v>141</v>
      </c>
      <c r="B8" s="20">
        <f>Allowance!$G$24</f>
        <v>5.3000000000000007</v>
      </c>
    </row>
    <row r="9" spans="1:8" x14ac:dyDescent="0.3">
      <c r="A9" s="16" t="s">
        <v>40</v>
      </c>
      <c r="B9" s="20">
        <v>3.0996723164817843</v>
      </c>
      <c r="C9" s="15"/>
      <c r="D9" s="15"/>
    </row>
    <row r="11" spans="1:8" x14ac:dyDescent="0.3">
      <c r="A11" s="6" t="s">
        <v>28</v>
      </c>
    </row>
    <row r="12" spans="1:8" x14ac:dyDescent="0.3">
      <c r="A12" s="21" t="s">
        <v>29</v>
      </c>
      <c r="E12" s="6" t="s">
        <v>30</v>
      </c>
    </row>
    <row r="13" spans="1:8" ht="201.75" customHeight="1" x14ac:dyDescent="0.3">
      <c r="A13" s="17" t="s">
        <v>31</v>
      </c>
      <c r="B13" s="17" t="s">
        <v>168</v>
      </c>
      <c r="C13" s="46" t="s">
        <v>276</v>
      </c>
      <c r="D13" s="16"/>
      <c r="E13" s="84" t="s">
        <v>218</v>
      </c>
    </row>
    <row r="14" spans="1:8" x14ac:dyDescent="0.3">
      <c r="A14" s="17" t="s">
        <v>32</v>
      </c>
      <c r="B14" s="17" t="s">
        <v>164</v>
      </c>
      <c r="C14" s="53" t="s">
        <v>176</v>
      </c>
      <c r="E14" s="85"/>
    </row>
    <row r="15" spans="1:8" x14ac:dyDescent="0.3">
      <c r="A15" s="17" t="s">
        <v>33</v>
      </c>
      <c r="B15" s="17" t="s">
        <v>164</v>
      </c>
      <c r="C15" s="17" t="s">
        <v>176</v>
      </c>
      <c r="E15" s="85"/>
    </row>
    <row r="16" spans="1:8" ht="182" x14ac:dyDescent="0.3">
      <c r="A16" s="17" t="s">
        <v>34</v>
      </c>
      <c r="B16" s="17" t="s">
        <v>168</v>
      </c>
      <c r="C16" s="40" t="s">
        <v>242</v>
      </c>
      <c r="E16" s="84" t="s">
        <v>219</v>
      </c>
    </row>
    <row r="17" spans="1:5" ht="65" x14ac:dyDescent="0.3">
      <c r="A17" s="17" t="s">
        <v>35</v>
      </c>
      <c r="B17" s="17" t="s">
        <v>172</v>
      </c>
      <c r="C17" s="40" t="s">
        <v>243</v>
      </c>
      <c r="E17" s="84" t="s">
        <v>220</v>
      </c>
    </row>
    <row r="18" spans="1:5" ht="39" x14ac:dyDescent="0.3">
      <c r="A18" s="17" t="s">
        <v>36</v>
      </c>
      <c r="B18" s="17" t="s">
        <v>169</v>
      </c>
      <c r="C18" s="40" t="s">
        <v>241</v>
      </c>
      <c r="E18" s="85"/>
    </row>
    <row r="19" spans="1:5" x14ac:dyDescent="0.3">
      <c r="A19" s="17" t="s">
        <v>37</v>
      </c>
      <c r="B19" s="17" t="s">
        <v>164</v>
      </c>
      <c r="C19" s="40" t="s">
        <v>176</v>
      </c>
      <c r="E19" s="85"/>
    </row>
    <row r="20" spans="1:5" x14ac:dyDescent="0.3">
      <c r="A20" s="17" t="s">
        <v>38</v>
      </c>
      <c r="B20" s="17" t="s">
        <v>164</v>
      </c>
      <c r="C20" s="40" t="s">
        <v>176</v>
      </c>
      <c r="E20" s="85"/>
    </row>
    <row r="21" spans="1:5" x14ac:dyDescent="0.3">
      <c r="A21" s="22"/>
      <c r="B21" s="22"/>
      <c r="C21" s="22"/>
      <c r="E21" s="22"/>
    </row>
    <row r="22" spans="1:5" x14ac:dyDescent="0.3">
      <c r="A22" s="21"/>
      <c r="B22" s="22"/>
      <c r="C22" s="22"/>
      <c r="E22" s="22"/>
    </row>
    <row r="23" spans="1:5" x14ac:dyDescent="0.3">
      <c r="A23" s="22"/>
      <c r="B23" s="22"/>
      <c r="C23" s="22"/>
      <c r="E23" s="22"/>
    </row>
    <row r="24" spans="1:5" x14ac:dyDescent="0.3">
      <c r="A24" s="22"/>
      <c r="B24" s="22"/>
      <c r="C24" s="22"/>
      <c r="E24" s="22"/>
    </row>
    <row r="25" spans="1:5" x14ac:dyDescent="0.3">
      <c r="A25" s="22"/>
      <c r="B25" s="22"/>
      <c r="C25" s="22"/>
      <c r="E25" s="22"/>
    </row>
    <row r="26" spans="1:5" x14ac:dyDescent="0.3">
      <c r="A26" s="22"/>
      <c r="B26" s="22"/>
      <c r="C26" s="22"/>
      <c r="E26" s="22"/>
    </row>
    <row r="27" spans="1:5" x14ac:dyDescent="0.3">
      <c r="A27" s="22"/>
      <c r="B27" s="22"/>
      <c r="C27" s="22"/>
      <c r="E27" s="22"/>
    </row>
    <row r="28" spans="1:5" x14ac:dyDescent="0.3">
      <c r="A28" s="22"/>
      <c r="B28" s="22"/>
      <c r="C28" s="22"/>
      <c r="E28" s="22"/>
    </row>
    <row r="39" spans="1:13" x14ac:dyDescent="0.3">
      <c r="A39" s="6"/>
    </row>
    <row r="42" spans="1:13" x14ac:dyDescent="0.3">
      <c r="A42" s="6"/>
    </row>
    <row r="47" spans="1:13" x14ac:dyDescent="0.3">
      <c r="M47" s="11"/>
    </row>
  </sheetData>
  <mergeCells count="2">
    <mergeCell ref="B4:C4"/>
    <mergeCell ref="B5:C5"/>
  </mergeCells>
  <dataValidations count="4">
    <dataValidation type="list" allowBlank="1" showInputMessage="1" showErrorMessage="1" sqref="B13:B20">
      <formula1>"Pass, Partial pass, Fail, ,Not assessed, N/A"</formula1>
    </dataValidation>
    <dataValidation type="list" allowBlank="1" showInputMessage="1" showErrorMessage="1" sqref="B7">
      <formula1>"Wholesale water, Wholesale wastewater"</formula1>
    </dataValidation>
    <dataValidation type="list" allowBlank="1" showInputMessage="1" showErrorMessage="1" sqref="B21:B28">
      <formula1>"Pass,Marginal pass, Partial pass, Fail, ,Not assessed, N/A"</formula1>
    </dataValidation>
    <dataValidation type="list" allowBlank="1" showInputMessage="1" showErrorMessage="1" sqref="B6">
      <formula1>"ANH,NES,NWT,SRN,SVE,SWB,TMS,WSH,WSX,YKY,AFW,BRL,HDD,PRT,SES,SEW,SSC"</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sheetPr>
  <dimension ref="A1:M47"/>
  <sheetViews>
    <sheetView showGridLines="0" zoomScale="95" zoomScaleNormal="95" workbookViewId="0">
      <selection activeCell="A2" sqref="A2"/>
    </sheetView>
  </sheetViews>
  <sheetFormatPr defaultColWidth="8.7265625" defaultRowHeight="13" x14ac:dyDescent="0.3"/>
  <cols>
    <col min="1" max="1" width="37.7265625" style="2" customWidth="1"/>
    <col min="2" max="2" width="16.54296875" style="2" customWidth="1"/>
    <col min="3" max="3" width="102" style="2" customWidth="1"/>
    <col min="4" max="4" width="8.54296875" style="2" customWidth="1"/>
    <col min="5" max="5" width="26.54296875" style="2" customWidth="1"/>
    <col min="6" max="13" width="8.54296875" style="2" customWidth="1"/>
    <col min="14" max="16384" width="8.7265625" style="2"/>
  </cols>
  <sheetData>
    <row r="1" spans="1:8" s="63" customFormat="1" ht="18.5" x14ac:dyDescent="0.45">
      <c r="A1" s="1" t="s">
        <v>286</v>
      </c>
      <c r="B1" s="1"/>
      <c r="C1" s="1"/>
      <c r="D1" s="1"/>
      <c r="E1" s="1"/>
      <c r="F1" s="44"/>
      <c r="G1" s="61"/>
      <c r="H1" s="62"/>
    </row>
    <row r="2" spans="1:8" s="13" customFormat="1" x14ac:dyDescent="0.3">
      <c r="A2" s="2"/>
      <c r="B2" s="27"/>
      <c r="C2" s="27"/>
      <c r="D2" s="2"/>
      <c r="E2" s="2"/>
      <c r="F2" s="2"/>
      <c r="G2" s="11"/>
      <c r="H2" s="12"/>
    </row>
    <row r="3" spans="1:8" s="13" customFormat="1" x14ac:dyDescent="0.3">
      <c r="A3" s="6" t="s">
        <v>41</v>
      </c>
      <c r="B3" s="27"/>
      <c r="C3" s="27"/>
      <c r="D3" s="2"/>
      <c r="E3" s="2"/>
      <c r="F3" s="2"/>
      <c r="G3" s="11"/>
      <c r="H3" s="12"/>
    </row>
    <row r="4" spans="1:8" x14ac:dyDescent="0.3">
      <c r="A4" s="14" t="s">
        <v>25</v>
      </c>
      <c r="B4" s="88" t="s">
        <v>217</v>
      </c>
      <c r="C4" s="88"/>
    </row>
    <row r="5" spans="1:8" x14ac:dyDescent="0.3">
      <c r="A5" s="14" t="s">
        <v>26</v>
      </c>
      <c r="B5" s="88" t="s">
        <v>221</v>
      </c>
      <c r="C5" s="88"/>
    </row>
    <row r="6" spans="1:8" x14ac:dyDescent="0.3">
      <c r="A6" s="17" t="s">
        <v>23</v>
      </c>
      <c r="B6" s="18" t="s">
        <v>0</v>
      </c>
      <c r="C6" s="19"/>
    </row>
    <row r="7" spans="1:8" x14ac:dyDescent="0.3">
      <c r="A7" s="17" t="s">
        <v>27</v>
      </c>
      <c r="B7" s="18" t="s">
        <v>39</v>
      </c>
      <c r="C7" s="19"/>
    </row>
    <row r="8" spans="1:8" x14ac:dyDescent="0.3">
      <c r="A8" s="17" t="s">
        <v>141</v>
      </c>
      <c r="B8" s="20">
        <f>Allowance!$G$13</f>
        <v>22.823341924011117</v>
      </c>
    </row>
    <row r="9" spans="1:8" x14ac:dyDescent="0.3">
      <c r="A9" s="16" t="s">
        <v>40</v>
      </c>
      <c r="B9" s="20">
        <v>15.519872508327561</v>
      </c>
      <c r="C9" s="15"/>
      <c r="D9" s="15"/>
    </row>
    <row r="11" spans="1:8" x14ac:dyDescent="0.3">
      <c r="A11" s="6" t="s">
        <v>28</v>
      </c>
    </row>
    <row r="12" spans="1:8" x14ac:dyDescent="0.3">
      <c r="A12" s="21" t="s">
        <v>29</v>
      </c>
      <c r="E12" s="6" t="s">
        <v>30</v>
      </c>
    </row>
    <row r="13" spans="1:8" ht="186.75" customHeight="1" x14ac:dyDescent="0.3">
      <c r="A13" s="17" t="s">
        <v>31</v>
      </c>
      <c r="B13" s="17" t="s">
        <v>168</v>
      </c>
      <c r="C13" s="40" t="s">
        <v>277</v>
      </c>
      <c r="E13" s="40" t="s">
        <v>170</v>
      </c>
    </row>
    <row r="14" spans="1:8" x14ac:dyDescent="0.3">
      <c r="A14" s="17" t="s">
        <v>32</v>
      </c>
      <c r="B14" s="17" t="s">
        <v>164</v>
      </c>
      <c r="C14" s="40"/>
      <c r="E14" s="17"/>
    </row>
    <row r="15" spans="1:8" x14ac:dyDescent="0.3">
      <c r="A15" s="17" t="s">
        <v>33</v>
      </c>
      <c r="B15" s="17" t="s">
        <v>164</v>
      </c>
      <c r="C15" s="40"/>
      <c r="E15" s="40"/>
    </row>
    <row r="16" spans="1:8" ht="111" customHeight="1" x14ac:dyDescent="0.3">
      <c r="A16" s="17" t="s">
        <v>34</v>
      </c>
      <c r="B16" s="17" t="s">
        <v>168</v>
      </c>
      <c r="C16" s="40" t="s">
        <v>278</v>
      </c>
      <c r="E16" s="40" t="s">
        <v>171</v>
      </c>
    </row>
    <row r="17" spans="1:5" ht="91" x14ac:dyDescent="0.3">
      <c r="A17" s="17" t="s">
        <v>35</v>
      </c>
      <c r="B17" s="17" t="s">
        <v>172</v>
      </c>
      <c r="C17" s="40" t="s">
        <v>279</v>
      </c>
      <c r="E17" s="40" t="s">
        <v>173</v>
      </c>
    </row>
    <row r="18" spans="1:5" ht="26" x14ac:dyDescent="0.3">
      <c r="A18" s="17" t="s">
        <v>36</v>
      </c>
      <c r="B18" s="17" t="s">
        <v>169</v>
      </c>
      <c r="C18" s="40" t="s">
        <v>222</v>
      </c>
      <c r="E18" s="17"/>
    </row>
    <row r="19" spans="1:5" x14ac:dyDescent="0.3">
      <c r="A19" s="17" t="s">
        <v>37</v>
      </c>
      <c r="B19" s="17" t="s">
        <v>164</v>
      </c>
      <c r="C19" s="40"/>
      <c r="E19" s="17"/>
    </row>
    <row r="20" spans="1:5" x14ac:dyDescent="0.3">
      <c r="A20" s="17" t="s">
        <v>38</v>
      </c>
      <c r="B20" s="17" t="s">
        <v>164</v>
      </c>
      <c r="C20" s="40"/>
      <c r="E20" s="17"/>
    </row>
    <row r="21" spans="1:5" x14ac:dyDescent="0.3">
      <c r="A21" s="22"/>
      <c r="B21" s="22"/>
      <c r="C21" s="22"/>
      <c r="E21" s="22"/>
    </row>
    <row r="22" spans="1:5" x14ac:dyDescent="0.3">
      <c r="A22" s="21"/>
      <c r="B22" s="22"/>
      <c r="C22" s="22"/>
      <c r="E22" s="22"/>
    </row>
    <row r="23" spans="1:5" x14ac:dyDescent="0.3">
      <c r="A23" s="22"/>
      <c r="B23" s="22"/>
      <c r="C23" s="22"/>
      <c r="E23" s="22"/>
    </row>
    <row r="24" spans="1:5" x14ac:dyDescent="0.3">
      <c r="A24" s="22"/>
      <c r="B24" s="22"/>
      <c r="C24" s="22"/>
      <c r="E24" s="22"/>
    </row>
    <row r="25" spans="1:5" x14ac:dyDescent="0.3">
      <c r="A25" s="22"/>
      <c r="B25" s="22"/>
      <c r="C25" s="22"/>
      <c r="E25" s="22"/>
    </row>
    <row r="26" spans="1:5" x14ac:dyDescent="0.3">
      <c r="A26" s="22"/>
      <c r="B26" s="22"/>
      <c r="C26" s="22"/>
      <c r="E26" s="22"/>
    </row>
    <row r="27" spans="1:5" x14ac:dyDescent="0.3">
      <c r="A27" s="22"/>
      <c r="B27" s="22"/>
      <c r="C27" s="22"/>
      <c r="E27" s="22"/>
    </row>
    <row r="28" spans="1:5" x14ac:dyDescent="0.3">
      <c r="A28" s="22"/>
      <c r="B28" s="22"/>
      <c r="C28" s="22"/>
      <c r="E28" s="22"/>
    </row>
    <row r="39" spans="1:13" x14ac:dyDescent="0.3">
      <c r="A39" s="6"/>
    </row>
    <row r="42" spans="1:13" x14ac:dyDescent="0.3">
      <c r="A42" s="6"/>
    </row>
    <row r="47" spans="1:13" x14ac:dyDescent="0.3">
      <c r="M47" s="11"/>
    </row>
  </sheetData>
  <mergeCells count="2">
    <mergeCell ref="B4:C4"/>
    <mergeCell ref="B5:C5"/>
  </mergeCells>
  <dataValidations count="4">
    <dataValidation type="list" allowBlank="1" showInputMessage="1" showErrorMessage="1" sqref="B13:B20">
      <formula1>"Pass, Partial pass, Fail, ,Not assessed, N/A"</formula1>
    </dataValidation>
    <dataValidation type="list" allowBlank="1" showInputMessage="1" showErrorMessage="1" sqref="B7">
      <formula1>"Wholesale water, Wholesale wastewater"</formula1>
    </dataValidation>
    <dataValidation type="list" allowBlank="1" showInputMessage="1" showErrorMessage="1" sqref="B21:B28">
      <formula1>"Pass,Marginal pass, Partial pass, Fail, ,Not assessed, N/A"</formula1>
    </dataValidation>
    <dataValidation type="list" allowBlank="1" showInputMessage="1" showErrorMessage="1" sqref="B6">
      <formula1>"ANH,NES,NWT,SRN,SVE,SWB,TMS,WSH,WSX,YKY,AFW,BRL,HDD,PRT,SES,SEW,SSC"</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3"/>
  </sheetPr>
  <dimension ref="A1:M47"/>
  <sheetViews>
    <sheetView showGridLines="0" zoomScale="93" zoomScaleNormal="93" workbookViewId="0">
      <selection activeCell="A2" sqref="A2"/>
    </sheetView>
  </sheetViews>
  <sheetFormatPr defaultColWidth="8.7265625" defaultRowHeight="13" x14ac:dyDescent="0.3"/>
  <cols>
    <col min="1" max="1" width="37.7265625" style="2" customWidth="1"/>
    <col min="2" max="2" width="16.54296875" style="2" customWidth="1"/>
    <col min="3" max="3" width="93.1796875" style="2" customWidth="1"/>
    <col min="4" max="4" width="8.54296875" style="2" customWidth="1"/>
    <col min="5" max="5" width="26.54296875" style="2" customWidth="1"/>
    <col min="6" max="13" width="8.54296875" style="2" customWidth="1"/>
    <col min="14" max="16384" width="8.7265625" style="2"/>
  </cols>
  <sheetData>
    <row r="1" spans="1:8" s="63" customFormat="1" ht="18.5" x14ac:dyDescent="0.45">
      <c r="A1" s="1" t="s">
        <v>288</v>
      </c>
      <c r="B1" s="1"/>
      <c r="C1" s="1"/>
      <c r="D1" s="1"/>
      <c r="E1" s="1"/>
      <c r="F1" s="44"/>
      <c r="G1" s="61"/>
      <c r="H1" s="62"/>
    </row>
    <row r="2" spans="1:8" s="13" customFormat="1" x14ac:dyDescent="0.3">
      <c r="A2" s="2"/>
      <c r="B2" s="27"/>
      <c r="C2" s="27"/>
      <c r="D2" s="2"/>
      <c r="E2" s="2"/>
      <c r="F2" s="2"/>
      <c r="G2" s="11"/>
      <c r="H2" s="12"/>
    </row>
    <row r="3" spans="1:8" s="13" customFormat="1" x14ac:dyDescent="0.3">
      <c r="A3" s="6" t="s">
        <v>41</v>
      </c>
      <c r="B3" s="27"/>
      <c r="C3" s="27"/>
      <c r="D3" s="2"/>
      <c r="E3" s="2"/>
      <c r="F3" s="2"/>
      <c r="G3" s="11"/>
      <c r="H3" s="12"/>
    </row>
    <row r="4" spans="1:8" x14ac:dyDescent="0.3">
      <c r="A4" s="14" t="s">
        <v>25</v>
      </c>
      <c r="B4" s="88" t="s">
        <v>217</v>
      </c>
      <c r="C4" s="88"/>
    </row>
    <row r="5" spans="1:8" x14ac:dyDescent="0.3">
      <c r="A5" s="14" t="s">
        <v>26</v>
      </c>
      <c r="B5" s="88" t="s">
        <v>221</v>
      </c>
      <c r="C5" s="88"/>
    </row>
    <row r="6" spans="1:8" x14ac:dyDescent="0.3">
      <c r="A6" s="17" t="s">
        <v>23</v>
      </c>
      <c r="B6" s="18" t="s">
        <v>12</v>
      </c>
      <c r="C6" s="19"/>
    </row>
    <row r="7" spans="1:8" x14ac:dyDescent="0.3">
      <c r="A7" s="17" t="s">
        <v>27</v>
      </c>
      <c r="B7" s="18" t="s">
        <v>39</v>
      </c>
      <c r="C7" s="19"/>
    </row>
    <row r="8" spans="1:8" x14ac:dyDescent="0.3">
      <c r="A8" s="17" t="s">
        <v>141</v>
      </c>
      <c r="B8" s="20">
        <f>Allowance!$G$25</f>
        <v>0</v>
      </c>
    </row>
    <row r="9" spans="1:8" x14ac:dyDescent="0.3">
      <c r="A9" s="16" t="s">
        <v>40</v>
      </c>
      <c r="B9" s="41">
        <v>0</v>
      </c>
      <c r="C9" s="15"/>
      <c r="D9" s="15"/>
    </row>
    <row r="11" spans="1:8" x14ac:dyDescent="0.3">
      <c r="A11" s="6"/>
    </row>
    <row r="12" spans="1:8" x14ac:dyDescent="0.3">
      <c r="A12" s="6" t="s">
        <v>29</v>
      </c>
      <c r="E12" s="6" t="s">
        <v>30</v>
      </c>
    </row>
    <row r="13" spans="1:8" ht="195" x14ac:dyDescent="0.3">
      <c r="A13" s="17" t="s">
        <v>31</v>
      </c>
      <c r="B13" s="17" t="s">
        <v>172</v>
      </c>
      <c r="C13" s="40" t="s">
        <v>280</v>
      </c>
      <c r="E13" s="17" t="s">
        <v>185</v>
      </c>
    </row>
    <row r="14" spans="1:8" x14ac:dyDescent="0.3">
      <c r="A14" s="17" t="s">
        <v>32</v>
      </c>
      <c r="B14" s="17" t="s">
        <v>164</v>
      </c>
      <c r="C14" s="17"/>
      <c r="E14" s="17"/>
    </row>
    <row r="15" spans="1:8" x14ac:dyDescent="0.3">
      <c r="A15" s="17" t="s">
        <v>33</v>
      </c>
      <c r="B15" s="17" t="s">
        <v>164</v>
      </c>
      <c r="C15" s="17"/>
      <c r="E15" s="17"/>
    </row>
    <row r="16" spans="1:8" x14ac:dyDescent="0.3">
      <c r="A16" s="17" t="s">
        <v>34</v>
      </c>
      <c r="B16" s="17" t="s">
        <v>164</v>
      </c>
      <c r="C16" s="40"/>
      <c r="E16" s="17"/>
    </row>
    <row r="17" spans="1:5" x14ac:dyDescent="0.3">
      <c r="A17" s="17" t="s">
        <v>35</v>
      </c>
      <c r="B17" s="17" t="s">
        <v>164</v>
      </c>
      <c r="C17" s="40"/>
      <c r="E17" s="17"/>
    </row>
    <row r="18" spans="1:5" x14ac:dyDescent="0.3">
      <c r="A18" s="17" t="s">
        <v>36</v>
      </c>
      <c r="B18" s="17" t="s">
        <v>164</v>
      </c>
      <c r="C18" s="17"/>
      <c r="E18" s="17"/>
    </row>
    <row r="19" spans="1:5" x14ac:dyDescent="0.3">
      <c r="A19" s="17" t="s">
        <v>37</v>
      </c>
      <c r="B19" s="17" t="s">
        <v>164</v>
      </c>
      <c r="C19" s="17"/>
      <c r="E19" s="17"/>
    </row>
    <row r="20" spans="1:5" x14ac:dyDescent="0.3">
      <c r="A20" s="17" t="s">
        <v>38</v>
      </c>
      <c r="B20" s="17" t="s">
        <v>164</v>
      </c>
      <c r="C20" s="17"/>
      <c r="E20" s="17"/>
    </row>
    <row r="21" spans="1:5" x14ac:dyDescent="0.3">
      <c r="A21" s="22"/>
      <c r="B21" s="22"/>
      <c r="C21" s="22"/>
      <c r="E21" s="22"/>
    </row>
    <row r="22" spans="1:5" x14ac:dyDescent="0.3">
      <c r="A22" s="21"/>
      <c r="B22" s="22"/>
      <c r="C22" s="22"/>
      <c r="E22" s="22"/>
    </row>
    <row r="23" spans="1:5" x14ac:dyDescent="0.3">
      <c r="A23" s="22"/>
      <c r="B23" s="22"/>
      <c r="C23" s="22"/>
      <c r="E23" s="22"/>
    </row>
    <row r="24" spans="1:5" x14ac:dyDescent="0.3">
      <c r="A24" s="22"/>
      <c r="B24" s="22"/>
      <c r="C24" s="22"/>
      <c r="E24" s="22"/>
    </row>
    <row r="25" spans="1:5" x14ac:dyDescent="0.3">
      <c r="A25" s="22"/>
      <c r="B25" s="22"/>
      <c r="C25" s="22"/>
      <c r="E25" s="22"/>
    </row>
    <row r="26" spans="1:5" x14ac:dyDescent="0.3">
      <c r="A26" s="22"/>
      <c r="B26" s="22"/>
      <c r="C26" s="22"/>
      <c r="E26" s="22"/>
    </row>
    <row r="27" spans="1:5" x14ac:dyDescent="0.3">
      <c r="A27" s="22"/>
      <c r="B27" s="22"/>
      <c r="C27" s="22"/>
      <c r="E27" s="22"/>
    </row>
    <row r="28" spans="1:5" x14ac:dyDescent="0.3">
      <c r="A28" s="22"/>
      <c r="B28" s="22"/>
      <c r="C28" s="22"/>
      <c r="E28" s="22"/>
    </row>
    <row r="39" spans="1:13" x14ac:dyDescent="0.3">
      <c r="A39" s="6"/>
    </row>
    <row r="42" spans="1:13" x14ac:dyDescent="0.3">
      <c r="A42" s="6"/>
    </row>
    <row r="47" spans="1:13" x14ac:dyDescent="0.3">
      <c r="M47" s="11"/>
    </row>
  </sheetData>
  <mergeCells count="2">
    <mergeCell ref="B4:C4"/>
    <mergeCell ref="B5:C5"/>
  </mergeCells>
  <dataValidations count="4">
    <dataValidation type="list" allowBlank="1" showInputMessage="1" showErrorMessage="1" sqref="B6">
      <formula1>"ANH,NES,NWT,SRN,SVE,SWB,TMS,WSH,WSX,YKY,AFW,BRL,HDD,PRT,SES,SEW,SSC"</formula1>
    </dataValidation>
    <dataValidation type="list" allowBlank="1" showInputMessage="1" showErrorMessage="1" sqref="B21:B28">
      <formula1>"Pass,Marginal pass, Partial pass, Fail, ,Not assessed, N/A"</formula1>
    </dataValidation>
    <dataValidation type="list" allowBlank="1" showInputMessage="1" showErrorMessage="1" sqref="B7">
      <formula1>"Wholesale water, Wholesale wastewater"</formula1>
    </dataValidation>
    <dataValidation type="list" allowBlank="1" showInputMessage="1" showErrorMessage="1" sqref="B13:B20">
      <formula1>"Pass, Partial pass, Fail, ,Not assessed, N/A"</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sheetPr>
  <dimension ref="A1:M47"/>
  <sheetViews>
    <sheetView showGridLines="0" zoomScale="70" zoomScaleNormal="70" workbookViewId="0">
      <selection activeCell="A2" sqref="A2"/>
    </sheetView>
  </sheetViews>
  <sheetFormatPr defaultColWidth="8.7265625" defaultRowHeight="13" x14ac:dyDescent="0.3"/>
  <cols>
    <col min="1" max="1" width="37.7265625" style="2" customWidth="1"/>
    <col min="2" max="2" width="16.54296875" style="2" customWidth="1"/>
    <col min="3" max="3" width="130" style="2" customWidth="1"/>
    <col min="4" max="4" width="8.54296875" style="2" customWidth="1"/>
    <col min="5" max="5" width="26.54296875" style="2" customWidth="1"/>
    <col min="6" max="13" width="8.54296875" style="2" customWidth="1"/>
    <col min="14" max="16384" width="8.7265625" style="2"/>
  </cols>
  <sheetData>
    <row r="1" spans="1:8" s="63" customFormat="1" ht="18.5" x14ac:dyDescent="0.45">
      <c r="A1" s="1" t="s">
        <v>289</v>
      </c>
      <c r="B1" s="1"/>
      <c r="C1" s="1"/>
      <c r="D1" s="1"/>
      <c r="E1" s="1"/>
      <c r="F1" s="44"/>
      <c r="G1" s="61"/>
      <c r="H1" s="62"/>
    </row>
    <row r="2" spans="1:8" s="13" customFormat="1" x14ac:dyDescent="0.3">
      <c r="A2" s="2"/>
      <c r="B2" s="27"/>
      <c r="C2" s="27"/>
      <c r="D2" s="2"/>
      <c r="E2" s="2"/>
      <c r="F2" s="2"/>
      <c r="G2" s="11"/>
      <c r="H2" s="12"/>
    </row>
    <row r="3" spans="1:8" s="13" customFormat="1" x14ac:dyDescent="0.3">
      <c r="A3" s="6" t="s">
        <v>41</v>
      </c>
      <c r="B3" s="27"/>
      <c r="C3" s="27"/>
      <c r="D3" s="2"/>
      <c r="E3" s="2"/>
      <c r="F3" s="2"/>
      <c r="G3" s="11"/>
      <c r="H3" s="12"/>
    </row>
    <row r="4" spans="1:8" x14ac:dyDescent="0.3">
      <c r="A4" s="14" t="s">
        <v>25</v>
      </c>
      <c r="B4" s="88" t="s">
        <v>217</v>
      </c>
      <c r="C4" s="88"/>
    </row>
    <row r="5" spans="1:8" x14ac:dyDescent="0.3">
      <c r="A5" s="14" t="s">
        <v>26</v>
      </c>
      <c r="B5" s="88" t="s">
        <v>221</v>
      </c>
      <c r="C5" s="88"/>
    </row>
    <row r="6" spans="1:8" x14ac:dyDescent="0.3">
      <c r="A6" s="17" t="s">
        <v>23</v>
      </c>
      <c r="B6" s="18" t="s">
        <v>1</v>
      </c>
      <c r="C6" s="19"/>
    </row>
    <row r="7" spans="1:8" x14ac:dyDescent="0.3">
      <c r="A7" s="17" t="s">
        <v>27</v>
      </c>
      <c r="B7" s="18" t="s">
        <v>39</v>
      </c>
      <c r="C7" s="19"/>
    </row>
    <row r="8" spans="1:8" x14ac:dyDescent="0.3">
      <c r="A8" s="17" t="s">
        <v>141</v>
      </c>
      <c r="B8" s="16">
        <f>Allowance!$G$15</f>
        <v>99.986999999999966</v>
      </c>
    </row>
    <row r="9" spans="1:8" x14ac:dyDescent="0.3">
      <c r="A9" s="16" t="s">
        <v>40</v>
      </c>
      <c r="B9" s="20">
        <v>50.986482746024585</v>
      </c>
      <c r="C9" s="15"/>
      <c r="D9" s="15"/>
    </row>
    <row r="11" spans="1:8" x14ac:dyDescent="0.3">
      <c r="A11" s="6"/>
    </row>
    <row r="12" spans="1:8" x14ac:dyDescent="0.3">
      <c r="A12" s="6" t="s">
        <v>29</v>
      </c>
      <c r="E12" s="6" t="s">
        <v>30</v>
      </c>
    </row>
    <row r="13" spans="1:8" ht="201.75" customHeight="1" x14ac:dyDescent="0.3">
      <c r="A13" s="17" t="s">
        <v>31</v>
      </c>
      <c r="B13" s="17" t="s">
        <v>168</v>
      </c>
      <c r="C13" s="40" t="s">
        <v>246</v>
      </c>
      <c r="E13" s="40" t="s">
        <v>223</v>
      </c>
    </row>
    <row r="14" spans="1:8" x14ac:dyDescent="0.3">
      <c r="A14" s="17" t="s">
        <v>32</v>
      </c>
      <c r="B14" s="17" t="s">
        <v>164</v>
      </c>
      <c r="C14" s="17" t="s">
        <v>176</v>
      </c>
      <c r="E14" s="17" t="s">
        <v>176</v>
      </c>
    </row>
    <row r="15" spans="1:8" x14ac:dyDescent="0.3">
      <c r="A15" s="17" t="s">
        <v>33</v>
      </c>
      <c r="B15" s="17" t="s">
        <v>164</v>
      </c>
      <c r="C15" s="17" t="s">
        <v>176</v>
      </c>
      <c r="E15" s="17" t="s">
        <v>176</v>
      </c>
    </row>
    <row r="16" spans="1:8" ht="159" customHeight="1" x14ac:dyDescent="0.3">
      <c r="A16" s="17" t="s">
        <v>34</v>
      </c>
      <c r="B16" s="17" t="s">
        <v>168</v>
      </c>
      <c r="C16" s="40" t="s">
        <v>281</v>
      </c>
      <c r="E16" s="17" t="s">
        <v>177</v>
      </c>
    </row>
    <row r="17" spans="1:5" ht="46.5" customHeight="1" x14ac:dyDescent="0.3">
      <c r="A17" s="17" t="s">
        <v>35</v>
      </c>
      <c r="B17" s="17" t="s">
        <v>172</v>
      </c>
      <c r="C17" s="40" t="s">
        <v>247</v>
      </c>
      <c r="E17" s="40" t="s">
        <v>178</v>
      </c>
    </row>
    <row r="18" spans="1:5" ht="26" x14ac:dyDescent="0.3">
      <c r="A18" s="17" t="s">
        <v>36</v>
      </c>
      <c r="B18" s="17" t="s">
        <v>168</v>
      </c>
      <c r="C18" s="40" t="s">
        <v>248</v>
      </c>
      <c r="E18" s="17"/>
    </row>
    <row r="19" spans="1:5" x14ac:dyDescent="0.3">
      <c r="A19" s="17" t="s">
        <v>37</v>
      </c>
      <c r="B19" s="17" t="s">
        <v>164</v>
      </c>
      <c r="C19" s="17" t="s">
        <v>176</v>
      </c>
      <c r="E19" s="17" t="s">
        <v>176</v>
      </c>
    </row>
    <row r="20" spans="1:5" x14ac:dyDescent="0.3">
      <c r="A20" s="17" t="s">
        <v>38</v>
      </c>
      <c r="B20" s="17" t="s">
        <v>164</v>
      </c>
      <c r="C20" s="17" t="s">
        <v>176</v>
      </c>
      <c r="E20" s="17" t="s">
        <v>176</v>
      </c>
    </row>
    <row r="21" spans="1:5" x14ac:dyDescent="0.3">
      <c r="A21" s="22"/>
      <c r="B21" s="22"/>
      <c r="C21" s="22"/>
      <c r="E21" s="22"/>
    </row>
    <row r="22" spans="1:5" x14ac:dyDescent="0.3">
      <c r="A22" s="21"/>
      <c r="B22" s="22"/>
      <c r="C22" s="22"/>
      <c r="E22" s="22"/>
    </row>
    <row r="23" spans="1:5" x14ac:dyDescent="0.3">
      <c r="A23" s="22"/>
      <c r="B23" s="22"/>
      <c r="C23" s="22"/>
      <c r="E23" s="22"/>
    </row>
    <row r="24" spans="1:5" x14ac:dyDescent="0.3">
      <c r="A24" s="22"/>
      <c r="B24" s="22"/>
      <c r="C24" s="22"/>
      <c r="E24" s="22"/>
    </row>
    <row r="25" spans="1:5" x14ac:dyDescent="0.3">
      <c r="A25" s="22"/>
      <c r="B25" s="22"/>
      <c r="C25" s="22"/>
      <c r="E25" s="22"/>
    </row>
    <row r="26" spans="1:5" x14ac:dyDescent="0.3">
      <c r="A26" s="22"/>
      <c r="B26" s="22"/>
      <c r="C26" s="22"/>
      <c r="E26" s="22"/>
    </row>
    <row r="27" spans="1:5" x14ac:dyDescent="0.3">
      <c r="A27" s="22"/>
      <c r="B27" s="22"/>
      <c r="C27" s="22"/>
      <c r="E27" s="22"/>
    </row>
    <row r="28" spans="1:5" x14ac:dyDescent="0.3">
      <c r="A28" s="22"/>
      <c r="B28" s="22"/>
      <c r="C28" s="22"/>
      <c r="E28" s="22"/>
    </row>
    <row r="39" spans="1:13" x14ac:dyDescent="0.3">
      <c r="A39" s="6"/>
    </row>
    <row r="42" spans="1:13" x14ac:dyDescent="0.3">
      <c r="A42" s="6"/>
    </row>
    <row r="47" spans="1:13" x14ac:dyDescent="0.3">
      <c r="M47" s="11"/>
    </row>
  </sheetData>
  <mergeCells count="2">
    <mergeCell ref="B4:C4"/>
    <mergeCell ref="B5:C5"/>
  </mergeCells>
  <dataValidations count="4">
    <dataValidation type="list" allowBlank="1" showInputMessage="1" showErrorMessage="1" sqref="B13:B20">
      <formula1>"Pass, Partial pass, Fail, ,Not assessed, N/A"</formula1>
    </dataValidation>
    <dataValidation type="list" allowBlank="1" showInputMessage="1" showErrorMessage="1" sqref="B7">
      <formula1>"Wholesale water, Wholesale wastewater"</formula1>
    </dataValidation>
    <dataValidation type="list" allowBlank="1" showInputMessage="1" showErrorMessage="1" sqref="B21:B28">
      <formula1>"Pass,Marginal pass, Partial pass, Fail, ,Not assessed, N/A"</formula1>
    </dataValidation>
    <dataValidation type="list" allowBlank="1" showInputMessage="1" showErrorMessage="1" sqref="B6">
      <formula1>"ANH,NES,NWT,SRN,SVE,SWB,TMS,WSH,WSX,YKY,AFW,BRL,HDD,PRT,SES,SEW,SSC"</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sheetPr>
  <dimension ref="A1:M47"/>
  <sheetViews>
    <sheetView showGridLines="0" zoomScale="80" zoomScaleNormal="80" workbookViewId="0">
      <selection activeCell="A2" sqref="A2"/>
    </sheetView>
  </sheetViews>
  <sheetFormatPr defaultColWidth="8.7265625" defaultRowHeight="13" x14ac:dyDescent="0.3"/>
  <cols>
    <col min="1" max="1" width="37.7265625" style="2" customWidth="1"/>
    <col min="2" max="2" width="16.54296875" style="2" customWidth="1"/>
    <col min="3" max="3" width="110.54296875" style="2" customWidth="1"/>
    <col min="4" max="4" width="8.54296875" style="2" customWidth="1"/>
    <col min="5" max="5" width="26.54296875" style="2" customWidth="1"/>
    <col min="6" max="13" width="8.54296875" style="2" customWidth="1"/>
    <col min="14" max="16384" width="8.7265625" style="2"/>
  </cols>
  <sheetData>
    <row r="1" spans="1:8" s="63" customFormat="1" ht="18.5" x14ac:dyDescent="0.45">
      <c r="A1" s="1" t="s">
        <v>290</v>
      </c>
      <c r="B1" s="1"/>
      <c r="C1" s="1"/>
      <c r="D1" s="1"/>
      <c r="E1" s="1"/>
      <c r="F1" s="44"/>
      <c r="G1" s="61"/>
      <c r="H1" s="62"/>
    </row>
    <row r="2" spans="1:8" s="13" customFormat="1" x14ac:dyDescent="0.3">
      <c r="A2" s="2"/>
      <c r="B2" s="27"/>
      <c r="C2" s="27"/>
      <c r="D2" s="2"/>
      <c r="E2" s="2"/>
      <c r="F2" s="2"/>
      <c r="G2" s="11"/>
      <c r="H2" s="12"/>
    </row>
    <row r="3" spans="1:8" s="13" customFormat="1" x14ac:dyDescent="0.3">
      <c r="A3" s="6" t="s">
        <v>41</v>
      </c>
      <c r="B3" s="27"/>
      <c r="C3" s="27"/>
      <c r="D3" s="2"/>
      <c r="E3" s="2"/>
      <c r="F3" s="2"/>
      <c r="G3" s="11"/>
      <c r="H3" s="12"/>
    </row>
    <row r="4" spans="1:8" x14ac:dyDescent="0.3">
      <c r="A4" s="14" t="s">
        <v>25</v>
      </c>
      <c r="B4" s="88" t="s">
        <v>217</v>
      </c>
      <c r="C4" s="88"/>
    </row>
    <row r="5" spans="1:8" x14ac:dyDescent="0.3">
      <c r="A5" s="14" t="s">
        <v>26</v>
      </c>
      <c r="B5" s="88" t="s">
        <v>221</v>
      </c>
      <c r="C5" s="88"/>
    </row>
    <row r="6" spans="1:8" x14ac:dyDescent="0.3">
      <c r="A6" s="17" t="s">
        <v>23</v>
      </c>
      <c r="B6" s="18" t="s">
        <v>2</v>
      </c>
      <c r="C6" s="19"/>
    </row>
    <row r="7" spans="1:8" x14ac:dyDescent="0.3">
      <c r="A7" s="17" t="s">
        <v>27</v>
      </c>
      <c r="B7" s="18" t="s">
        <v>39</v>
      </c>
      <c r="C7" s="19"/>
    </row>
    <row r="8" spans="1:8" x14ac:dyDescent="0.3">
      <c r="A8" s="17" t="s">
        <v>141</v>
      </c>
      <c r="B8" s="20">
        <f>Allowance!$G$16</f>
        <v>22.252200764229244</v>
      </c>
    </row>
    <row r="9" spans="1:8" x14ac:dyDescent="0.3">
      <c r="A9" s="16" t="s">
        <v>40</v>
      </c>
      <c r="B9" s="20">
        <v>22.252200764229244</v>
      </c>
      <c r="C9" s="15"/>
      <c r="D9" s="15"/>
    </row>
    <row r="11" spans="1:8" x14ac:dyDescent="0.3">
      <c r="A11" s="6"/>
    </row>
    <row r="12" spans="1:8" x14ac:dyDescent="0.3">
      <c r="A12" s="6" t="s">
        <v>29</v>
      </c>
      <c r="E12" s="6" t="s">
        <v>30</v>
      </c>
    </row>
    <row r="13" spans="1:8" ht="117" x14ac:dyDescent="0.3">
      <c r="A13" s="17" t="s">
        <v>31</v>
      </c>
      <c r="B13" s="17" t="s">
        <v>168</v>
      </c>
      <c r="C13" s="45" t="s">
        <v>282</v>
      </c>
      <c r="E13" s="40" t="s">
        <v>224</v>
      </c>
    </row>
    <row r="14" spans="1:8" x14ac:dyDescent="0.3">
      <c r="A14" s="17" t="s">
        <v>32</v>
      </c>
      <c r="B14" s="17" t="s">
        <v>164</v>
      </c>
      <c r="C14" s="17" t="s">
        <v>176</v>
      </c>
      <c r="E14" s="17"/>
    </row>
    <row r="15" spans="1:8" x14ac:dyDescent="0.3">
      <c r="A15" s="17" t="s">
        <v>33</v>
      </c>
      <c r="B15" s="17" t="s">
        <v>164</v>
      </c>
      <c r="C15" s="17" t="s">
        <v>176</v>
      </c>
      <c r="E15" s="17"/>
    </row>
    <row r="16" spans="1:8" ht="91.5" customHeight="1" x14ac:dyDescent="0.3">
      <c r="A16" s="17" t="s">
        <v>34</v>
      </c>
      <c r="B16" s="17" t="s">
        <v>169</v>
      </c>
      <c r="C16" s="40" t="s">
        <v>283</v>
      </c>
      <c r="E16" s="40" t="s">
        <v>225</v>
      </c>
    </row>
    <row r="17" spans="1:5" ht="36" customHeight="1" x14ac:dyDescent="0.3">
      <c r="A17" s="17" t="s">
        <v>35</v>
      </c>
      <c r="B17" s="17" t="s">
        <v>168</v>
      </c>
      <c r="C17" s="40" t="s">
        <v>226</v>
      </c>
      <c r="E17" s="40" t="s">
        <v>175</v>
      </c>
    </row>
    <row r="18" spans="1:5" ht="33.75" customHeight="1" x14ac:dyDescent="0.3">
      <c r="A18" s="17" t="s">
        <v>36</v>
      </c>
      <c r="B18" s="17" t="s">
        <v>168</v>
      </c>
      <c r="C18" s="40" t="s">
        <v>249</v>
      </c>
      <c r="E18" s="40" t="s">
        <v>175</v>
      </c>
    </row>
    <row r="19" spans="1:5" x14ac:dyDescent="0.3">
      <c r="A19" s="17" t="s">
        <v>37</v>
      </c>
      <c r="B19" s="17" t="s">
        <v>164</v>
      </c>
      <c r="C19" s="40" t="s">
        <v>176</v>
      </c>
      <c r="E19" s="40"/>
    </row>
    <row r="20" spans="1:5" x14ac:dyDescent="0.3">
      <c r="A20" s="17" t="s">
        <v>38</v>
      </c>
      <c r="B20" s="17" t="s">
        <v>164</v>
      </c>
      <c r="C20" s="40" t="s">
        <v>176</v>
      </c>
      <c r="E20" s="40"/>
    </row>
    <row r="21" spans="1:5" x14ac:dyDescent="0.3">
      <c r="A21" s="22"/>
      <c r="B21" s="22"/>
      <c r="C21" s="22"/>
      <c r="E21" s="22"/>
    </row>
    <row r="22" spans="1:5" x14ac:dyDescent="0.3">
      <c r="A22" s="21"/>
      <c r="B22" s="22"/>
      <c r="C22" s="22"/>
      <c r="E22" s="22"/>
    </row>
    <row r="23" spans="1:5" x14ac:dyDescent="0.3">
      <c r="A23" s="22"/>
      <c r="B23" s="22"/>
      <c r="C23" s="22"/>
      <c r="E23" s="22"/>
    </row>
    <row r="24" spans="1:5" x14ac:dyDescent="0.3">
      <c r="A24" s="22"/>
      <c r="B24" s="22"/>
      <c r="C24" s="22"/>
      <c r="E24" s="22"/>
    </row>
    <row r="25" spans="1:5" x14ac:dyDescent="0.3">
      <c r="A25" s="22"/>
      <c r="B25" s="22"/>
      <c r="C25" s="22"/>
      <c r="E25" s="22"/>
    </row>
    <row r="26" spans="1:5" x14ac:dyDescent="0.3">
      <c r="A26" s="22"/>
      <c r="B26" s="22"/>
      <c r="C26" s="22"/>
      <c r="E26" s="22"/>
    </row>
    <row r="27" spans="1:5" x14ac:dyDescent="0.3">
      <c r="A27" s="22"/>
      <c r="B27" s="22"/>
      <c r="C27" s="22"/>
      <c r="E27" s="22"/>
    </row>
    <row r="28" spans="1:5" x14ac:dyDescent="0.3">
      <c r="A28" s="22"/>
      <c r="B28" s="22"/>
      <c r="C28" s="22"/>
      <c r="E28" s="22"/>
    </row>
    <row r="39" spans="1:13" x14ac:dyDescent="0.3">
      <c r="A39" s="6"/>
    </row>
    <row r="42" spans="1:13" x14ac:dyDescent="0.3">
      <c r="A42" s="6"/>
    </row>
    <row r="47" spans="1:13" x14ac:dyDescent="0.3">
      <c r="M47" s="11"/>
    </row>
  </sheetData>
  <mergeCells count="2">
    <mergeCell ref="B4:C4"/>
    <mergeCell ref="B5:C5"/>
  </mergeCells>
  <dataValidations count="4">
    <dataValidation type="list" allowBlank="1" showInputMessage="1" showErrorMessage="1" sqref="B6">
      <formula1>"ANH,NES,NWT,SRN,SVE,SWB,TMS,WSH,WSX,YKY,AFW,BRL,HDD,PRT,SES,SEW,SSC"</formula1>
    </dataValidation>
    <dataValidation type="list" allowBlank="1" showInputMessage="1" showErrorMessage="1" sqref="B21:B28">
      <formula1>"Pass,Marginal pass, Partial pass, Fail, ,Not assessed, N/A"</formula1>
    </dataValidation>
    <dataValidation type="list" allowBlank="1" showInputMessage="1" showErrorMessage="1" sqref="B7">
      <formula1>"Wholesale water, Wholesale wastewater"</formula1>
    </dataValidation>
    <dataValidation type="list" allowBlank="1" showInputMessage="1" showErrorMessage="1" sqref="B13:B20">
      <formula1>"Pass, Partial pass, Fail, ,Not assessed, N/A"</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3"/>
  </sheetPr>
  <dimension ref="A1:M47"/>
  <sheetViews>
    <sheetView showGridLines="0" topLeftCell="A19" zoomScale="85" zoomScaleNormal="85" workbookViewId="0">
      <selection activeCell="A22" sqref="A22"/>
    </sheetView>
  </sheetViews>
  <sheetFormatPr defaultColWidth="8.7265625" defaultRowHeight="13" x14ac:dyDescent="0.3"/>
  <cols>
    <col min="1" max="1" width="37.7265625" style="2" customWidth="1"/>
    <col min="2" max="2" width="16.54296875" style="2" customWidth="1"/>
    <col min="3" max="3" width="122.26953125" style="2" customWidth="1"/>
    <col min="4" max="4" width="8.54296875" style="2" customWidth="1"/>
    <col min="5" max="5" width="26.54296875" style="2" customWidth="1"/>
    <col min="6" max="13" width="8.54296875" style="2" customWidth="1"/>
    <col min="14" max="16384" width="8.7265625" style="2"/>
  </cols>
  <sheetData>
    <row r="1" spans="1:8" s="63" customFormat="1" ht="18.5" x14ac:dyDescent="0.45">
      <c r="A1" s="1" t="s">
        <v>291</v>
      </c>
      <c r="B1" s="1"/>
      <c r="C1" s="1"/>
      <c r="D1" s="1"/>
      <c r="E1" s="1"/>
      <c r="F1" s="44"/>
      <c r="G1" s="61"/>
      <c r="H1" s="62"/>
    </row>
    <row r="2" spans="1:8" s="13" customFormat="1" x14ac:dyDescent="0.3">
      <c r="A2" s="2"/>
      <c r="B2" s="27"/>
      <c r="C2" s="27"/>
      <c r="D2" s="2"/>
      <c r="E2" s="2"/>
      <c r="F2" s="2"/>
      <c r="G2" s="11"/>
      <c r="H2" s="12"/>
    </row>
    <row r="3" spans="1:8" s="13" customFormat="1" x14ac:dyDescent="0.3">
      <c r="A3" s="6" t="s">
        <v>41</v>
      </c>
      <c r="B3" s="27"/>
      <c r="C3" s="27"/>
      <c r="D3" s="2"/>
      <c r="E3" s="2"/>
      <c r="F3" s="2"/>
      <c r="G3" s="11"/>
      <c r="H3" s="12"/>
    </row>
    <row r="4" spans="1:8" x14ac:dyDescent="0.3">
      <c r="A4" s="14" t="s">
        <v>25</v>
      </c>
      <c r="B4" s="88" t="s">
        <v>217</v>
      </c>
      <c r="C4" s="88"/>
    </row>
    <row r="5" spans="1:8" x14ac:dyDescent="0.3">
      <c r="A5" s="14" t="s">
        <v>26</v>
      </c>
      <c r="B5" s="88" t="s">
        <v>221</v>
      </c>
      <c r="C5" s="88"/>
    </row>
    <row r="6" spans="1:8" x14ac:dyDescent="0.3">
      <c r="A6" s="17" t="s">
        <v>23</v>
      </c>
      <c r="B6" s="18" t="s">
        <v>14</v>
      </c>
      <c r="C6" s="19"/>
    </row>
    <row r="7" spans="1:8" x14ac:dyDescent="0.3">
      <c r="A7" s="17" t="s">
        <v>27</v>
      </c>
      <c r="B7" s="18" t="s">
        <v>39</v>
      </c>
      <c r="C7" s="19"/>
    </row>
    <row r="8" spans="1:8" x14ac:dyDescent="0.3">
      <c r="A8" s="17" t="s">
        <v>141</v>
      </c>
      <c r="B8" s="20">
        <f>Allowance!$G$26</f>
        <v>2.548</v>
      </c>
    </row>
    <row r="9" spans="1:8" x14ac:dyDescent="0.3">
      <c r="A9" s="16" t="s">
        <v>40</v>
      </c>
      <c r="B9" s="20">
        <v>2.548</v>
      </c>
      <c r="C9" s="15"/>
      <c r="D9" s="15"/>
    </row>
    <row r="11" spans="1:8" x14ac:dyDescent="0.3">
      <c r="A11" s="6" t="s">
        <v>28</v>
      </c>
    </row>
    <row r="12" spans="1:8" x14ac:dyDescent="0.3">
      <c r="A12" s="21" t="s">
        <v>29</v>
      </c>
      <c r="E12" s="6" t="s">
        <v>30</v>
      </c>
    </row>
    <row r="13" spans="1:8" ht="234" x14ac:dyDescent="0.3">
      <c r="A13" s="17" t="s">
        <v>31</v>
      </c>
      <c r="B13" s="40" t="s">
        <v>168</v>
      </c>
      <c r="C13" s="40" t="s">
        <v>250</v>
      </c>
      <c r="E13" s="40" t="s">
        <v>227</v>
      </c>
    </row>
    <row r="14" spans="1:8" x14ac:dyDescent="0.3">
      <c r="A14" s="17" t="s">
        <v>32</v>
      </c>
      <c r="B14" s="40" t="s">
        <v>164</v>
      </c>
      <c r="C14" s="40"/>
      <c r="E14" s="17"/>
    </row>
    <row r="15" spans="1:8" x14ac:dyDescent="0.3">
      <c r="A15" s="17" t="s">
        <v>33</v>
      </c>
      <c r="B15" s="40" t="s">
        <v>164</v>
      </c>
      <c r="C15" s="40"/>
      <c r="E15" s="17"/>
    </row>
    <row r="16" spans="1:8" ht="221.25" customHeight="1" x14ac:dyDescent="0.3">
      <c r="A16" s="17" t="s">
        <v>34</v>
      </c>
      <c r="B16" s="40" t="s">
        <v>169</v>
      </c>
      <c r="C16" s="40" t="s">
        <v>251</v>
      </c>
      <c r="E16" s="40" t="s">
        <v>240</v>
      </c>
    </row>
    <row r="17" spans="1:5" ht="134.25" customHeight="1" x14ac:dyDescent="0.3">
      <c r="A17" s="17" t="s">
        <v>35</v>
      </c>
      <c r="B17" s="40" t="s">
        <v>169</v>
      </c>
      <c r="C17" s="40" t="s">
        <v>252</v>
      </c>
      <c r="E17" s="40" t="s">
        <v>228</v>
      </c>
    </row>
    <row r="18" spans="1:5" x14ac:dyDescent="0.3">
      <c r="A18" s="17" t="s">
        <v>36</v>
      </c>
      <c r="B18" s="40" t="s">
        <v>169</v>
      </c>
      <c r="C18" s="40" t="s">
        <v>271</v>
      </c>
      <c r="E18" s="17"/>
    </row>
    <row r="19" spans="1:5" x14ac:dyDescent="0.3">
      <c r="A19" s="17" t="s">
        <v>37</v>
      </c>
      <c r="B19" s="40" t="s">
        <v>164</v>
      </c>
      <c r="C19" s="40"/>
      <c r="E19" s="17"/>
    </row>
    <row r="20" spans="1:5" x14ac:dyDescent="0.3">
      <c r="A20" s="17" t="s">
        <v>38</v>
      </c>
      <c r="B20" s="40" t="s">
        <v>164</v>
      </c>
      <c r="C20" s="40"/>
      <c r="E20" s="17"/>
    </row>
    <row r="21" spans="1:5" x14ac:dyDescent="0.3">
      <c r="A21" s="22"/>
      <c r="B21" s="22"/>
      <c r="C21" s="22"/>
      <c r="E21" s="22"/>
    </row>
    <row r="22" spans="1:5" x14ac:dyDescent="0.3">
      <c r="A22" s="21"/>
      <c r="B22" s="22"/>
      <c r="C22" s="22"/>
      <c r="E22" s="22"/>
    </row>
    <row r="23" spans="1:5" x14ac:dyDescent="0.3">
      <c r="A23" s="22"/>
      <c r="B23" s="22"/>
      <c r="C23" s="22"/>
      <c r="E23" s="22"/>
    </row>
    <row r="24" spans="1:5" x14ac:dyDescent="0.3">
      <c r="A24" s="22"/>
      <c r="B24" s="22"/>
      <c r="C24" s="22"/>
      <c r="E24" s="22"/>
    </row>
    <row r="25" spans="1:5" x14ac:dyDescent="0.3">
      <c r="A25" s="22"/>
      <c r="B25" s="22"/>
      <c r="C25" s="22"/>
      <c r="E25" s="22"/>
    </row>
    <row r="26" spans="1:5" x14ac:dyDescent="0.3">
      <c r="A26" s="22"/>
      <c r="B26" s="22"/>
      <c r="C26" s="22"/>
      <c r="E26" s="22"/>
    </row>
    <row r="27" spans="1:5" x14ac:dyDescent="0.3">
      <c r="A27" s="22"/>
      <c r="B27" s="22"/>
      <c r="C27" s="22"/>
      <c r="E27" s="22"/>
    </row>
    <row r="28" spans="1:5" x14ac:dyDescent="0.3">
      <c r="A28" s="22"/>
      <c r="B28" s="22"/>
      <c r="C28" s="22"/>
      <c r="E28" s="22"/>
    </row>
    <row r="39" spans="1:13" x14ac:dyDescent="0.3">
      <c r="A39" s="6"/>
    </row>
    <row r="42" spans="1:13" x14ac:dyDescent="0.3">
      <c r="A42" s="6"/>
    </row>
    <row r="47" spans="1:13" x14ac:dyDescent="0.3">
      <c r="M47" s="11"/>
    </row>
  </sheetData>
  <mergeCells count="2">
    <mergeCell ref="B4:C4"/>
    <mergeCell ref="B5:C5"/>
  </mergeCells>
  <dataValidations count="4">
    <dataValidation type="list" allowBlank="1" showInputMessage="1" showErrorMessage="1" sqref="B13:B20">
      <formula1>"Pass, Partial pass, Fail, ,Not assessed, N/A"</formula1>
    </dataValidation>
    <dataValidation type="list" allowBlank="1" showInputMessage="1" showErrorMessage="1" sqref="B7">
      <formula1>"Wholesale water, Wholesale wastewater"</formula1>
    </dataValidation>
    <dataValidation type="list" allowBlank="1" showInputMessage="1" showErrorMessage="1" sqref="B21:B28">
      <formula1>"Pass,Marginal pass, Partial pass, Fail, ,Not assessed, N/A"</formula1>
    </dataValidation>
    <dataValidation type="list" allowBlank="1" showInputMessage="1" showErrorMessage="1" sqref="B6">
      <formula1>"ANH,NES,NWT,SRN,SVE,SWB,TMS,WSH,WSX,YKY,AFW,BRL,HDD,PRT,SES,SEW,SSC"</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Cover</vt:lpstr>
      <vt:lpstr>Data</vt:lpstr>
      <vt:lpstr>Analysis</vt:lpstr>
      <vt:lpstr>Deep dive AFW</vt:lpstr>
      <vt:lpstr>Deep dive ANH</vt:lpstr>
      <vt:lpstr>Deep dive BRL</vt:lpstr>
      <vt:lpstr>Deep dive NES</vt:lpstr>
      <vt:lpstr>Deep dive NWT</vt:lpstr>
      <vt:lpstr>Deep dive PRT</vt:lpstr>
      <vt:lpstr>Deep dive SES</vt:lpstr>
      <vt:lpstr>Deep dive SEW</vt:lpstr>
      <vt:lpstr>Deep dive SSC</vt:lpstr>
      <vt:lpstr>Deep Dive SWB</vt:lpstr>
      <vt:lpstr>Deep Dive SVE</vt:lpstr>
      <vt:lpstr>Deep Dive TMS</vt:lpstr>
      <vt:lpstr>Deep dive WSH</vt:lpstr>
      <vt:lpstr>Deep dive WSX</vt:lpstr>
      <vt:lpstr>Allowance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2019-01-24T09:22:19Z</dcterms:created>
  <dcterms:modified xsi:type="dcterms:W3CDTF">2019-12-13T15:01:00Z</dcterms:modified>
  <cp:category/>
  <cp:contentStatus/>
</cp:coreProperties>
</file>