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bookViews>
    <workbookView xWindow="0" yWindow="0" windowWidth="13620" windowHeight="3360" tabRatio="868"/>
  </bookViews>
  <sheets>
    <sheet name="Cover" sheetId="7" r:id="rId1"/>
    <sheet name="Inputs&gt;&gt;" sheetId="15" r:id="rId2"/>
    <sheet name="Inputs" sheetId="81" r:id="rId3"/>
    <sheet name="Controls" sheetId="64" r:id="rId4"/>
    <sheet name="BP costs" sheetId="78" r:id="rId5"/>
    <sheet name="Coeffs" sheetId="1" r:id="rId6"/>
    <sheet name="Drivers" sheetId="36" r:id="rId7"/>
    <sheet name="Modelled costs" sheetId="44" r:id="rId8"/>
    <sheet name="Final allowance" sheetId="77" r:id="rId9"/>
    <sheet name="Financial model inputs" sheetId="79"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78" l="1"/>
  <c r="G19" i="64" l="1"/>
  <c r="G20" i="64"/>
  <c r="G21" i="64"/>
  <c r="G22" i="64"/>
  <c r="G23" i="64"/>
  <c r="G24" i="64"/>
  <c r="D19" i="64" l="1"/>
  <c r="E19" i="64"/>
  <c r="F19" i="64" s="1"/>
  <c r="D20" i="64"/>
  <c r="E24" i="64" l="1"/>
  <c r="E23" i="64"/>
  <c r="E22" i="64"/>
  <c r="E21" i="64"/>
  <c r="E20" i="64"/>
  <c r="D24" i="64"/>
  <c r="D23" i="64"/>
  <c r="D22" i="64"/>
  <c r="D21" i="64"/>
  <c r="F20" i="64" l="1"/>
  <c r="F21" i="64"/>
  <c r="F22" i="64"/>
  <c r="F23" i="64"/>
  <c r="F24" i="64"/>
  <c r="B5" i="44"/>
  <c r="B1" i="36"/>
  <c r="B4" i="78"/>
  <c r="C17" i="64" l="1"/>
  <c r="S465" i="81" l="1"/>
  <c r="S461" i="81"/>
  <c r="S457" i="81"/>
  <c r="S453" i="81"/>
  <c r="S449" i="81"/>
  <c r="S445" i="81"/>
  <c r="S441" i="81"/>
  <c r="S437" i="81"/>
  <c r="S433" i="81"/>
  <c r="S432" i="81"/>
  <c r="S429" i="81"/>
  <c r="S428" i="81"/>
  <c r="S425" i="81"/>
  <c r="S439" i="81" l="1"/>
  <c r="S443" i="81"/>
  <c r="S447" i="81"/>
  <c r="S451" i="81"/>
  <c r="S455" i="81"/>
  <c r="S459" i="81"/>
  <c r="S463" i="81"/>
  <c r="S423" i="81"/>
  <c r="S427" i="81"/>
  <c r="S431" i="81"/>
  <c r="S435" i="81"/>
  <c r="S436" i="81"/>
  <c r="S422" i="81"/>
  <c r="S426" i="81"/>
  <c r="S430" i="81"/>
  <c r="S434" i="81"/>
  <c r="S438" i="81"/>
  <c r="S442" i="81"/>
  <c r="S446" i="81"/>
  <c r="S450" i="81"/>
  <c r="S454" i="81"/>
  <c r="S458" i="81"/>
  <c r="S462" i="81"/>
  <c r="S424" i="81"/>
  <c r="S440" i="81"/>
  <c r="S444" i="81"/>
  <c r="S448" i="81"/>
  <c r="S452" i="81"/>
  <c r="S456" i="81"/>
  <c r="S460" i="81"/>
  <c r="S464" i="81"/>
  <c r="O3" i="44"/>
  <c r="N3" i="44"/>
  <c r="D13" i="64"/>
  <c r="D12" i="64"/>
  <c r="D11" i="64"/>
  <c r="B1" i="79" l="1"/>
  <c r="L3" i="44" l="1"/>
  <c r="S401" i="81" l="1"/>
  <c r="S405" i="81"/>
  <c r="S409" i="81"/>
  <c r="S413" i="81"/>
  <c r="S400" i="81"/>
  <c r="S417" i="81"/>
  <c r="S421" i="81"/>
  <c r="S404" i="81"/>
  <c r="S408" i="81"/>
  <c r="S412" i="81"/>
  <c r="S416" i="81"/>
  <c r="S420" i="81"/>
  <c r="S403" i="81"/>
  <c r="S407" i="81"/>
  <c r="S411" i="81"/>
  <c r="S415" i="81"/>
  <c r="S419" i="81"/>
  <c r="S402" i="81"/>
  <c r="S406" i="81"/>
  <c r="S410" i="81"/>
  <c r="S414" i="81"/>
  <c r="S418" i="81"/>
  <c r="S355" i="81" l="1"/>
  <c r="S307" i="81"/>
  <c r="S311" i="81"/>
  <c r="S191" i="81"/>
  <c r="S195" i="81"/>
  <c r="S199" i="81"/>
  <c r="S203" i="81"/>
  <c r="S207" i="81"/>
  <c r="S211" i="81"/>
  <c r="S215" i="81"/>
  <c r="S219" i="81"/>
  <c r="S223" i="81"/>
  <c r="S271" i="81"/>
  <c r="S275" i="81"/>
  <c r="S279" i="81"/>
  <c r="S283" i="81"/>
  <c r="S287" i="81"/>
  <c r="S291" i="81"/>
  <c r="S295" i="81"/>
  <c r="S299" i="81"/>
  <c r="S303" i="81"/>
  <c r="S315" i="81"/>
  <c r="S319" i="81"/>
  <c r="S323" i="81"/>
  <c r="S327" i="81"/>
  <c r="S7" i="81"/>
  <c r="S11" i="81"/>
  <c r="S15" i="81"/>
  <c r="S19" i="81"/>
  <c r="S23" i="81"/>
  <c r="S27" i="81"/>
  <c r="S31" i="81"/>
  <c r="S35" i="81"/>
  <c r="S39" i="81"/>
  <c r="S43" i="81"/>
  <c r="S47" i="81"/>
  <c r="S51" i="81"/>
  <c r="S55" i="81"/>
  <c r="S59" i="81"/>
  <c r="S63" i="81"/>
  <c r="S67" i="81"/>
  <c r="S71" i="81"/>
  <c r="S75" i="81"/>
  <c r="S79" i="81"/>
  <c r="S83" i="81"/>
  <c r="S87" i="81"/>
  <c r="S91" i="81"/>
  <c r="S95" i="81"/>
  <c r="S99" i="81"/>
  <c r="S103" i="81"/>
  <c r="S107" i="81"/>
  <c r="S111" i="81"/>
  <c r="S115" i="81"/>
  <c r="S119" i="81"/>
  <c r="S123" i="81"/>
  <c r="S127" i="81"/>
  <c r="S131" i="81"/>
  <c r="S135" i="81"/>
  <c r="S139" i="81"/>
  <c r="S143" i="81"/>
  <c r="S147" i="81"/>
  <c r="S151" i="81"/>
  <c r="S155" i="81"/>
  <c r="S159" i="81"/>
  <c r="S163" i="81"/>
  <c r="S167" i="81"/>
  <c r="S171" i="81"/>
  <c r="S175" i="81"/>
  <c r="S179" i="81"/>
  <c r="S183" i="81"/>
  <c r="S187" i="81"/>
  <c r="S227" i="81"/>
  <c r="S231" i="81"/>
  <c r="S235" i="81"/>
  <c r="S239" i="81"/>
  <c r="S243" i="81"/>
  <c r="S247" i="81"/>
  <c r="S251" i="81"/>
  <c r="S255" i="81"/>
  <c r="S259" i="81"/>
  <c r="S263" i="81"/>
  <c r="S267" i="81"/>
  <c r="S331" i="81"/>
  <c r="S335" i="81"/>
  <c r="S339" i="81"/>
  <c r="S343" i="81"/>
  <c r="S347" i="81"/>
  <c r="S383" i="81"/>
  <c r="S387" i="81"/>
  <c r="S391" i="81"/>
  <c r="S395" i="81"/>
  <c r="S5" i="81"/>
  <c r="S9" i="81"/>
  <c r="S13" i="81"/>
  <c r="S17" i="81"/>
  <c r="S21" i="81"/>
  <c r="S25" i="81"/>
  <c r="S29" i="81"/>
  <c r="S33" i="81"/>
  <c r="S37" i="81"/>
  <c r="S41" i="81"/>
  <c r="S45" i="81"/>
  <c r="S49" i="81"/>
  <c r="S53" i="81"/>
  <c r="S57" i="81"/>
  <c r="S61" i="81"/>
  <c r="S65" i="81"/>
  <c r="S69" i="81"/>
  <c r="S73" i="81"/>
  <c r="S77" i="81"/>
  <c r="S81" i="81"/>
  <c r="S85" i="81"/>
  <c r="S89" i="81"/>
  <c r="S93" i="81"/>
  <c r="S97" i="81"/>
  <c r="S101" i="81"/>
  <c r="S105" i="81"/>
  <c r="S109" i="81"/>
  <c r="S113" i="81"/>
  <c r="S141" i="81"/>
  <c r="S145" i="81"/>
  <c r="S149" i="81"/>
  <c r="S153" i="81"/>
  <c r="S157" i="81"/>
  <c r="S161" i="81"/>
  <c r="S201" i="81"/>
  <c r="S205" i="81"/>
  <c r="S209" i="81"/>
  <c r="S213" i="81"/>
  <c r="S217" i="81"/>
  <c r="S221" i="81"/>
  <c r="S225" i="81"/>
  <c r="S229" i="81"/>
  <c r="S233" i="81"/>
  <c r="S237" i="81"/>
  <c r="S241" i="81"/>
  <c r="S245" i="81"/>
  <c r="S329" i="81"/>
  <c r="S333" i="81"/>
  <c r="S337" i="81"/>
  <c r="S341" i="81"/>
  <c r="S345" i="81"/>
  <c r="S349" i="81"/>
  <c r="S353" i="81"/>
  <c r="S359" i="81"/>
  <c r="S363" i="81"/>
  <c r="S379" i="81"/>
  <c r="S399" i="81"/>
  <c r="S385" i="81"/>
  <c r="S389" i="81"/>
  <c r="S393" i="81"/>
  <c r="S397" i="81"/>
  <c r="S117" i="81"/>
  <c r="S121" i="81"/>
  <c r="S125" i="81"/>
  <c r="S129" i="81"/>
  <c r="S133" i="81"/>
  <c r="S137" i="81"/>
  <c r="S165" i="81"/>
  <c r="S169" i="81"/>
  <c r="S173" i="81"/>
  <c r="S177" i="81"/>
  <c r="S181" i="81"/>
  <c r="S185" i="81"/>
  <c r="S189" i="81"/>
  <c r="S193" i="81"/>
  <c r="S197" i="81"/>
  <c r="S248" i="81"/>
  <c r="S252" i="81"/>
  <c r="S256" i="81"/>
  <c r="S260" i="81"/>
  <c r="S264" i="81"/>
  <c r="S268" i="81"/>
  <c r="S272" i="81"/>
  <c r="S288" i="81"/>
  <c r="S296" i="81"/>
  <c r="S300" i="81"/>
  <c r="S304" i="81"/>
  <c r="S312" i="81"/>
  <c r="S316" i="81"/>
  <c r="S352" i="81"/>
  <c r="S356" i="81"/>
  <c r="S360" i="81"/>
  <c r="S368" i="81"/>
  <c r="S372" i="81"/>
  <c r="S376" i="81"/>
  <c r="S362" i="81"/>
  <c r="S366" i="81"/>
  <c r="S370" i="81"/>
  <c r="S8" i="81"/>
  <c r="S12" i="81"/>
  <c r="S16" i="81"/>
  <c r="S20" i="81"/>
  <c r="S24" i="81"/>
  <c r="S28" i="81"/>
  <c r="S32" i="81"/>
  <c r="S36" i="81"/>
  <c r="S40" i="81"/>
  <c r="S44" i="81"/>
  <c r="S48" i="81"/>
  <c r="S52" i="81"/>
  <c r="S56" i="81"/>
  <c r="S60" i="81"/>
  <c r="S64" i="81"/>
  <c r="S68" i="81"/>
  <c r="S72" i="81"/>
  <c r="S76" i="81"/>
  <c r="S80" i="81"/>
  <c r="S84" i="81"/>
  <c r="S88" i="81"/>
  <c r="S92" i="81"/>
  <c r="S96" i="81"/>
  <c r="S100" i="81"/>
  <c r="S104" i="81"/>
  <c r="S108" i="81"/>
  <c r="S112" i="81"/>
  <c r="S116" i="81"/>
  <c r="S120" i="81"/>
  <c r="S124" i="81"/>
  <c r="S128" i="81"/>
  <c r="S132" i="81"/>
  <c r="S136" i="81"/>
  <c r="S140" i="81"/>
  <c r="S144" i="81"/>
  <c r="S148" i="81"/>
  <c r="S152" i="81"/>
  <c r="S156" i="81"/>
  <c r="S160" i="81"/>
  <c r="S164" i="81"/>
  <c r="S168" i="81"/>
  <c r="S172" i="81"/>
  <c r="S176" i="81"/>
  <c r="S180" i="81"/>
  <c r="S184" i="81"/>
  <c r="S188" i="81"/>
  <c r="S192" i="81"/>
  <c r="S196" i="81"/>
  <c r="S200" i="81"/>
  <c r="S204" i="81"/>
  <c r="S208" i="81"/>
  <c r="S212" i="81"/>
  <c r="S216" i="81"/>
  <c r="S220" i="81"/>
  <c r="S224" i="81"/>
  <c r="S228" i="81"/>
  <c r="S232" i="81"/>
  <c r="S236" i="81"/>
  <c r="S240" i="81"/>
  <c r="S244" i="81"/>
  <c r="S249" i="81"/>
  <c r="S253" i="81"/>
  <c r="S257" i="81"/>
  <c r="S261" i="81"/>
  <c r="S265" i="81"/>
  <c r="S269" i="81"/>
  <c r="S6" i="81"/>
  <c r="S10" i="81"/>
  <c r="S14" i="81"/>
  <c r="S18" i="81"/>
  <c r="S22" i="81"/>
  <c r="S26" i="81"/>
  <c r="S30" i="81"/>
  <c r="S34" i="81"/>
  <c r="S38" i="81"/>
  <c r="S42" i="81"/>
  <c r="S46" i="81"/>
  <c r="S50" i="81"/>
  <c r="S54" i="81"/>
  <c r="S58" i="81"/>
  <c r="S62" i="81"/>
  <c r="S66" i="81"/>
  <c r="S70" i="81"/>
  <c r="S74" i="81"/>
  <c r="S78" i="81"/>
  <c r="S82" i="81"/>
  <c r="S86" i="81"/>
  <c r="S90" i="81"/>
  <c r="S94" i="81"/>
  <c r="S98" i="81"/>
  <c r="S102" i="81"/>
  <c r="S106" i="81"/>
  <c r="S110" i="81"/>
  <c r="S114" i="81"/>
  <c r="S118" i="81"/>
  <c r="S122" i="81"/>
  <c r="S126" i="81"/>
  <c r="S130" i="81"/>
  <c r="S134" i="81"/>
  <c r="S138" i="81"/>
  <c r="S142" i="81"/>
  <c r="S146" i="81"/>
  <c r="S150" i="81"/>
  <c r="S154" i="81"/>
  <c r="S158" i="81"/>
  <c r="S162" i="81"/>
  <c r="S166" i="81"/>
  <c r="S170" i="81"/>
  <c r="S174" i="81"/>
  <c r="S178" i="81"/>
  <c r="S182" i="81"/>
  <c r="S186" i="81"/>
  <c r="S190" i="81"/>
  <c r="S194" i="81"/>
  <c r="S198" i="81"/>
  <c r="S202" i="81"/>
  <c r="S206" i="81"/>
  <c r="S210" i="81"/>
  <c r="S214" i="81"/>
  <c r="S218" i="81"/>
  <c r="S222" i="81"/>
  <c r="S226" i="81"/>
  <c r="S230" i="81"/>
  <c r="S234" i="81"/>
  <c r="S238" i="81"/>
  <c r="S242" i="81"/>
  <c r="S246" i="81"/>
  <c r="S250" i="81"/>
  <c r="S254" i="81"/>
  <c r="S258" i="81"/>
  <c r="S262" i="81"/>
  <c r="S266" i="81"/>
  <c r="S270" i="81"/>
  <c r="S274" i="81"/>
  <c r="S278" i="81"/>
  <c r="S282" i="81"/>
  <c r="S286" i="81"/>
  <c r="S290" i="81"/>
  <c r="S294" i="81"/>
  <c r="S298" i="81"/>
  <c r="S302" i="81"/>
  <c r="S306" i="81"/>
  <c r="S310" i="81"/>
  <c r="S314" i="81"/>
  <c r="S318" i="81"/>
  <c r="S322" i="81"/>
  <c r="S326" i="81"/>
  <c r="S330" i="81"/>
  <c r="S334" i="81"/>
  <c r="S338" i="81"/>
  <c r="S342" i="81"/>
  <c r="S346" i="81"/>
  <c r="S350" i="81"/>
  <c r="S354" i="81"/>
  <c r="S358" i="81"/>
  <c r="S374" i="81"/>
  <c r="S378" i="81"/>
  <c r="S382" i="81"/>
  <c r="S386" i="81"/>
  <c r="S390" i="81"/>
  <c r="S394" i="81"/>
  <c r="S398" i="81"/>
  <c r="S351" i="81"/>
  <c r="S367" i="81"/>
  <c r="S371" i="81"/>
  <c r="S375" i="81"/>
  <c r="S276" i="81"/>
  <c r="S280" i="81"/>
  <c r="S284" i="81"/>
  <c r="S292" i="81"/>
  <c r="S308" i="81"/>
  <c r="S320" i="81"/>
  <c r="S324" i="81"/>
  <c r="S328" i="81"/>
  <c r="S332" i="81"/>
  <c r="S336" i="81"/>
  <c r="S340" i="81"/>
  <c r="S344" i="81"/>
  <c r="S348" i="81"/>
  <c r="S364" i="81"/>
  <c r="S380" i="81"/>
  <c r="S384" i="81"/>
  <c r="S388" i="81"/>
  <c r="S392" i="81"/>
  <c r="S396" i="81"/>
  <c r="S273" i="81"/>
  <c r="S277" i="81"/>
  <c r="S281" i="81"/>
  <c r="S285" i="81"/>
  <c r="S289" i="81"/>
  <c r="S293" i="81"/>
  <c r="S297" i="81"/>
  <c r="S301" i="81"/>
  <c r="S305" i="81"/>
  <c r="S309" i="81"/>
  <c r="S313" i="81"/>
  <c r="S317" i="81"/>
  <c r="S321" i="81"/>
  <c r="S325" i="81"/>
  <c r="S357" i="81"/>
  <c r="S361" i="81"/>
  <c r="S365" i="81"/>
  <c r="S369" i="81"/>
  <c r="S373" i="81"/>
  <c r="S377" i="81"/>
  <c r="S381" i="81"/>
  <c r="S4" i="81"/>
  <c r="I4" i="79" l="1"/>
  <c r="F4" i="79" s="1"/>
  <c r="J4" i="79"/>
  <c r="D52" i="78"/>
  <c r="L4" i="79"/>
  <c r="I88" i="79"/>
  <c r="I84" i="79"/>
  <c r="I80" i="79"/>
  <c r="I76" i="79"/>
  <c r="I72" i="79"/>
  <c r="I68" i="79"/>
  <c r="I64" i="79"/>
  <c r="I60" i="79"/>
  <c r="I56" i="79"/>
  <c r="I52" i="79"/>
  <c r="I48" i="79"/>
  <c r="I44" i="79"/>
  <c r="I40" i="79"/>
  <c r="I36" i="79"/>
  <c r="I32" i="79"/>
  <c r="I28" i="79"/>
  <c r="I24" i="79"/>
  <c r="I20" i="79"/>
  <c r="I16" i="79"/>
  <c r="F16" i="79" s="1"/>
  <c r="I12" i="79"/>
  <c r="F12" i="79" s="1"/>
  <c r="I8" i="79"/>
  <c r="I87" i="79"/>
  <c r="I83" i="79"/>
  <c r="I79" i="79"/>
  <c r="I75" i="79"/>
  <c r="I71" i="79"/>
  <c r="I67" i="79"/>
  <c r="I63" i="79"/>
  <c r="I59" i="79"/>
  <c r="I55" i="79"/>
  <c r="I51" i="79"/>
  <c r="I47" i="79"/>
  <c r="I43" i="79"/>
  <c r="I39" i="79"/>
  <c r="I35" i="79"/>
  <c r="I31" i="79"/>
  <c r="I27" i="79"/>
  <c r="I23" i="79"/>
  <c r="I19" i="79"/>
  <c r="I15" i="79"/>
  <c r="F15" i="79" s="1"/>
  <c r="I11" i="79"/>
  <c r="F11" i="79" s="1"/>
  <c r="I7" i="79"/>
  <c r="I86" i="79"/>
  <c r="I82" i="79"/>
  <c r="I78" i="79"/>
  <c r="I74" i="79"/>
  <c r="I70" i="79"/>
  <c r="I66" i="79"/>
  <c r="I62" i="79"/>
  <c r="I58" i="79"/>
  <c r="I54" i="79"/>
  <c r="I50" i="79"/>
  <c r="I46" i="79"/>
  <c r="I42" i="79"/>
  <c r="I38" i="79"/>
  <c r="I34" i="79"/>
  <c r="I30" i="79"/>
  <c r="I26" i="79"/>
  <c r="I22" i="79"/>
  <c r="I18" i="79"/>
  <c r="F18" i="79" s="1"/>
  <c r="I14" i="79"/>
  <c r="F14" i="79" s="1"/>
  <c r="I10" i="79"/>
  <c r="F10" i="79" s="1"/>
  <c r="I6" i="79"/>
  <c r="I85" i="79"/>
  <c r="I81" i="79"/>
  <c r="I77" i="79"/>
  <c r="I73" i="79"/>
  <c r="I69" i="79"/>
  <c r="I65" i="79"/>
  <c r="I61" i="79"/>
  <c r="I57" i="79"/>
  <c r="I53" i="79"/>
  <c r="I49" i="79"/>
  <c r="I45" i="79"/>
  <c r="I41" i="79"/>
  <c r="I37" i="79"/>
  <c r="I33" i="79"/>
  <c r="I29" i="79"/>
  <c r="I25" i="79"/>
  <c r="I21" i="79"/>
  <c r="I17" i="79"/>
  <c r="F17" i="79" s="1"/>
  <c r="I13" i="79"/>
  <c r="F13" i="79" s="1"/>
  <c r="I9" i="79"/>
  <c r="F9" i="79" s="1"/>
  <c r="I5" i="79"/>
  <c r="L88" i="79"/>
  <c r="L84" i="79"/>
  <c r="L80" i="79"/>
  <c r="L76" i="79"/>
  <c r="L72" i="79"/>
  <c r="L68" i="79"/>
  <c r="L64" i="79"/>
  <c r="L60" i="79"/>
  <c r="L56" i="79"/>
  <c r="L52" i="79"/>
  <c r="L48" i="79"/>
  <c r="L44" i="79"/>
  <c r="L40" i="79"/>
  <c r="L36" i="79"/>
  <c r="L32" i="79"/>
  <c r="L28" i="79"/>
  <c r="L24" i="79"/>
  <c r="L20" i="79"/>
  <c r="L16" i="79"/>
  <c r="L12" i="79"/>
  <c r="L8" i="79"/>
  <c r="J85" i="79"/>
  <c r="J81" i="79"/>
  <c r="J77" i="79"/>
  <c r="J73" i="79"/>
  <c r="J69" i="79"/>
  <c r="J65" i="79"/>
  <c r="J61" i="79"/>
  <c r="J57" i="79"/>
  <c r="J53" i="79"/>
  <c r="J49" i="79"/>
  <c r="J45" i="79"/>
  <c r="J41" i="79"/>
  <c r="J37" i="79"/>
  <c r="J33" i="79"/>
  <c r="J29" i="79"/>
  <c r="J25" i="79"/>
  <c r="J21" i="79"/>
  <c r="J17" i="79"/>
  <c r="J13" i="79"/>
  <c r="J9" i="79"/>
  <c r="J5" i="79"/>
  <c r="L87" i="79"/>
  <c r="L83" i="79"/>
  <c r="L79" i="79"/>
  <c r="L75" i="79"/>
  <c r="L71" i="79"/>
  <c r="L67" i="79"/>
  <c r="L63" i="79"/>
  <c r="L59" i="79"/>
  <c r="L55" i="79"/>
  <c r="L51" i="79"/>
  <c r="L47" i="79"/>
  <c r="L43" i="79"/>
  <c r="L39" i="79"/>
  <c r="L35" i="79"/>
  <c r="L31" i="79"/>
  <c r="L27" i="79"/>
  <c r="L23" i="79"/>
  <c r="L19" i="79"/>
  <c r="L15" i="79"/>
  <c r="L11" i="79"/>
  <c r="L7" i="79"/>
  <c r="J88" i="79"/>
  <c r="J84" i="79"/>
  <c r="J80" i="79"/>
  <c r="J76" i="79"/>
  <c r="J72" i="79"/>
  <c r="J68" i="79"/>
  <c r="J64" i="79"/>
  <c r="J60" i="79"/>
  <c r="J56" i="79"/>
  <c r="J52" i="79"/>
  <c r="J48" i="79"/>
  <c r="J44" i="79"/>
  <c r="J40" i="79"/>
  <c r="J36" i="79"/>
  <c r="J32" i="79"/>
  <c r="J28" i="79"/>
  <c r="J24" i="79"/>
  <c r="J20" i="79"/>
  <c r="J16" i="79"/>
  <c r="J12" i="79"/>
  <c r="J8" i="79"/>
  <c r="L86" i="79"/>
  <c r="L82" i="79"/>
  <c r="L78" i="79"/>
  <c r="L74" i="79"/>
  <c r="L70" i="79"/>
  <c r="L66" i="79"/>
  <c r="L62" i="79"/>
  <c r="L58" i="79"/>
  <c r="L54" i="79"/>
  <c r="L50" i="79"/>
  <c r="L46" i="79"/>
  <c r="L42" i="79"/>
  <c r="L38" i="79"/>
  <c r="L34" i="79"/>
  <c r="L30" i="79"/>
  <c r="L26" i="79"/>
  <c r="L22" i="79"/>
  <c r="L18" i="79"/>
  <c r="L14" i="79"/>
  <c r="L10" i="79"/>
  <c r="L6" i="79"/>
  <c r="J87" i="79"/>
  <c r="J83" i="79"/>
  <c r="J79" i="79"/>
  <c r="J75" i="79"/>
  <c r="J71" i="79"/>
  <c r="J67" i="79"/>
  <c r="J63" i="79"/>
  <c r="J59" i="79"/>
  <c r="J55" i="79"/>
  <c r="J51" i="79"/>
  <c r="J47" i="79"/>
  <c r="J43" i="79"/>
  <c r="J39" i="79"/>
  <c r="J35" i="79"/>
  <c r="J31" i="79"/>
  <c r="J27" i="79"/>
  <c r="J23" i="79"/>
  <c r="J19" i="79"/>
  <c r="J15" i="79"/>
  <c r="J11" i="79"/>
  <c r="J7" i="79"/>
  <c r="L85" i="79"/>
  <c r="L81" i="79"/>
  <c r="L77" i="79"/>
  <c r="L73" i="79"/>
  <c r="L69" i="79"/>
  <c r="L65" i="79"/>
  <c r="L61" i="79"/>
  <c r="L57" i="79"/>
  <c r="L53" i="79"/>
  <c r="L49" i="79"/>
  <c r="L45" i="79"/>
  <c r="L41" i="79"/>
  <c r="L37" i="79"/>
  <c r="L33" i="79"/>
  <c r="L29" i="79"/>
  <c r="L25" i="79"/>
  <c r="L21" i="79"/>
  <c r="L17" i="79"/>
  <c r="L13" i="79"/>
  <c r="L9" i="79"/>
  <c r="L5" i="79"/>
  <c r="J86" i="79"/>
  <c r="J82" i="79"/>
  <c r="J78" i="79"/>
  <c r="J74" i="79"/>
  <c r="J70" i="79"/>
  <c r="J66" i="79"/>
  <c r="J62" i="79"/>
  <c r="J58" i="79"/>
  <c r="J54" i="79"/>
  <c r="J50" i="79"/>
  <c r="J46" i="79"/>
  <c r="J42" i="79"/>
  <c r="J38" i="79"/>
  <c r="J34" i="79"/>
  <c r="J30" i="79"/>
  <c r="J26" i="79"/>
  <c r="J22" i="79"/>
  <c r="J18" i="79"/>
  <c r="J14" i="79"/>
  <c r="J10" i="79"/>
  <c r="J6" i="79"/>
  <c r="G82" i="78"/>
  <c r="E79" i="78"/>
  <c r="F67" i="78"/>
  <c r="E64" i="78"/>
  <c r="H53" i="78"/>
  <c r="G50" i="78"/>
  <c r="E40" i="78"/>
  <c r="F36" i="78"/>
  <c r="F28" i="78"/>
  <c r="F86" i="78"/>
  <c r="E83" i="78"/>
  <c r="H71" i="78"/>
  <c r="D68" i="78"/>
  <c r="G57" i="78"/>
  <c r="F54" i="78"/>
  <c r="F44" i="78"/>
  <c r="H40" i="78"/>
  <c r="H63" i="78"/>
  <c r="G75" i="78"/>
  <c r="H67" i="78"/>
  <c r="F47" i="78"/>
  <c r="G40" i="78"/>
  <c r="F25" i="78"/>
  <c r="H21" i="78"/>
  <c r="D11" i="78"/>
  <c r="F7" i="78"/>
  <c r="H19" i="78"/>
  <c r="H7" i="78"/>
  <c r="H35" i="78"/>
  <c r="E21" i="78"/>
  <c r="G87" i="78"/>
  <c r="D66" i="78"/>
  <c r="H58" i="78"/>
  <c r="F38" i="78"/>
  <c r="E31" i="78"/>
  <c r="H20" i="78"/>
  <c r="D17" i="78"/>
  <c r="F78" i="78"/>
  <c r="D55" i="78"/>
  <c r="H25" i="78"/>
  <c r="D23" i="78"/>
  <c r="H78" i="78"/>
  <c r="D33" i="78"/>
  <c r="E65" i="78"/>
  <c r="G59" i="78"/>
  <c r="E27" i="78"/>
  <c r="G25" i="78"/>
  <c r="E48" i="78"/>
  <c r="E33" i="78"/>
  <c r="G88" i="78"/>
  <c r="D87" i="78"/>
  <c r="H70" i="78"/>
  <c r="D67" i="78"/>
  <c r="E32" i="78"/>
  <c r="F29" i="78"/>
  <c r="H9" i="78"/>
  <c r="H77" i="78"/>
  <c r="E72" i="78"/>
  <c r="G39" i="78"/>
  <c r="E34" i="78"/>
  <c r="E14" i="78"/>
  <c r="E11" i="78"/>
  <c r="H18" i="78"/>
  <c r="D22" i="78"/>
  <c r="E53" i="78" l="1"/>
  <c r="G91" i="78"/>
  <c r="D19" i="78"/>
  <c r="G46" i="78"/>
  <c r="F80" i="78"/>
  <c r="D15" i="78"/>
  <c r="F37" i="78"/>
  <c r="E80" i="78"/>
  <c r="F13" i="78"/>
  <c r="F34" i="78"/>
  <c r="D10" i="78"/>
  <c r="F24" i="78"/>
  <c r="G45" i="78"/>
  <c r="G73" i="78"/>
  <c r="G38" i="78"/>
  <c r="F56" i="78"/>
  <c r="E30" i="78"/>
  <c r="H14" i="78"/>
  <c r="D29" i="78"/>
  <c r="E54" i="78"/>
  <c r="D83" i="78"/>
  <c r="G33" i="78"/>
  <c r="G47" i="78"/>
  <c r="H60" i="78"/>
  <c r="H75" i="78"/>
  <c r="G89" i="78"/>
  <c r="F68" i="78"/>
  <c r="H43" i="78"/>
  <c r="D57" i="78"/>
  <c r="E71" i="78"/>
  <c r="H85" i="78"/>
  <c r="G78" i="78"/>
  <c r="G43" i="78"/>
  <c r="E13" i="78"/>
  <c r="F91" i="78"/>
  <c r="E88" i="78"/>
  <c r="D85" i="78"/>
  <c r="G81" i="78"/>
  <c r="G77" i="78"/>
  <c r="F74" i="78"/>
  <c r="F70" i="78"/>
  <c r="G66" i="78"/>
  <c r="G62" i="78"/>
  <c r="F59" i="78"/>
  <c r="E56" i="78"/>
  <c r="D53" i="78"/>
  <c r="H49" i="78"/>
  <c r="E46" i="78"/>
  <c r="G42" i="78"/>
  <c r="F39" i="78"/>
  <c r="G35" i="78"/>
  <c r="H31" i="78"/>
  <c r="F63" i="78"/>
  <c r="G18" i="78"/>
  <c r="H88" i="78"/>
  <c r="G85" i="78"/>
  <c r="F82" i="78"/>
  <c r="D79" i="78"/>
  <c r="D75" i="78"/>
  <c r="D71" i="78"/>
  <c r="E67" i="78"/>
  <c r="D64" i="78"/>
  <c r="D60" i="78"/>
  <c r="H56" i="78"/>
  <c r="G53" i="78"/>
  <c r="F50" i="78"/>
  <c r="H46" i="78"/>
  <c r="E43" i="78"/>
  <c r="D40" i="78"/>
  <c r="E36" i="78"/>
  <c r="F32" i="78"/>
  <c r="H38" i="78"/>
  <c r="H87" i="78"/>
  <c r="E81" i="78"/>
  <c r="D74" i="78"/>
  <c r="E66" i="78"/>
  <c r="D59" i="78"/>
  <c r="G52" i="78"/>
  <c r="H45" i="78"/>
  <c r="D39" i="78"/>
  <c r="F31" i="78"/>
  <c r="H27" i="78"/>
  <c r="G24" i="78"/>
  <c r="D21" i="78"/>
  <c r="E17" i="78"/>
  <c r="D14" i="78"/>
  <c r="E10" i="78"/>
  <c r="F76" i="78"/>
  <c r="G48" i="78"/>
  <c r="F27" i="78"/>
  <c r="H16" i="78"/>
  <c r="F48" i="78"/>
  <c r="E76" i="78"/>
  <c r="G51" i="78"/>
  <c r="E29" i="78"/>
  <c r="F18" i="78"/>
  <c r="H8" i="78"/>
  <c r="F23" i="78"/>
  <c r="D86" i="78"/>
  <c r="F79" i="78"/>
  <c r="F71" i="78"/>
  <c r="F64" i="78"/>
  <c r="E57" i="78"/>
  <c r="H50" i="78"/>
  <c r="D44" i="78"/>
  <c r="G36" i="78"/>
  <c r="F30" i="78"/>
  <c r="H26" i="78"/>
  <c r="E23" i="78"/>
  <c r="D20" i="78"/>
  <c r="E16" i="78"/>
  <c r="F12" i="78"/>
  <c r="E9" i="78"/>
  <c r="E69" i="78"/>
  <c r="E50" i="78"/>
  <c r="D31" i="78"/>
  <c r="G20" i="78"/>
  <c r="G10" i="78"/>
  <c r="G74" i="78"/>
  <c r="H54" i="78"/>
  <c r="D32" i="78"/>
  <c r="H22" i="78"/>
  <c r="D12" i="78"/>
  <c r="D18" i="78"/>
  <c r="H91" i="78"/>
  <c r="F85" i="78"/>
  <c r="H74" i="78"/>
  <c r="F61" i="78"/>
  <c r="F41" i="78"/>
  <c r="G26" i="78"/>
  <c r="E15" i="78"/>
  <c r="G68" i="78"/>
  <c r="H86" i="78"/>
  <c r="H66" i="78"/>
  <c r="D48" i="78"/>
  <c r="H30" i="78"/>
  <c r="G19" i="78"/>
  <c r="F10" i="78"/>
  <c r="G44" i="78"/>
  <c r="E87" i="78"/>
  <c r="G80" i="78"/>
  <c r="F69" i="78"/>
  <c r="G61" i="78"/>
  <c r="E55" i="78"/>
  <c r="H48" i="78"/>
  <c r="G41" i="78"/>
  <c r="G34" i="78"/>
  <c r="D91" i="78"/>
  <c r="E77" i="78"/>
  <c r="E62" i="78"/>
  <c r="F49" i="78"/>
  <c r="E35" i="78"/>
  <c r="E26" i="78"/>
  <c r="G15" i="78"/>
  <c r="G8" i="78"/>
  <c r="G37" i="78"/>
  <c r="F11" i="78"/>
  <c r="H62" i="78"/>
  <c r="D24" i="78"/>
  <c r="G63" i="78"/>
  <c r="H82" i="78"/>
  <c r="G67" i="78"/>
  <c r="D54" i="78"/>
  <c r="F40" i="78"/>
  <c r="E25" i="78"/>
  <c r="H17" i="78"/>
  <c r="H10" i="78"/>
  <c r="E58" i="78"/>
  <c r="E73" i="78"/>
  <c r="D38" i="78"/>
  <c r="D82" i="78"/>
  <c r="G90" i="78"/>
  <c r="F87" i="78"/>
  <c r="E84" i="78"/>
  <c r="H80" i="78"/>
  <c r="H76" i="78"/>
  <c r="H72" i="78"/>
  <c r="G69" i="78"/>
  <c r="H65" i="78"/>
  <c r="H61" i="78"/>
  <c r="G58" i="78"/>
  <c r="F55" i="78"/>
  <c r="E52" i="78"/>
  <c r="D49" i="78"/>
  <c r="F45" i="78"/>
  <c r="H41" i="78"/>
  <c r="E38" i="78"/>
  <c r="H34" i="78"/>
  <c r="E78" i="78"/>
  <c r="F43" i="78"/>
  <c r="D13" i="78"/>
  <c r="E91" i="78"/>
  <c r="D88" i="78"/>
  <c r="H84" i="78"/>
  <c r="F81" i="78"/>
  <c r="F77" i="78"/>
  <c r="E74" i="78"/>
  <c r="E70" i="78"/>
  <c r="F66" i="78"/>
  <c r="F62" i="78"/>
  <c r="E59" i="78"/>
  <c r="D56" i="78"/>
  <c r="H52" i="78"/>
  <c r="G49" i="78"/>
  <c r="D46" i="78"/>
  <c r="F42" i="78"/>
  <c r="E39" i="78"/>
  <c r="F35" i="78"/>
  <c r="G31" i="78"/>
  <c r="G23" i="78"/>
  <c r="E86" i="78"/>
  <c r="G79" i="78"/>
  <c r="G71" i="78"/>
  <c r="G64" i="78"/>
  <c r="F57" i="78"/>
  <c r="D51" i="78"/>
  <c r="E44" i="78"/>
  <c r="H36" i="78"/>
  <c r="G30" i="78"/>
  <c r="D27" i="78"/>
  <c r="H23" i="78"/>
  <c r="E20" i="78"/>
  <c r="F16" i="78"/>
  <c r="G12" i="78"/>
  <c r="F9" i="78"/>
  <c r="F65" i="78"/>
  <c r="D43" i="78"/>
  <c r="D25" i="78"/>
  <c r="F14" i="78"/>
  <c r="G70" i="78"/>
  <c r="F46" i="78"/>
  <c r="F26" i="78"/>
  <c r="H15" i="78"/>
  <c r="H73" i="78"/>
  <c r="F8" i="78"/>
  <c r="H90" i="78"/>
  <c r="F84" i="78"/>
  <c r="D77" i="78"/>
  <c r="H69" i="78"/>
  <c r="D62" i="78"/>
  <c r="G55" i="78"/>
  <c r="E49" i="78"/>
  <c r="D42" i="78"/>
  <c r="D35" i="78"/>
  <c r="G29" i="78"/>
  <c r="D26" i="78"/>
  <c r="F22" i="78"/>
  <c r="E19" i="78"/>
  <c r="F15" i="78"/>
  <c r="G11" i="78"/>
  <c r="D8" i="78"/>
  <c r="E63" i="78"/>
  <c r="D45" i="78"/>
  <c r="G28" i="78"/>
  <c r="G17" i="78"/>
  <c r="D9" i="78"/>
  <c r="D90" i="78"/>
  <c r="D69" i="78"/>
  <c r="D50" i="78"/>
  <c r="D30" i="78"/>
  <c r="F20" i="78"/>
  <c r="F73" i="78"/>
  <c r="E90" i="78"/>
  <c r="H83" i="78"/>
  <c r="F72" i="78"/>
  <c r="G56" i="78"/>
  <c r="D36" i="78"/>
  <c r="E24" i="78"/>
  <c r="E12" i="78"/>
  <c r="H13" i="78"/>
  <c r="G83" i="78"/>
  <c r="E61" i="78"/>
  <c r="H42" i="78"/>
  <c r="D28" i="78"/>
  <c r="G16" i="78"/>
  <c r="G7" i="78"/>
  <c r="E68" i="78"/>
  <c r="E28" i="78"/>
  <c r="H89" i="78"/>
  <c r="G86" i="78"/>
  <c r="F83" i="78"/>
  <c r="D80" i="78"/>
  <c r="D76" i="78"/>
  <c r="D72" i="78"/>
  <c r="H68" i="78"/>
  <c r="D65" i="78"/>
  <c r="D61" i="78"/>
  <c r="H57" i="78"/>
  <c r="G54" i="78"/>
  <c r="F51" i="78"/>
  <c r="H47" i="78"/>
  <c r="D41" i="78"/>
  <c r="E37" i="78"/>
  <c r="D34" i="78"/>
  <c r="D73" i="78"/>
  <c r="H33" i="78"/>
  <c r="F90" i="78"/>
  <c r="D84" i="78"/>
  <c r="G76" i="78"/>
  <c r="G72" i="78"/>
  <c r="G65" i="78"/>
  <c r="F58" i="78"/>
  <c r="E45" i="78"/>
  <c r="H37" i="78"/>
  <c r="D78" i="78"/>
  <c r="E8" i="78"/>
  <c r="G84" i="78"/>
  <c r="D70" i="78"/>
  <c r="H55" i="78"/>
  <c r="E42" i="78"/>
  <c r="H29" i="78"/>
  <c r="G22" i="78"/>
  <c r="F19" i="78"/>
  <c r="H11" i="78"/>
  <c r="H59" i="78"/>
  <c r="E22" i="78"/>
  <c r="F88" i="78"/>
  <c r="E41" i="78"/>
  <c r="H12" i="78"/>
  <c r="E89" i="78"/>
  <c r="F75" i="78"/>
  <c r="F60" i="78"/>
  <c r="E47" i="78"/>
  <c r="H32" i="78"/>
  <c r="H28" i="78"/>
  <c r="G21" i="78"/>
  <c r="G14" i="78"/>
  <c r="E7" i="78"/>
  <c r="H24" i="78"/>
  <c r="D58" i="78"/>
  <c r="F21" i="78"/>
  <c r="H51" i="78"/>
  <c r="E82" i="78"/>
  <c r="F17" i="78"/>
  <c r="H44" i="78"/>
  <c r="E85" i="78"/>
  <c r="D16" i="78"/>
  <c r="H39" i="78"/>
  <c r="G13" i="78"/>
  <c r="G27" i="78"/>
  <c r="F52" i="78"/>
  <c r="D81" i="78"/>
  <c r="G9" i="78"/>
  <c r="H81" i="78"/>
  <c r="F53" i="78"/>
  <c r="E18" i="78"/>
  <c r="F33" i="78"/>
  <c r="G60" i="78"/>
  <c r="F89" i="78"/>
  <c r="D37" i="78"/>
  <c r="E51" i="78"/>
  <c r="H64" i="78"/>
  <c r="H79" i="78"/>
  <c r="G32" i="78"/>
  <c r="D47" i="78"/>
  <c r="E60" i="78"/>
  <c r="E75" i="78"/>
  <c r="D89" i="78"/>
  <c r="D63" i="78"/>
  <c r="D28" i="64" l="1"/>
  <c r="AH8" i="44"/>
  <c r="AH7" i="44"/>
  <c r="B8" i="44" l="1"/>
  <c r="B9" i="44"/>
  <c r="B10" i="44"/>
  <c r="B11" i="44"/>
  <c r="B12" i="44"/>
  <c r="B13" i="44"/>
  <c r="B14" i="44"/>
  <c r="B15" i="44"/>
  <c r="B16" i="44"/>
  <c r="B17" i="44"/>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79" i="44"/>
  <c r="B80" i="44"/>
  <c r="B81" i="44"/>
  <c r="B82" i="44"/>
  <c r="B83" i="44"/>
  <c r="B84" i="44"/>
  <c r="B85" i="44"/>
  <c r="B86" i="44"/>
  <c r="B87" i="44"/>
  <c r="B88" i="44"/>
  <c r="B89" i="44"/>
  <c r="B90" i="44"/>
  <c r="B91" i="44"/>
  <c r="B92" i="44"/>
  <c r="B93" i="44"/>
  <c r="B94" i="44"/>
  <c r="B95" i="44"/>
  <c r="B96" i="44"/>
  <c r="B97" i="44"/>
  <c r="B98" i="44"/>
  <c r="B99" i="44"/>
  <c r="B100" i="44"/>
  <c r="B101" i="44"/>
  <c r="B102" i="44"/>
  <c r="B103" i="44"/>
  <c r="B104" i="44"/>
  <c r="B105" i="44"/>
  <c r="B106" i="44"/>
  <c r="B7" i="44"/>
  <c r="C89" i="36" l="1"/>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Y3" i="44" l="1"/>
  <c r="X3" i="44"/>
  <c r="R3" i="44"/>
  <c r="Q3" i="44"/>
  <c r="P3" i="44"/>
  <c r="M3" i="44"/>
  <c r="F45" i="79" l="1"/>
  <c r="F44" i="79"/>
  <c r="F26" i="79"/>
  <c r="F59" i="79"/>
  <c r="F43" i="79"/>
  <c r="F61" i="79"/>
  <c r="F24" i="79"/>
  <c r="F63" i="79"/>
  <c r="F48" i="79"/>
  <c r="F25" i="79"/>
  <c r="F47" i="79"/>
  <c r="F42" i="79"/>
  <c r="F28" i="79"/>
  <c r="F62" i="79"/>
  <c r="F27" i="79"/>
  <c r="F46" i="79"/>
  <c r="F60" i="79"/>
  <c r="F41" i="79"/>
  <c r="AH13" i="44" l="1"/>
  <c r="AH20" i="44"/>
  <c r="AH21" i="44" l="1"/>
  <c r="AH11" i="44"/>
  <c r="AH10" i="44"/>
  <c r="AH16" i="44"/>
  <c r="AH9" i="44"/>
  <c r="AH19" i="44"/>
  <c r="AH23" i="44"/>
  <c r="AH17" i="44"/>
  <c r="AH14" i="44"/>
  <c r="AH22" i="44"/>
  <c r="AH18" i="44"/>
  <c r="AH15" i="44"/>
  <c r="F49" i="79" l="1"/>
  <c r="F39" i="79"/>
  <c r="F74" i="79"/>
  <c r="F64" i="79"/>
  <c r="F29" i="79"/>
  <c r="F84" i="79"/>
  <c r="F80" i="79"/>
  <c r="F78" i="79"/>
  <c r="F75" i="79"/>
  <c r="F70" i="79"/>
  <c r="F66" i="79"/>
  <c r="F69" i="79"/>
  <c r="F88" i="79"/>
  <c r="F32" i="79"/>
  <c r="F52" i="79"/>
  <c r="F23" i="79"/>
  <c r="F65" i="79"/>
  <c r="F81" i="79"/>
  <c r="F50" i="79"/>
  <c r="F7" i="79"/>
  <c r="F82" i="79"/>
  <c r="F68" i="79"/>
  <c r="F19" i="79"/>
  <c r="F87" i="79"/>
  <c r="F73" i="79"/>
  <c r="F37" i="79"/>
  <c r="F34" i="79"/>
  <c r="F38" i="79"/>
  <c r="F85" i="79"/>
  <c r="F33" i="79"/>
  <c r="F58" i="79"/>
  <c r="F72" i="79"/>
  <c r="F36" i="79"/>
  <c r="F35" i="79"/>
  <c r="F57" i="79"/>
  <c r="F83" i="79"/>
  <c r="F5" i="79"/>
  <c r="F76" i="79"/>
  <c r="F31" i="79"/>
  <c r="F79" i="79"/>
  <c r="F54" i="79"/>
  <c r="F71" i="79"/>
  <c r="F8" i="79"/>
  <c r="F55" i="79"/>
  <c r="F40" i="79"/>
  <c r="F30" i="79"/>
  <c r="F21" i="79"/>
  <c r="F6" i="79"/>
  <c r="F77" i="79"/>
  <c r="F56" i="79"/>
  <c r="F67" i="79"/>
  <c r="F20" i="79"/>
  <c r="F22" i="79"/>
  <c r="F86" i="79"/>
  <c r="F53" i="79"/>
  <c r="F51" i="79"/>
  <c r="D29" i="64" l="1"/>
  <c r="AH12" i="44" l="1"/>
  <c r="AH24" i="44" l="1"/>
  <c r="F86" i="36" l="1"/>
  <c r="F82" i="36"/>
  <c r="F78" i="36"/>
  <c r="F74" i="36"/>
  <c r="F70" i="36"/>
  <c r="F66" i="36"/>
  <c r="F62" i="36"/>
  <c r="F58" i="36"/>
  <c r="F89" i="36"/>
  <c r="F85" i="36"/>
  <c r="F81" i="36"/>
  <c r="F77" i="36"/>
  <c r="F73" i="36"/>
  <c r="F69" i="36"/>
  <c r="F65" i="36"/>
  <c r="F61" i="36"/>
  <c r="F57" i="36"/>
  <c r="F88" i="36"/>
  <c r="F84" i="36"/>
  <c r="F80" i="36"/>
  <c r="F76" i="36"/>
  <c r="F72" i="36"/>
  <c r="F68" i="36"/>
  <c r="F64" i="36"/>
  <c r="F60" i="36"/>
  <c r="F56" i="36"/>
  <c r="F87" i="36"/>
  <c r="F83" i="36"/>
  <c r="F79" i="36"/>
  <c r="F75" i="36"/>
  <c r="F71" i="36"/>
  <c r="F67" i="36"/>
  <c r="F63" i="36"/>
  <c r="F59" i="36"/>
  <c r="F55" i="36"/>
  <c r="G7" i="36" l="1"/>
  <c r="G28" i="36"/>
  <c r="G8" i="36"/>
  <c r="G21" i="36"/>
  <c r="G33" i="36"/>
  <c r="G41" i="36"/>
  <c r="G49" i="36"/>
  <c r="G10" i="36"/>
  <c r="G14" i="36"/>
  <c r="G18" i="36"/>
  <c r="G22" i="36"/>
  <c r="G26" i="36"/>
  <c r="G30" i="36"/>
  <c r="G34" i="36"/>
  <c r="G38" i="36"/>
  <c r="G42" i="36"/>
  <c r="G46" i="36"/>
  <c r="G50" i="36"/>
  <c r="G54" i="36"/>
  <c r="G58" i="36"/>
  <c r="G62" i="36"/>
  <c r="D64" i="44" s="1"/>
  <c r="G66" i="36"/>
  <c r="D68" i="44" s="1"/>
  <c r="G70" i="36"/>
  <c r="D72" i="44" s="1"/>
  <c r="G74" i="36"/>
  <c r="G78" i="36"/>
  <c r="D80" i="44" s="1"/>
  <c r="G82" i="36"/>
  <c r="G86" i="36"/>
  <c r="D88" i="44" s="1"/>
  <c r="D60" i="44"/>
  <c r="G16" i="36"/>
  <c r="G32" i="36"/>
  <c r="G17" i="36"/>
  <c r="G29" i="36"/>
  <c r="G6" i="36"/>
  <c r="G11" i="36"/>
  <c r="G15" i="36"/>
  <c r="G19" i="36"/>
  <c r="G23" i="36"/>
  <c r="G27" i="36"/>
  <c r="G31" i="36"/>
  <c r="G35" i="36"/>
  <c r="G39" i="36"/>
  <c r="G43" i="36"/>
  <c r="G47" i="36"/>
  <c r="G51" i="36"/>
  <c r="G55" i="36"/>
  <c r="D57" i="44" s="1"/>
  <c r="G59" i="36"/>
  <c r="G63" i="36"/>
  <c r="G67" i="36"/>
  <c r="G71" i="36"/>
  <c r="G75" i="36"/>
  <c r="G79" i="36"/>
  <c r="G83" i="36"/>
  <c r="G87" i="36"/>
  <c r="D76" i="44"/>
  <c r="G20" i="36"/>
  <c r="G36" i="36"/>
  <c r="G40" i="36"/>
  <c r="G44" i="36"/>
  <c r="G48" i="36"/>
  <c r="G52" i="36"/>
  <c r="G56" i="36"/>
  <c r="G60" i="36"/>
  <c r="D62" i="44" s="1"/>
  <c r="G64" i="36"/>
  <c r="G68" i="36"/>
  <c r="D70" i="44" s="1"/>
  <c r="G72" i="36"/>
  <c r="G76" i="36"/>
  <c r="D78" i="44" s="1"/>
  <c r="G80" i="36"/>
  <c r="G84" i="36"/>
  <c r="G88" i="36"/>
  <c r="D90" i="44" s="1"/>
  <c r="D61" i="44"/>
  <c r="D69" i="44"/>
  <c r="G12" i="36"/>
  <c r="G24" i="36"/>
  <c r="G13" i="36"/>
  <c r="G25" i="36"/>
  <c r="G37" i="36"/>
  <c r="G45" i="36"/>
  <c r="G53" i="36"/>
  <c r="G57" i="36"/>
  <c r="D59" i="44" s="1"/>
  <c r="G61" i="36"/>
  <c r="G65" i="36"/>
  <c r="G69" i="36"/>
  <c r="G73" i="36"/>
  <c r="G77" i="36"/>
  <c r="G81" i="36"/>
  <c r="G85" i="36"/>
  <c r="G89" i="36"/>
  <c r="D77" i="44"/>
  <c r="D85" i="44"/>
  <c r="D58" i="44"/>
  <c r="G5" i="36" l="1"/>
  <c r="D81" i="44"/>
  <c r="D75" i="44"/>
  <c r="D82" i="44"/>
  <c r="D83" i="44"/>
  <c r="D66" i="44"/>
  <c r="D79" i="44"/>
  <c r="D87" i="44"/>
  <c r="D71" i="44"/>
  <c r="D86" i="44"/>
  <c r="D73" i="44"/>
  <c r="D84" i="44"/>
  <c r="G9" i="36"/>
  <c r="D91" i="44"/>
  <c r="D63" i="44"/>
  <c r="D89" i="44"/>
  <c r="D67" i="44"/>
  <c r="D74" i="44"/>
  <c r="D65" i="44"/>
  <c r="J75" i="36" l="1"/>
  <c r="J78" i="36"/>
  <c r="J79" i="36"/>
  <c r="J76" i="36"/>
  <c r="J77" i="36"/>
  <c r="I73" i="36" l="1"/>
  <c r="I43" i="36"/>
  <c r="I55" i="36"/>
  <c r="I32" i="36"/>
  <c r="I81" i="36"/>
  <c r="I61" i="36"/>
  <c r="I29" i="36"/>
  <c r="I72" i="36"/>
  <c r="I71" i="36"/>
  <c r="I18" i="36"/>
  <c r="I44" i="36"/>
  <c r="I40" i="36"/>
  <c r="I78" i="36"/>
  <c r="I75" i="36"/>
  <c r="I68" i="36"/>
  <c r="I86" i="36"/>
  <c r="I39" i="36"/>
  <c r="I23" i="36"/>
  <c r="I20" i="36"/>
  <c r="I57" i="36"/>
  <c r="I31" i="36"/>
  <c r="I30" i="36"/>
  <c r="I50" i="36"/>
  <c r="I84" i="36"/>
  <c r="I47" i="36"/>
  <c r="I45" i="36"/>
  <c r="I63" i="36"/>
  <c r="I25" i="36"/>
  <c r="I16" i="36"/>
  <c r="I69" i="36"/>
  <c r="I89" i="36"/>
  <c r="I10" i="36"/>
  <c r="I33" i="36"/>
  <c r="I80" i="36"/>
  <c r="I64" i="36"/>
  <c r="I27" i="36"/>
  <c r="I26" i="36"/>
  <c r="I74" i="36"/>
  <c r="I70" i="36"/>
  <c r="I17" i="36"/>
  <c r="I42" i="36"/>
  <c r="I76" i="36"/>
  <c r="I79" i="36"/>
  <c r="I66" i="36"/>
  <c r="I88" i="36"/>
  <c r="I36" i="36"/>
  <c r="I38" i="36"/>
  <c r="I22" i="36"/>
  <c r="I56" i="36"/>
  <c r="I11" i="36"/>
  <c r="I12" i="36"/>
  <c r="I53" i="36"/>
  <c r="I54" i="36"/>
  <c r="I82" i="36"/>
  <c r="I48" i="36"/>
  <c r="I49" i="36"/>
  <c r="I15" i="36"/>
  <c r="I77" i="36"/>
  <c r="I87" i="36"/>
  <c r="I24" i="36"/>
  <c r="I28" i="36"/>
  <c r="I19" i="36"/>
  <c r="I41" i="36"/>
  <c r="I65" i="36"/>
  <c r="I67" i="36"/>
  <c r="I85" i="36"/>
  <c r="I37" i="36"/>
  <c r="I35" i="36"/>
  <c r="I21" i="36"/>
  <c r="I58" i="36"/>
  <c r="I59" i="36"/>
  <c r="I13" i="36"/>
  <c r="I14" i="36"/>
  <c r="I34" i="36"/>
  <c r="I52" i="36"/>
  <c r="I51" i="36"/>
  <c r="I83" i="36"/>
  <c r="I46" i="36"/>
  <c r="I60" i="36"/>
  <c r="I62" i="36"/>
  <c r="J43" i="36"/>
  <c r="J56" i="36"/>
  <c r="J42" i="36"/>
  <c r="J18" i="36"/>
  <c r="J52" i="36"/>
  <c r="J68" i="36"/>
  <c r="J17" i="36"/>
  <c r="J37" i="36"/>
  <c r="J24" i="36"/>
  <c r="J22" i="36"/>
  <c r="J47" i="36"/>
  <c r="J89" i="36"/>
  <c r="J28" i="36"/>
  <c r="J25" i="36"/>
  <c r="J73" i="36"/>
  <c r="J71" i="36"/>
  <c r="J16" i="36"/>
  <c r="J31" i="36"/>
  <c r="J30" i="36"/>
  <c r="J58" i="36"/>
  <c r="J69" i="36"/>
  <c r="J57" i="36"/>
  <c r="J55" i="36"/>
  <c r="J41" i="36"/>
  <c r="J82" i="36"/>
  <c r="J59" i="36"/>
  <c r="J53" i="36"/>
  <c r="J40" i="36"/>
  <c r="J67" i="36"/>
  <c r="J83" i="36"/>
  <c r="J61" i="36"/>
  <c r="J38" i="36"/>
  <c r="J35" i="36"/>
  <c r="J80" i="36"/>
  <c r="J49" i="36"/>
  <c r="J85" i="36"/>
  <c r="J81" i="36"/>
  <c r="J33" i="36"/>
  <c r="J19" i="36"/>
  <c r="J50" i="36"/>
  <c r="J44" i="36"/>
  <c r="J84" i="36"/>
  <c r="J63" i="36"/>
  <c r="J64" i="36"/>
  <c r="J36" i="36"/>
  <c r="J13" i="36"/>
  <c r="J23" i="36"/>
  <c r="J45" i="36"/>
  <c r="J48" i="36"/>
  <c r="J86" i="36"/>
  <c r="J87" i="36"/>
  <c r="J26" i="36"/>
  <c r="J74" i="36"/>
  <c r="J14" i="36"/>
  <c r="J32" i="36"/>
  <c r="J10" i="36"/>
  <c r="J54" i="36"/>
  <c r="J66" i="36"/>
  <c r="J51" i="36"/>
  <c r="J65" i="36"/>
  <c r="J12" i="36"/>
  <c r="J62" i="36"/>
  <c r="J60" i="36"/>
  <c r="J39" i="36"/>
  <c r="J20" i="36"/>
  <c r="J21" i="36"/>
  <c r="J46" i="36"/>
  <c r="J88" i="36"/>
  <c r="J29" i="36"/>
  <c r="J27" i="36"/>
  <c r="J72" i="36"/>
  <c r="J70" i="36"/>
  <c r="J15" i="36"/>
  <c r="J11" i="36"/>
  <c r="J34" i="36"/>
  <c r="J9" i="36" l="1"/>
  <c r="J5" i="36"/>
  <c r="I8" i="36" l="1"/>
  <c r="I7" i="36"/>
  <c r="I6" i="36"/>
  <c r="I9" i="36"/>
  <c r="I5" i="36"/>
  <c r="J7" i="36"/>
  <c r="J8" i="36"/>
  <c r="J6" i="36"/>
  <c r="E54" i="36" l="1"/>
  <c r="D51" i="36"/>
  <c r="D5" i="36"/>
  <c r="E33" i="36"/>
  <c r="D54" i="36"/>
  <c r="D14" i="36"/>
  <c r="D57" i="36"/>
  <c r="L59" i="44"/>
  <c r="D84" i="36"/>
  <c r="L86" i="44"/>
  <c r="D77" i="36"/>
  <c r="L79" i="44"/>
  <c r="D37" i="36"/>
  <c r="D53" i="36"/>
  <c r="D36" i="36"/>
  <c r="E51" i="36"/>
  <c r="D21" i="36"/>
  <c r="D76" i="36"/>
  <c r="L78" i="44"/>
  <c r="E47" i="36"/>
  <c r="E53" i="36"/>
  <c r="D39" i="36"/>
  <c r="D46" i="36"/>
  <c r="D12" i="36"/>
  <c r="D40" i="36"/>
  <c r="D43" i="36"/>
  <c r="D61" i="36"/>
  <c r="L63" i="44"/>
  <c r="E55" i="36"/>
  <c r="E14" i="36"/>
  <c r="E34" i="36"/>
  <c r="D88" i="36"/>
  <c r="L90" i="44"/>
  <c r="D80" i="36"/>
  <c r="L82" i="44"/>
  <c r="D6" i="36"/>
  <c r="D32" i="36"/>
  <c r="D49" i="36"/>
  <c r="D82" i="36"/>
  <c r="L84" i="44"/>
  <c r="D63" i="36"/>
  <c r="L65" i="44"/>
  <c r="D75" i="36"/>
  <c r="L77" i="44"/>
  <c r="D58" i="36"/>
  <c r="L60" i="44"/>
  <c r="D23" i="36"/>
  <c r="D85" i="36"/>
  <c r="L87" i="44"/>
  <c r="D17" i="36"/>
  <c r="D41" i="36"/>
  <c r="D47" i="36"/>
  <c r="D16" i="36"/>
  <c r="E59" i="36"/>
  <c r="D56" i="36"/>
  <c r="L58" i="44"/>
  <c r="D86" i="36"/>
  <c r="L88" i="44"/>
  <c r="D50" i="36"/>
  <c r="E31" i="36"/>
  <c r="D60" i="36"/>
  <c r="L62" i="44"/>
  <c r="E30" i="36"/>
  <c r="D59" i="36"/>
  <c r="L61" i="44"/>
  <c r="E56" i="36"/>
  <c r="D10" i="36"/>
  <c r="D78" i="36"/>
  <c r="L80" i="44"/>
  <c r="D52" i="36"/>
  <c r="D72" i="36"/>
  <c r="L74" i="44"/>
  <c r="D73" i="36"/>
  <c r="L75" i="44"/>
  <c r="D22" i="36"/>
  <c r="D18" i="36"/>
  <c r="D64" i="36"/>
  <c r="L66" i="44"/>
  <c r="E32" i="36"/>
  <c r="D20" i="36"/>
  <c r="D11" i="36"/>
  <c r="D74" i="36"/>
  <c r="L76" i="44"/>
  <c r="E49" i="36"/>
  <c r="D33" i="36"/>
  <c r="D89" i="36"/>
  <c r="L91" i="44"/>
  <c r="D35" i="36"/>
  <c r="D30" i="36"/>
  <c r="D87" i="36"/>
  <c r="L89" i="44"/>
  <c r="D45" i="36"/>
  <c r="D15" i="36"/>
  <c r="D62" i="36"/>
  <c r="L64" i="44"/>
  <c r="D9" i="36"/>
  <c r="D8" i="36"/>
  <c r="D70" i="36"/>
  <c r="L72" i="44"/>
  <c r="D83" i="36"/>
  <c r="L85" i="44"/>
  <c r="E50" i="36"/>
  <c r="D48" i="36"/>
  <c r="E48" i="36"/>
  <c r="D24" i="36"/>
  <c r="D79" i="36"/>
  <c r="L81" i="44"/>
  <c r="D81" i="36"/>
  <c r="L83" i="44"/>
  <c r="D7" i="36"/>
  <c r="E57" i="36"/>
  <c r="D31" i="36"/>
  <c r="D19" i="36"/>
  <c r="D42" i="36"/>
  <c r="D55" i="36"/>
  <c r="L57" i="44"/>
  <c r="D71" i="36"/>
  <c r="L73" i="44"/>
  <c r="D38" i="36"/>
  <c r="D34" i="36"/>
  <c r="D44" i="36"/>
  <c r="D13" i="36"/>
  <c r="E58" i="36"/>
  <c r="E52" i="36"/>
  <c r="D27" i="36" l="1"/>
  <c r="D29" i="36"/>
  <c r="E15" i="36"/>
  <c r="E38" i="36"/>
  <c r="J40" i="44" s="1"/>
  <c r="R40" i="44" s="1"/>
  <c r="E22" i="36"/>
  <c r="E82" i="36"/>
  <c r="J84" i="44" s="1"/>
  <c r="R84" i="44" s="1"/>
  <c r="D69" i="36"/>
  <c r="L71" i="44"/>
  <c r="E79" i="36"/>
  <c r="J81" i="44" s="1"/>
  <c r="R81" i="44" s="1"/>
  <c r="E35" i="36"/>
  <c r="J37" i="44" s="1"/>
  <c r="R37" i="44" s="1"/>
  <c r="E43" i="36"/>
  <c r="J45" i="44" s="1"/>
  <c r="R45" i="44" s="1"/>
  <c r="E76" i="36"/>
  <c r="E77" i="36"/>
  <c r="E74" i="36"/>
  <c r="J76" i="44" s="1"/>
  <c r="R76" i="44" s="1"/>
  <c r="E70" i="36"/>
  <c r="J72" i="44" s="1"/>
  <c r="R72" i="44" s="1"/>
  <c r="E73" i="44"/>
  <c r="M73" i="44" s="1"/>
  <c r="T73" i="44" s="1"/>
  <c r="J50" i="44"/>
  <c r="R50" i="44" s="1"/>
  <c r="E66" i="44"/>
  <c r="M66" i="44" s="1"/>
  <c r="T66" i="44" s="1"/>
  <c r="J54" i="44"/>
  <c r="R54" i="44" s="1"/>
  <c r="E80" i="44"/>
  <c r="M80" i="44" s="1"/>
  <c r="T80" i="44" s="1"/>
  <c r="E58" i="44"/>
  <c r="M58" i="44" s="1"/>
  <c r="T58" i="44" s="1"/>
  <c r="J58" i="44"/>
  <c r="R58" i="44" s="1"/>
  <c r="G61" i="44"/>
  <c r="O61" i="44" s="1"/>
  <c r="E77" i="44"/>
  <c r="M77" i="44" s="1"/>
  <c r="T77" i="44" s="1"/>
  <c r="E65" i="44"/>
  <c r="M65" i="44" s="1"/>
  <c r="T65" i="44" s="1"/>
  <c r="G36" i="44"/>
  <c r="O36" i="44" s="1"/>
  <c r="G55" i="44"/>
  <c r="O55" i="44" s="1"/>
  <c r="G53" i="44"/>
  <c r="O53" i="44" s="1"/>
  <c r="G35" i="44"/>
  <c r="O35" i="44" s="1"/>
  <c r="J53" i="44"/>
  <c r="R53" i="44" s="1"/>
  <c r="E62" i="36"/>
  <c r="J64" i="44" s="1"/>
  <c r="R64" i="44" s="1"/>
  <c r="D28" i="36"/>
  <c r="E72" i="36"/>
  <c r="J74" i="44" s="1"/>
  <c r="R74" i="44" s="1"/>
  <c r="E73" i="36"/>
  <c r="D66" i="36"/>
  <c r="L68" i="44"/>
  <c r="E36" i="36"/>
  <c r="J38" i="44" s="1"/>
  <c r="R38" i="44" s="1"/>
  <c r="E78" i="36"/>
  <c r="E10" i="36"/>
  <c r="E12" i="36"/>
  <c r="J14" i="44" s="1"/>
  <c r="R14" i="44" s="1"/>
  <c r="E20" i="36"/>
  <c r="J22" i="44" s="1"/>
  <c r="R22" i="44" s="1"/>
  <c r="G60" i="44"/>
  <c r="O60" i="44" s="1"/>
  <c r="E81" i="44"/>
  <c r="M81" i="44" s="1"/>
  <c r="T81" i="44" s="1"/>
  <c r="E72" i="44"/>
  <c r="M72" i="44" s="1"/>
  <c r="T72" i="44" s="1"/>
  <c r="E64" i="44"/>
  <c r="M64" i="44" s="1"/>
  <c r="T64" i="44" s="1"/>
  <c r="G34" i="44"/>
  <c r="O34" i="44" s="1"/>
  <c r="J12" i="44"/>
  <c r="R12" i="44" s="1"/>
  <c r="E88" i="44"/>
  <c r="M88" i="44" s="1"/>
  <c r="T88" i="44" s="1"/>
  <c r="E84" i="44"/>
  <c r="M84" i="44" s="1"/>
  <c r="T84" i="44" s="1"/>
  <c r="E63" i="44"/>
  <c r="M63" i="44" s="1"/>
  <c r="T63" i="44" s="1"/>
  <c r="E59" i="44"/>
  <c r="M59" i="44" s="1"/>
  <c r="T59" i="44" s="1"/>
  <c r="J59" i="44"/>
  <c r="R59" i="44" s="1"/>
  <c r="J56" i="44"/>
  <c r="R56" i="44" s="1"/>
  <c r="E85" i="36"/>
  <c r="J87" i="44" s="1"/>
  <c r="R87" i="44" s="1"/>
  <c r="E41" i="36"/>
  <c r="J43" i="44" s="1"/>
  <c r="R43" i="44" s="1"/>
  <c r="E64" i="36"/>
  <c r="E44" i="36"/>
  <c r="E46" i="36"/>
  <c r="J48" i="44" s="1"/>
  <c r="R48" i="44" s="1"/>
  <c r="E87" i="36"/>
  <c r="E16" i="36"/>
  <c r="E83" i="36"/>
  <c r="J85" i="44" s="1"/>
  <c r="R85" i="44" s="1"/>
  <c r="D67" i="36"/>
  <c r="L69" i="44"/>
  <c r="D68" i="36"/>
  <c r="L70" i="44"/>
  <c r="E88" i="36"/>
  <c r="J90" i="44" s="1"/>
  <c r="R90" i="44" s="1"/>
  <c r="E71" i="36"/>
  <c r="E11" i="36"/>
  <c r="E42" i="36"/>
  <c r="J44" i="44" s="1"/>
  <c r="R44" i="44" s="1"/>
  <c r="E39" i="36"/>
  <c r="J41" i="44" s="1"/>
  <c r="R41" i="44" s="1"/>
  <c r="E19" i="36"/>
  <c r="J46" i="44"/>
  <c r="R46" i="44" s="1"/>
  <c r="G59" i="44"/>
  <c r="O59" i="44" s="1"/>
  <c r="G50" i="44"/>
  <c r="O50" i="44" s="1"/>
  <c r="J17" i="44"/>
  <c r="R17" i="44" s="1"/>
  <c r="J32" i="44"/>
  <c r="R32" i="44" s="1"/>
  <c r="J35" i="44"/>
  <c r="R35" i="44" s="1"/>
  <c r="J24" i="44"/>
  <c r="R24" i="44" s="1"/>
  <c r="E75" i="44"/>
  <c r="M75" i="44" s="1"/>
  <c r="T75" i="44" s="1"/>
  <c r="E74" i="44"/>
  <c r="M74" i="44" s="1"/>
  <c r="T74" i="44" s="1"/>
  <c r="E61" i="44"/>
  <c r="M61" i="44" s="1"/>
  <c r="T61" i="44" s="1"/>
  <c r="J61" i="44"/>
  <c r="R61" i="44" s="1"/>
  <c r="G32" i="44"/>
  <c r="O32" i="44" s="1"/>
  <c r="E62" i="44"/>
  <c r="M62" i="44" s="1"/>
  <c r="T62" i="44" s="1"/>
  <c r="G33" i="44"/>
  <c r="O33" i="44" s="1"/>
  <c r="J52" i="44"/>
  <c r="R52" i="44" s="1"/>
  <c r="J49" i="44"/>
  <c r="R49" i="44" s="1"/>
  <c r="J34" i="44"/>
  <c r="R34" i="44" s="1"/>
  <c r="G57" i="44"/>
  <c r="O57" i="44" s="1"/>
  <c r="E78" i="44"/>
  <c r="M78" i="44" s="1"/>
  <c r="T78" i="44" s="1"/>
  <c r="J78" i="44"/>
  <c r="R78" i="44" s="1"/>
  <c r="J55" i="44"/>
  <c r="R55" i="44" s="1"/>
  <c r="G56" i="44"/>
  <c r="O56" i="44" s="1"/>
  <c r="E81" i="36"/>
  <c r="J83" i="44" s="1"/>
  <c r="R83" i="44" s="1"/>
  <c r="D25" i="36"/>
  <c r="E63" i="36"/>
  <c r="E21" i="36"/>
  <c r="J23" i="44" s="1"/>
  <c r="R23" i="44" s="1"/>
  <c r="E18" i="36"/>
  <c r="E45" i="36"/>
  <c r="D26" i="36"/>
  <c r="E60" i="36"/>
  <c r="E24" i="36"/>
  <c r="J26" i="44" s="1"/>
  <c r="R26" i="44" s="1"/>
  <c r="E89" i="36"/>
  <c r="J91" i="44" s="1"/>
  <c r="R91" i="44" s="1"/>
  <c r="E13" i="36"/>
  <c r="J15" i="44" s="1"/>
  <c r="R15" i="44" s="1"/>
  <c r="E84" i="36"/>
  <c r="J86" i="44" s="1"/>
  <c r="R86" i="44" s="1"/>
  <c r="D65" i="36"/>
  <c r="L67" i="44"/>
  <c r="E75" i="36"/>
  <c r="E37" i="36"/>
  <c r="J39" i="44" s="1"/>
  <c r="R39" i="44" s="1"/>
  <c r="E86" i="36"/>
  <c r="E80" i="36"/>
  <c r="E40" i="36"/>
  <c r="E61" i="36"/>
  <c r="J63" i="44" s="1"/>
  <c r="R63" i="44" s="1"/>
  <c r="E23" i="36"/>
  <c r="J25" i="44" s="1"/>
  <c r="R25" i="44" s="1"/>
  <c r="E17" i="36"/>
  <c r="J19" i="44" s="1"/>
  <c r="R19" i="44" s="1"/>
  <c r="G54" i="44"/>
  <c r="O54" i="44" s="1"/>
  <c r="J36" i="44"/>
  <c r="R36" i="44" s="1"/>
  <c r="E57" i="44"/>
  <c r="M57" i="44" s="1"/>
  <c r="T57" i="44" s="1"/>
  <c r="J57" i="44"/>
  <c r="R57" i="44" s="1"/>
  <c r="J33" i="44"/>
  <c r="R33" i="44" s="1"/>
  <c r="E83" i="44"/>
  <c r="M83" i="44" s="1"/>
  <c r="T83" i="44" s="1"/>
  <c r="G52" i="44"/>
  <c r="O52" i="44" s="1"/>
  <c r="E85" i="44"/>
  <c r="M85" i="44" s="1"/>
  <c r="T85" i="44" s="1"/>
  <c r="E89" i="44"/>
  <c r="M89" i="44" s="1"/>
  <c r="T89" i="44" s="1"/>
  <c r="J89" i="44"/>
  <c r="R89" i="44" s="1"/>
  <c r="E91" i="44"/>
  <c r="M91" i="44" s="1"/>
  <c r="T91" i="44" s="1"/>
  <c r="G51" i="44"/>
  <c r="O51" i="44" s="1"/>
  <c r="E76" i="44"/>
  <c r="M76" i="44" s="1"/>
  <c r="T76" i="44" s="1"/>
  <c r="G58" i="44"/>
  <c r="O58" i="44" s="1"/>
  <c r="E87" i="44"/>
  <c r="M87" i="44" s="1"/>
  <c r="T87" i="44" s="1"/>
  <c r="E60" i="44"/>
  <c r="M60" i="44" s="1"/>
  <c r="T60" i="44" s="1"/>
  <c r="J60" i="44"/>
  <c r="R60" i="44" s="1"/>
  <c r="J51" i="44"/>
  <c r="R51" i="44" s="1"/>
  <c r="E82" i="44"/>
  <c r="M82" i="44" s="1"/>
  <c r="T82" i="44" s="1"/>
  <c r="E90" i="44"/>
  <c r="M90" i="44" s="1"/>
  <c r="T90" i="44" s="1"/>
  <c r="G16" i="44"/>
  <c r="O16" i="44" s="1"/>
  <c r="G49" i="44"/>
  <c r="O49" i="44" s="1"/>
  <c r="J79" i="44"/>
  <c r="R79" i="44" s="1"/>
  <c r="E79" i="44"/>
  <c r="M79" i="44" s="1"/>
  <c r="T79" i="44" s="1"/>
  <c r="E86" i="44"/>
  <c r="M86" i="44" s="1"/>
  <c r="T86" i="44" s="1"/>
  <c r="J16" i="44"/>
  <c r="R16" i="44" s="1"/>
  <c r="E27" i="36" l="1"/>
  <c r="E69" i="36"/>
  <c r="G39" i="44"/>
  <c r="O39" i="44" s="1"/>
  <c r="J20" i="44"/>
  <c r="R20" i="44" s="1"/>
  <c r="G20" i="44"/>
  <c r="O20" i="44" s="1"/>
  <c r="J65" i="44"/>
  <c r="R65" i="44" s="1"/>
  <c r="G65" i="44"/>
  <c r="O65" i="44" s="1"/>
  <c r="G41" i="44"/>
  <c r="O41" i="44" s="1"/>
  <c r="G90" i="44"/>
  <c r="O90" i="44" s="1"/>
  <c r="G85" i="44"/>
  <c r="O85" i="44" s="1"/>
  <c r="G46" i="44"/>
  <c r="O46" i="44" s="1"/>
  <c r="J47" i="44"/>
  <c r="R47" i="44" s="1"/>
  <c r="G14" i="44"/>
  <c r="O14" i="44" s="1"/>
  <c r="G79" i="44"/>
  <c r="O79" i="44" s="1"/>
  <c r="G24" i="44"/>
  <c r="O24" i="44" s="1"/>
  <c r="E66" i="36"/>
  <c r="E28" i="36"/>
  <c r="E25" i="36"/>
  <c r="E67" i="36"/>
  <c r="E68" i="36"/>
  <c r="E26" i="36"/>
  <c r="G42" i="44"/>
  <c r="O42" i="44" s="1"/>
  <c r="G88" i="44"/>
  <c r="O88" i="44" s="1"/>
  <c r="G86" i="44"/>
  <c r="O86" i="44" s="1"/>
  <c r="G91" i="44"/>
  <c r="O91" i="44" s="1"/>
  <c r="G62" i="44"/>
  <c r="O62" i="44" s="1"/>
  <c r="G83" i="44"/>
  <c r="O83" i="44" s="1"/>
  <c r="E69" i="44"/>
  <c r="M69" i="44" s="1"/>
  <c r="T69" i="44" s="1"/>
  <c r="J69" i="44"/>
  <c r="R69" i="44" s="1"/>
  <c r="G18" i="44"/>
  <c r="O18" i="44" s="1"/>
  <c r="G48" i="44"/>
  <c r="O48" i="44" s="1"/>
  <c r="G66" i="44"/>
  <c r="O66" i="44" s="1"/>
  <c r="J18" i="44"/>
  <c r="R18" i="44" s="1"/>
  <c r="G80" i="44"/>
  <c r="O80" i="44" s="1"/>
  <c r="E68" i="44"/>
  <c r="M68" i="44" s="1"/>
  <c r="T68" i="44" s="1"/>
  <c r="J68" i="44"/>
  <c r="R68" i="44" s="1"/>
  <c r="G74" i="44"/>
  <c r="O74" i="44" s="1"/>
  <c r="J80" i="44"/>
  <c r="R80" i="44" s="1"/>
  <c r="G72" i="44"/>
  <c r="O72" i="44" s="1"/>
  <c r="G45" i="44"/>
  <c r="O45" i="44" s="1"/>
  <c r="G81" i="44"/>
  <c r="O81" i="44" s="1"/>
  <c r="E71" i="44"/>
  <c r="M71" i="44" s="1"/>
  <c r="T71" i="44" s="1"/>
  <c r="G17" i="44"/>
  <c r="O17" i="44" s="1"/>
  <c r="G19" i="44"/>
  <c r="O19" i="44" s="1"/>
  <c r="G63" i="44"/>
  <c r="O63" i="44" s="1"/>
  <c r="G77" i="44"/>
  <c r="O77" i="44" s="1"/>
  <c r="E67" i="44"/>
  <c r="M67" i="44" s="1"/>
  <c r="T67" i="44" s="1"/>
  <c r="G15" i="44"/>
  <c r="O15" i="44" s="1"/>
  <c r="J21" i="44"/>
  <c r="R21" i="44" s="1"/>
  <c r="G21" i="44"/>
  <c r="O21" i="44" s="1"/>
  <c r="G44" i="44"/>
  <c r="O44" i="44" s="1"/>
  <c r="G73" i="44"/>
  <c r="O73" i="44" s="1"/>
  <c r="E70" i="44"/>
  <c r="M70" i="44" s="1"/>
  <c r="T70" i="44" s="1"/>
  <c r="G22" i="44"/>
  <c r="O22" i="44" s="1"/>
  <c r="G64" i="44"/>
  <c r="O64" i="44" s="1"/>
  <c r="J77" i="44"/>
  <c r="R77" i="44" s="1"/>
  <c r="J73" i="44"/>
  <c r="R73" i="44" s="1"/>
  <c r="G76" i="44"/>
  <c r="O76" i="44" s="1"/>
  <c r="E65" i="36"/>
  <c r="E29" i="36"/>
  <c r="J31" i="44" s="1"/>
  <c r="R31" i="44" s="1"/>
  <c r="G25" i="44"/>
  <c r="O25" i="44" s="1"/>
  <c r="J82" i="44"/>
  <c r="R82" i="44" s="1"/>
  <c r="G82" i="44"/>
  <c r="O82" i="44" s="1"/>
  <c r="G26" i="44"/>
  <c r="O26" i="44" s="1"/>
  <c r="G47" i="44"/>
  <c r="O47" i="44" s="1"/>
  <c r="G23" i="44"/>
  <c r="O23" i="44" s="1"/>
  <c r="J62" i="44"/>
  <c r="R62" i="44" s="1"/>
  <c r="G13" i="44"/>
  <c r="O13" i="44" s="1"/>
  <c r="G89" i="44"/>
  <c r="O89" i="44" s="1"/>
  <c r="G43" i="44"/>
  <c r="O43" i="44" s="1"/>
  <c r="G87" i="44"/>
  <c r="O87" i="44" s="1"/>
  <c r="J42" i="44"/>
  <c r="R42" i="44" s="1"/>
  <c r="J88" i="44"/>
  <c r="R88" i="44" s="1"/>
  <c r="J13" i="44"/>
  <c r="R13" i="44" s="1"/>
  <c r="G12" i="44"/>
  <c r="O12" i="44" s="1"/>
  <c r="G38" i="44"/>
  <c r="O38" i="44" s="1"/>
  <c r="J75" i="44"/>
  <c r="R75" i="44" s="1"/>
  <c r="G75" i="44"/>
  <c r="O75" i="44" s="1"/>
  <c r="J66" i="44"/>
  <c r="R66" i="44" s="1"/>
  <c r="G78" i="44"/>
  <c r="O78" i="44" s="1"/>
  <c r="G37" i="44"/>
  <c r="O37" i="44" s="1"/>
  <c r="G84" i="44"/>
  <c r="O84" i="44" s="1"/>
  <c r="G40" i="44"/>
  <c r="O40" i="44" s="1"/>
  <c r="E6" i="36" l="1"/>
  <c r="G31" i="44"/>
  <c r="O31" i="44" s="1"/>
  <c r="G67" i="44"/>
  <c r="O67" i="44" s="1"/>
  <c r="G28" i="44"/>
  <c r="O28" i="44" s="1"/>
  <c r="G27" i="44"/>
  <c r="O27" i="44" s="1"/>
  <c r="G68" i="44"/>
  <c r="O68" i="44" s="1"/>
  <c r="J29" i="44"/>
  <c r="R29" i="44" s="1"/>
  <c r="R94" i="44" s="1"/>
  <c r="G29" i="44"/>
  <c r="O29" i="44" s="1"/>
  <c r="E9" i="36"/>
  <c r="G69" i="44"/>
  <c r="O69" i="44" s="1"/>
  <c r="J30" i="44"/>
  <c r="R30" i="44" s="1"/>
  <c r="G30" i="44"/>
  <c r="O30" i="44" s="1"/>
  <c r="J27" i="44"/>
  <c r="R27" i="44" s="1"/>
  <c r="J71" i="44"/>
  <c r="R71" i="44" s="1"/>
  <c r="R96" i="44" s="1"/>
  <c r="G71" i="44"/>
  <c r="O71" i="44" s="1"/>
  <c r="E5" i="36"/>
  <c r="E8" i="36"/>
  <c r="E7" i="36"/>
  <c r="J67" i="44"/>
  <c r="R67" i="44" s="1"/>
  <c r="J70" i="44"/>
  <c r="R70" i="44" s="1"/>
  <c r="G70" i="44"/>
  <c r="O70" i="44" s="1"/>
  <c r="J28" i="44"/>
  <c r="R28" i="44" s="1"/>
  <c r="R93" i="44" s="1"/>
  <c r="O94" i="44" l="1"/>
  <c r="F15" i="36"/>
  <c r="F10" i="36"/>
  <c r="F5" i="36"/>
  <c r="G10" i="44"/>
  <c r="O10" i="44" s="1"/>
  <c r="J10" i="44"/>
  <c r="R10" i="44" s="1"/>
  <c r="O95" i="44"/>
  <c r="O96" i="44"/>
  <c r="F45" i="36"/>
  <c r="F25" i="36"/>
  <c r="F40" i="36"/>
  <c r="F50" i="36"/>
  <c r="R92" i="44"/>
  <c r="R95" i="44"/>
  <c r="O93" i="44"/>
  <c r="F35" i="36"/>
  <c r="F20" i="36"/>
  <c r="F30" i="36"/>
  <c r="G9" i="44"/>
  <c r="O9" i="44" s="1"/>
  <c r="J9" i="44"/>
  <c r="R9" i="44" s="1"/>
  <c r="G11" i="44"/>
  <c r="O11" i="44" s="1"/>
  <c r="J11" i="44"/>
  <c r="R11" i="44" s="1"/>
  <c r="O92" i="44"/>
  <c r="G8" i="44"/>
  <c r="O8" i="44" s="1"/>
  <c r="J8" i="44"/>
  <c r="R8" i="44" s="1"/>
  <c r="G7" i="44"/>
  <c r="O7" i="44" s="1"/>
  <c r="J7" i="44"/>
  <c r="R7" i="44" s="1"/>
  <c r="F46" i="36" l="1"/>
  <c r="D22" i="44"/>
  <c r="L22" i="44" s="1"/>
  <c r="E22" i="44"/>
  <c r="M22" i="44" s="1"/>
  <c r="D12" i="44"/>
  <c r="L12" i="44" s="1"/>
  <c r="E12" i="44"/>
  <c r="M12" i="44" s="1"/>
  <c r="F26" i="36"/>
  <c r="F51" i="36"/>
  <c r="F36" i="36"/>
  <c r="D32" i="44"/>
  <c r="L32" i="44" s="1"/>
  <c r="E32" i="44"/>
  <c r="M32" i="44" s="1"/>
  <c r="D52" i="44"/>
  <c r="L52" i="44" s="1"/>
  <c r="E52" i="44"/>
  <c r="M52" i="44" s="1"/>
  <c r="D7" i="44"/>
  <c r="L7" i="44" s="1"/>
  <c r="E7" i="44"/>
  <c r="M7" i="44" s="1"/>
  <c r="F6" i="36"/>
  <c r="E37" i="44"/>
  <c r="M37" i="44" s="1"/>
  <c r="D37" i="44"/>
  <c r="L37" i="44" s="1"/>
  <c r="E47" i="44"/>
  <c r="M47" i="44" s="1"/>
  <c r="D47" i="44"/>
  <c r="L47" i="44" s="1"/>
  <c r="F41" i="36"/>
  <c r="F11" i="36"/>
  <c r="F16" i="36"/>
  <c r="F31" i="36"/>
  <c r="F21" i="36"/>
  <c r="E42" i="44"/>
  <c r="M42" i="44" s="1"/>
  <c r="D42" i="44"/>
  <c r="L42" i="44" s="1"/>
  <c r="E27" i="44"/>
  <c r="M27" i="44" s="1"/>
  <c r="M92" i="44" s="1"/>
  <c r="D27" i="44"/>
  <c r="L27" i="44" s="1"/>
  <c r="E17" i="44"/>
  <c r="M17" i="44" s="1"/>
  <c r="D17" i="44"/>
  <c r="L17" i="44" s="1"/>
  <c r="T37" i="44" l="1"/>
  <c r="T42" i="44"/>
  <c r="T22" i="44"/>
  <c r="T32" i="44"/>
  <c r="T12" i="44"/>
  <c r="F32" i="36"/>
  <c r="L92" i="44"/>
  <c r="T92" i="44" s="1"/>
  <c r="T27" i="44"/>
  <c r="E13" i="44"/>
  <c r="M13" i="44" s="1"/>
  <c r="D13" i="44"/>
  <c r="L13" i="44" s="1"/>
  <c r="T7" i="44"/>
  <c r="F7" i="36"/>
  <c r="F17" i="36"/>
  <c r="F37" i="36"/>
  <c r="F42" i="36"/>
  <c r="F52" i="36"/>
  <c r="T17" i="44"/>
  <c r="E33" i="44"/>
  <c r="M33" i="44" s="1"/>
  <c r="D33" i="44"/>
  <c r="L33" i="44" s="1"/>
  <c r="T47" i="44"/>
  <c r="D8" i="44"/>
  <c r="L8" i="44" s="1"/>
  <c r="E8" i="44"/>
  <c r="M8" i="44" s="1"/>
  <c r="D53" i="44"/>
  <c r="L53" i="44" s="1"/>
  <c r="E53" i="44"/>
  <c r="M53" i="44" s="1"/>
  <c r="F27" i="36"/>
  <c r="D23" i="44"/>
  <c r="L23" i="44" s="1"/>
  <c r="E23" i="44"/>
  <c r="M23" i="44" s="1"/>
  <c r="E43" i="44"/>
  <c r="M43" i="44" s="1"/>
  <c r="D43" i="44"/>
  <c r="L43" i="44" s="1"/>
  <c r="F47" i="36"/>
  <c r="F22" i="36"/>
  <c r="F12" i="36"/>
  <c r="D18" i="44"/>
  <c r="L18" i="44" s="1"/>
  <c r="E18" i="44"/>
  <c r="M18" i="44" s="1"/>
  <c r="T52" i="44"/>
  <c r="E38" i="44"/>
  <c r="M38" i="44" s="1"/>
  <c r="D38" i="44"/>
  <c r="L38" i="44" s="1"/>
  <c r="E28" i="44"/>
  <c r="M28" i="44" s="1"/>
  <c r="M93" i="44" s="1"/>
  <c r="D28" i="44"/>
  <c r="L28" i="44" s="1"/>
  <c r="D48" i="44"/>
  <c r="L48" i="44" s="1"/>
  <c r="E48" i="44"/>
  <c r="M48" i="44" s="1"/>
  <c r="T33" i="44" l="1"/>
  <c r="T38" i="44"/>
  <c r="T18" i="44"/>
  <c r="T8" i="44"/>
  <c r="T13" i="44"/>
  <c r="T53" i="44"/>
  <c r="T43" i="44"/>
  <c r="T48" i="44"/>
  <c r="F34" i="36"/>
  <c r="F19" i="36"/>
  <c r="F54" i="36"/>
  <c r="F33" i="36"/>
  <c r="F38" i="36"/>
  <c r="F24" i="36"/>
  <c r="F18" i="36"/>
  <c r="E49" i="44"/>
  <c r="M49" i="44" s="1"/>
  <c r="D49" i="44"/>
  <c r="L49" i="44" s="1"/>
  <c r="T23" i="44"/>
  <c r="D44" i="44"/>
  <c r="L44" i="44" s="1"/>
  <c r="E44" i="44"/>
  <c r="M44" i="44" s="1"/>
  <c r="D19" i="44"/>
  <c r="L19" i="44" s="1"/>
  <c r="E19" i="44"/>
  <c r="M19" i="44" s="1"/>
  <c r="F39" i="36"/>
  <c r="F14" i="36"/>
  <c r="F49" i="36"/>
  <c r="F8" i="36"/>
  <c r="F28" i="36"/>
  <c r="F43" i="36"/>
  <c r="E24" i="44"/>
  <c r="M24" i="44" s="1"/>
  <c r="D24" i="44"/>
  <c r="L24" i="44" s="1"/>
  <c r="D54" i="44"/>
  <c r="L54" i="44" s="1"/>
  <c r="E54" i="44"/>
  <c r="M54" i="44" s="1"/>
  <c r="E34" i="44"/>
  <c r="M34" i="44" s="1"/>
  <c r="D34" i="44"/>
  <c r="L34" i="44" s="1"/>
  <c r="F13" i="36"/>
  <c r="F48" i="36"/>
  <c r="F9" i="36"/>
  <c r="F29" i="36"/>
  <c r="F44" i="36"/>
  <c r="D29" i="44"/>
  <c r="L29" i="44" s="1"/>
  <c r="E29" i="44"/>
  <c r="M29" i="44" s="1"/>
  <c r="M94" i="44" s="1"/>
  <c r="D39" i="44"/>
  <c r="L39" i="44" s="1"/>
  <c r="E39" i="44"/>
  <c r="M39" i="44" s="1"/>
  <c r="D9" i="44"/>
  <c r="L9" i="44" s="1"/>
  <c r="E9" i="44"/>
  <c r="M9" i="44" s="1"/>
  <c r="F53" i="36"/>
  <c r="F23" i="36"/>
  <c r="T28" i="44"/>
  <c r="L93" i="44"/>
  <c r="T93" i="44" s="1"/>
  <c r="D14" i="44"/>
  <c r="L14" i="44" s="1"/>
  <c r="E14" i="44"/>
  <c r="M14" i="44" s="1"/>
  <c r="T102" i="44"/>
  <c r="T97" i="44"/>
  <c r="T44" i="44" l="1"/>
  <c r="T9" i="44"/>
  <c r="T54" i="44"/>
  <c r="T34" i="44"/>
  <c r="T24" i="44"/>
  <c r="H51" i="36"/>
  <c r="H59" i="36"/>
  <c r="H83" i="36"/>
  <c r="H46" i="36"/>
  <c r="T14" i="44"/>
  <c r="T39" i="44"/>
  <c r="T19" i="44"/>
  <c r="T49" i="44"/>
  <c r="E26" i="44"/>
  <c r="M26" i="44" s="1"/>
  <c r="D26" i="44"/>
  <c r="L26" i="44" s="1"/>
  <c r="D35" i="44"/>
  <c r="L35" i="44" s="1"/>
  <c r="E35" i="44"/>
  <c r="M35" i="44" s="1"/>
  <c r="H52" i="36"/>
  <c r="H41" i="36"/>
  <c r="H84" i="36"/>
  <c r="H50" i="36"/>
  <c r="H58" i="36"/>
  <c r="H56" i="36"/>
  <c r="H81" i="36"/>
  <c r="H45" i="36"/>
  <c r="T98" i="44"/>
  <c r="T103" i="44"/>
  <c r="E55" i="44"/>
  <c r="M55" i="44" s="1"/>
  <c r="D55" i="44"/>
  <c r="L55" i="44" s="1"/>
  <c r="D46" i="44"/>
  <c r="L46" i="44" s="1"/>
  <c r="E46" i="44"/>
  <c r="M46" i="44" s="1"/>
  <c r="D11" i="44"/>
  <c r="L11" i="44" s="1"/>
  <c r="E11" i="44"/>
  <c r="M11" i="44" s="1"/>
  <c r="D30" i="44"/>
  <c r="L30" i="44" s="1"/>
  <c r="E30" i="44"/>
  <c r="M30" i="44" s="1"/>
  <c r="M95" i="44" s="1"/>
  <c r="D51" i="44"/>
  <c r="L51" i="44" s="1"/>
  <c r="E51" i="44"/>
  <c r="M51" i="44" s="1"/>
  <c r="E41" i="44"/>
  <c r="M41" i="44" s="1"/>
  <c r="D41" i="44"/>
  <c r="L41" i="44" s="1"/>
  <c r="D21" i="44"/>
  <c r="L21" i="44" s="1"/>
  <c r="E21" i="44"/>
  <c r="M21" i="44" s="1"/>
  <c r="H53" i="36"/>
  <c r="H57" i="36"/>
  <c r="H42" i="36"/>
  <c r="H44" i="36"/>
  <c r="H82" i="36"/>
  <c r="H49" i="36"/>
  <c r="H47" i="36"/>
  <c r="L94" i="44"/>
  <c r="T94" i="44" s="1"/>
  <c r="T29" i="44"/>
  <c r="E15" i="44"/>
  <c r="M15" i="44" s="1"/>
  <c r="D15" i="44"/>
  <c r="L15" i="44" s="1"/>
  <c r="E45" i="44"/>
  <c r="M45" i="44" s="1"/>
  <c r="D45" i="44"/>
  <c r="L45" i="44" s="1"/>
  <c r="D10" i="44"/>
  <c r="L10" i="44" s="1"/>
  <c r="E10" i="44"/>
  <c r="M10" i="44" s="1"/>
  <c r="E16" i="44"/>
  <c r="M16" i="44" s="1"/>
  <c r="D16" i="44"/>
  <c r="L16" i="44" s="1"/>
  <c r="E20" i="44"/>
  <c r="M20" i="44" s="1"/>
  <c r="D20" i="44"/>
  <c r="L20" i="44" s="1"/>
  <c r="D40" i="44"/>
  <c r="L40" i="44" s="1"/>
  <c r="E40" i="44"/>
  <c r="M40" i="44" s="1"/>
  <c r="D36" i="44"/>
  <c r="L36" i="44" s="1"/>
  <c r="E36" i="44"/>
  <c r="M36" i="44" s="1"/>
  <c r="H54" i="36"/>
  <c r="H55" i="36"/>
  <c r="H43" i="36"/>
  <c r="H40" i="36"/>
  <c r="H80" i="36"/>
  <c r="H48" i="36"/>
  <c r="D25" i="44"/>
  <c r="L25" i="44" s="1"/>
  <c r="E25" i="44"/>
  <c r="M25" i="44" s="1"/>
  <c r="D31" i="44"/>
  <c r="L31" i="44" s="1"/>
  <c r="E31" i="44"/>
  <c r="M31" i="44" s="1"/>
  <c r="M96" i="44" s="1"/>
  <c r="D50" i="44"/>
  <c r="L50" i="44" s="1"/>
  <c r="E50" i="44"/>
  <c r="M50" i="44" s="1"/>
  <c r="D56" i="44"/>
  <c r="L56" i="44" s="1"/>
  <c r="E56" i="44"/>
  <c r="M56" i="44" s="1"/>
  <c r="T36" i="44" l="1"/>
  <c r="T35" i="44"/>
  <c r="T15" i="44"/>
  <c r="T41" i="44"/>
  <c r="T56" i="44"/>
  <c r="T16" i="44"/>
  <c r="T45" i="44"/>
  <c r="T55" i="44"/>
  <c r="T40" i="44"/>
  <c r="H35" i="36"/>
  <c r="H23" i="36"/>
  <c r="H66" i="36"/>
  <c r="H88" i="36"/>
  <c r="H63" i="36"/>
  <c r="H64" i="36"/>
  <c r="H15" i="36"/>
  <c r="H71" i="36"/>
  <c r="H70" i="36"/>
  <c r="H75" i="36"/>
  <c r="H28" i="36"/>
  <c r="H27" i="36"/>
  <c r="T50" i="44"/>
  <c r="T25" i="44"/>
  <c r="H50" i="44"/>
  <c r="P50" i="44" s="1"/>
  <c r="I50" i="44"/>
  <c r="Q50" i="44" s="1"/>
  <c r="F50" i="44"/>
  <c r="N50" i="44" s="1"/>
  <c r="U50" i="44" s="1"/>
  <c r="T10" i="44"/>
  <c r="I84" i="44"/>
  <c r="Q84" i="44" s="1"/>
  <c r="F84" i="44"/>
  <c r="N84" i="44" s="1"/>
  <c r="U84" i="44" s="1"/>
  <c r="X84" i="44" s="1"/>
  <c r="H84" i="44"/>
  <c r="P84" i="44" s="1"/>
  <c r="F55" i="44"/>
  <c r="N55" i="44" s="1"/>
  <c r="U55" i="44" s="1"/>
  <c r="I55" i="44"/>
  <c r="Q55" i="44" s="1"/>
  <c r="H55" i="44"/>
  <c r="P55" i="44" s="1"/>
  <c r="L95" i="44"/>
  <c r="T95" i="44" s="1"/>
  <c r="T30" i="44"/>
  <c r="T46" i="44"/>
  <c r="I58" i="44"/>
  <c r="Q58" i="44" s="1"/>
  <c r="F58" i="44"/>
  <c r="N58" i="44" s="1"/>
  <c r="U58" i="44" s="1"/>
  <c r="X58" i="44" s="1"/>
  <c r="H58" i="44"/>
  <c r="P58" i="44" s="1"/>
  <c r="I48" i="44"/>
  <c r="Q48" i="44" s="1"/>
  <c r="F48" i="44"/>
  <c r="N48" i="44" s="1"/>
  <c r="U48" i="44" s="1"/>
  <c r="X48" i="44" s="1"/>
  <c r="H48" i="44"/>
  <c r="P48" i="44" s="1"/>
  <c r="H39" i="36"/>
  <c r="H38" i="36"/>
  <c r="H12" i="36"/>
  <c r="H31" i="36"/>
  <c r="H13" i="36"/>
  <c r="H21" i="36"/>
  <c r="H34" i="36"/>
  <c r="H33" i="36"/>
  <c r="H85" i="36"/>
  <c r="H87" i="36"/>
  <c r="H62" i="36"/>
  <c r="H18" i="36"/>
  <c r="H17" i="36"/>
  <c r="H72" i="36"/>
  <c r="H78" i="36"/>
  <c r="I42" i="44"/>
  <c r="Q42" i="44" s="1"/>
  <c r="F42" i="44"/>
  <c r="N42" i="44" s="1"/>
  <c r="U42" i="44" s="1"/>
  <c r="X42" i="44" s="1"/>
  <c r="H42" i="44"/>
  <c r="P42" i="44" s="1"/>
  <c r="H56" i="44"/>
  <c r="P56" i="44" s="1"/>
  <c r="I56" i="44"/>
  <c r="Q56" i="44" s="1"/>
  <c r="F56" i="44"/>
  <c r="N56" i="44" s="1"/>
  <c r="U56" i="44" s="1"/>
  <c r="F46" i="44"/>
  <c r="N46" i="44" s="1"/>
  <c r="U46" i="44" s="1"/>
  <c r="I46" i="44"/>
  <c r="Q46" i="44" s="1"/>
  <c r="H46" i="44"/>
  <c r="P46" i="44" s="1"/>
  <c r="I52" i="44"/>
  <c r="Q52" i="44" s="1"/>
  <c r="F52" i="44"/>
  <c r="N52" i="44" s="1"/>
  <c r="U52" i="44" s="1"/>
  <c r="X52" i="44" s="1"/>
  <c r="H52" i="44"/>
  <c r="P52" i="44" s="1"/>
  <c r="I43" i="44"/>
  <c r="Q43" i="44" s="1"/>
  <c r="F43" i="44"/>
  <c r="N43" i="44" s="1"/>
  <c r="U43" i="44" s="1"/>
  <c r="X43" i="44" s="1"/>
  <c r="H43" i="44"/>
  <c r="P43" i="44" s="1"/>
  <c r="F61" i="44"/>
  <c r="N61" i="44" s="1"/>
  <c r="U61" i="44" s="1"/>
  <c r="X61" i="44" s="1"/>
  <c r="H61" i="44"/>
  <c r="P61" i="44" s="1"/>
  <c r="I61" i="44"/>
  <c r="Q61" i="44" s="1"/>
  <c r="H11" i="36"/>
  <c r="H24" i="36"/>
  <c r="H67" i="36"/>
  <c r="H14" i="36"/>
  <c r="H37" i="36"/>
  <c r="H10" i="36"/>
  <c r="H22" i="36"/>
  <c r="H32" i="36"/>
  <c r="H30" i="36"/>
  <c r="H68" i="36"/>
  <c r="H89" i="36"/>
  <c r="H16" i="36"/>
  <c r="H74" i="36"/>
  <c r="H76" i="36"/>
  <c r="H79" i="36"/>
  <c r="H26" i="36"/>
  <c r="L96" i="44"/>
  <c r="T96" i="44" s="1"/>
  <c r="T31" i="44"/>
  <c r="I82" i="44"/>
  <c r="Q82" i="44" s="1"/>
  <c r="F82" i="44"/>
  <c r="N82" i="44" s="1"/>
  <c r="U82" i="44" s="1"/>
  <c r="X82" i="44" s="1"/>
  <c r="H82" i="44"/>
  <c r="P82" i="44" s="1"/>
  <c r="F57" i="44"/>
  <c r="N57" i="44" s="1"/>
  <c r="U57" i="44" s="1"/>
  <c r="X57" i="44" s="1"/>
  <c r="H57" i="44"/>
  <c r="P57" i="44" s="1"/>
  <c r="I57" i="44"/>
  <c r="Q57" i="44" s="1"/>
  <c r="T20" i="44"/>
  <c r="T99" i="44"/>
  <c r="T104" i="44"/>
  <c r="H51" i="44"/>
  <c r="P51" i="44" s="1"/>
  <c r="I51" i="44"/>
  <c r="Q51" i="44" s="1"/>
  <c r="F51" i="44"/>
  <c r="N51" i="44" s="1"/>
  <c r="U51" i="44" s="1"/>
  <c r="I59" i="44"/>
  <c r="Q59" i="44" s="1"/>
  <c r="F59" i="44"/>
  <c r="N59" i="44" s="1"/>
  <c r="U59" i="44" s="1"/>
  <c r="X59" i="44" s="1"/>
  <c r="H59" i="44"/>
  <c r="P59" i="44" s="1"/>
  <c r="T21" i="44"/>
  <c r="T51" i="44"/>
  <c r="T11" i="44"/>
  <c r="I83" i="44"/>
  <c r="Q83" i="44" s="1"/>
  <c r="H83" i="44"/>
  <c r="P83" i="44" s="1"/>
  <c r="F83" i="44"/>
  <c r="N83" i="44" s="1"/>
  <c r="U83" i="44" s="1"/>
  <c r="X83" i="44" s="1"/>
  <c r="F60" i="44"/>
  <c r="N60" i="44" s="1"/>
  <c r="U60" i="44" s="1"/>
  <c r="X60" i="44" s="1"/>
  <c r="H60" i="44"/>
  <c r="P60" i="44" s="1"/>
  <c r="I60" i="44"/>
  <c r="Q60" i="44" s="1"/>
  <c r="I86" i="44"/>
  <c r="Q86" i="44" s="1"/>
  <c r="F86" i="44"/>
  <c r="N86" i="44" s="1"/>
  <c r="U86" i="44" s="1"/>
  <c r="X86" i="44" s="1"/>
  <c r="H86" i="44"/>
  <c r="P86" i="44" s="1"/>
  <c r="T26" i="44"/>
  <c r="F53" i="44"/>
  <c r="N53" i="44" s="1"/>
  <c r="U53" i="44" s="1"/>
  <c r="X53" i="44" s="1"/>
  <c r="I53" i="44"/>
  <c r="Q53" i="44" s="1"/>
  <c r="H53" i="44"/>
  <c r="P53" i="44" s="1"/>
  <c r="H36" i="36"/>
  <c r="H20" i="36"/>
  <c r="H69" i="36"/>
  <c r="H65" i="36"/>
  <c r="H86" i="36"/>
  <c r="H61" i="36"/>
  <c r="H60" i="36"/>
  <c r="H19" i="36"/>
  <c r="H73" i="36"/>
  <c r="H77" i="36"/>
  <c r="H29" i="36"/>
  <c r="H25" i="36"/>
  <c r="I45" i="44"/>
  <c r="Q45" i="44" s="1"/>
  <c r="F45" i="44"/>
  <c r="N45" i="44" s="1"/>
  <c r="U45" i="44" s="1"/>
  <c r="H45" i="44"/>
  <c r="P45" i="44" s="1"/>
  <c r="F49" i="44"/>
  <c r="N49" i="44" s="1"/>
  <c r="U49" i="44" s="1"/>
  <c r="X49" i="44" s="1"/>
  <c r="H49" i="44"/>
  <c r="P49" i="44" s="1"/>
  <c r="I49" i="44"/>
  <c r="Q49" i="44" s="1"/>
  <c r="H44" i="44"/>
  <c r="P44" i="44" s="1"/>
  <c r="I44" i="44"/>
  <c r="Q44" i="44" s="1"/>
  <c r="F44" i="44"/>
  <c r="N44" i="44" s="1"/>
  <c r="U44" i="44" s="1"/>
  <c r="X44" i="44" s="1"/>
  <c r="F47" i="44"/>
  <c r="N47" i="44" s="1"/>
  <c r="U47" i="44" s="1"/>
  <c r="X47" i="44" s="1"/>
  <c r="H47" i="44"/>
  <c r="P47" i="44" s="1"/>
  <c r="I47" i="44"/>
  <c r="Q47" i="44" s="1"/>
  <c r="I54" i="44"/>
  <c r="Q54" i="44" s="1"/>
  <c r="F54" i="44"/>
  <c r="N54" i="44" s="1"/>
  <c r="U54" i="44" s="1"/>
  <c r="X54" i="44" s="1"/>
  <c r="H54" i="44"/>
  <c r="P54" i="44" s="1"/>
  <c r="I85" i="44"/>
  <c r="Q85" i="44" s="1"/>
  <c r="H85" i="44"/>
  <c r="P85" i="44" s="1"/>
  <c r="F85" i="44"/>
  <c r="N85" i="44" s="1"/>
  <c r="U85" i="44" s="1"/>
  <c r="X85" i="44" s="1"/>
  <c r="V46" i="44" l="1"/>
  <c r="Y46" i="44" s="1"/>
  <c r="X55" i="44"/>
  <c r="X45" i="44"/>
  <c r="V42" i="44"/>
  <c r="Y42" i="44" s="1"/>
  <c r="Z42" i="44" s="1"/>
  <c r="AC42" i="44" s="1"/>
  <c r="V50" i="44"/>
  <c r="Y50" i="44" s="1"/>
  <c r="X56" i="44"/>
  <c r="V85" i="44"/>
  <c r="Y85" i="44" s="1"/>
  <c r="Z85" i="44" s="1"/>
  <c r="AC85" i="44" s="1"/>
  <c r="V83" i="44"/>
  <c r="Y83" i="44" s="1"/>
  <c r="Z83" i="44" s="1"/>
  <c r="AC83" i="44" s="1"/>
  <c r="X51" i="44"/>
  <c r="X46" i="44"/>
  <c r="V59" i="44"/>
  <c r="Y59" i="44" s="1"/>
  <c r="Z59" i="44" s="1"/>
  <c r="AC59" i="44" s="1"/>
  <c r="V82" i="44"/>
  <c r="Y82" i="44" s="1"/>
  <c r="Z82" i="44" s="1"/>
  <c r="AC82" i="44" s="1"/>
  <c r="H16" i="44"/>
  <c r="P16" i="44" s="1"/>
  <c r="F16" i="44"/>
  <c r="N16" i="44" s="1"/>
  <c r="U16" i="44" s="1"/>
  <c r="X16" i="44" s="1"/>
  <c r="I16" i="44"/>
  <c r="Q16" i="44" s="1"/>
  <c r="I26" i="44"/>
  <c r="Q26" i="44" s="1"/>
  <c r="F26" i="44"/>
  <c r="N26" i="44" s="1"/>
  <c r="U26" i="44" s="1"/>
  <c r="X26" i="44" s="1"/>
  <c r="H26" i="44"/>
  <c r="P26" i="44" s="1"/>
  <c r="F19" i="44"/>
  <c r="N19" i="44" s="1"/>
  <c r="U19" i="44" s="1"/>
  <c r="X19" i="44" s="1"/>
  <c r="H19" i="44"/>
  <c r="P19" i="44" s="1"/>
  <c r="I19" i="44"/>
  <c r="Q19" i="44" s="1"/>
  <c r="F64" i="44"/>
  <c r="N64" i="44" s="1"/>
  <c r="U64" i="44" s="1"/>
  <c r="X64" i="44" s="1"/>
  <c r="H64" i="44"/>
  <c r="P64" i="44" s="1"/>
  <c r="I64" i="44"/>
  <c r="Q64" i="44" s="1"/>
  <c r="V55" i="44"/>
  <c r="Y55" i="44" s="1"/>
  <c r="Z55" i="44" s="1"/>
  <c r="AC55" i="44" s="1"/>
  <c r="I29" i="44"/>
  <c r="Q29" i="44" s="1"/>
  <c r="F29" i="44"/>
  <c r="N29" i="44" s="1"/>
  <c r="H29" i="44"/>
  <c r="P29" i="44" s="1"/>
  <c r="I72" i="44"/>
  <c r="Q72" i="44" s="1"/>
  <c r="F72" i="44"/>
  <c r="N72" i="44" s="1"/>
  <c r="U72" i="44" s="1"/>
  <c r="X72" i="44" s="1"/>
  <c r="H72" i="44"/>
  <c r="P72" i="44" s="1"/>
  <c r="I25" i="44"/>
  <c r="Q25" i="44" s="1"/>
  <c r="F25" i="44"/>
  <c r="N25" i="44" s="1"/>
  <c r="U25" i="44" s="1"/>
  <c r="X25" i="44" s="1"/>
  <c r="H25" i="44"/>
  <c r="P25" i="44" s="1"/>
  <c r="V49" i="44"/>
  <c r="Y49" i="44" s="1"/>
  <c r="Z49" i="44" s="1"/>
  <c r="AC49" i="44" s="1"/>
  <c r="H63" i="44"/>
  <c r="P63" i="44" s="1"/>
  <c r="I63" i="44"/>
  <c r="Q63" i="44" s="1"/>
  <c r="F63" i="44"/>
  <c r="N63" i="44" s="1"/>
  <c r="U63" i="44" s="1"/>
  <c r="X63" i="44" s="1"/>
  <c r="I71" i="44"/>
  <c r="Q71" i="44" s="1"/>
  <c r="F71" i="44"/>
  <c r="N71" i="44" s="1"/>
  <c r="U71" i="44" s="1"/>
  <c r="X71" i="44" s="1"/>
  <c r="H71" i="44"/>
  <c r="P71" i="44" s="1"/>
  <c r="I38" i="44"/>
  <c r="Q38" i="44" s="1"/>
  <c r="F38" i="44"/>
  <c r="N38" i="44" s="1"/>
  <c r="U38" i="44" s="1"/>
  <c r="X38" i="44" s="1"/>
  <c r="H38" i="44"/>
  <c r="P38" i="44" s="1"/>
  <c r="V51" i="44"/>
  <c r="Y51" i="44" s="1"/>
  <c r="T106" i="44"/>
  <c r="T101" i="44"/>
  <c r="I81" i="44"/>
  <c r="Q81" i="44" s="1"/>
  <c r="H81" i="44"/>
  <c r="P81" i="44" s="1"/>
  <c r="F81" i="44"/>
  <c r="N81" i="44" s="1"/>
  <c r="U81" i="44" s="1"/>
  <c r="X81" i="44" s="1"/>
  <c r="I76" i="44"/>
  <c r="Q76" i="44" s="1"/>
  <c r="F76" i="44"/>
  <c r="N76" i="44" s="1"/>
  <c r="U76" i="44" s="1"/>
  <c r="X76" i="44" s="1"/>
  <c r="H76" i="44"/>
  <c r="P76" i="44" s="1"/>
  <c r="I91" i="44"/>
  <c r="Q91" i="44" s="1"/>
  <c r="F91" i="44"/>
  <c r="N91" i="44" s="1"/>
  <c r="U91" i="44" s="1"/>
  <c r="X91" i="44" s="1"/>
  <c r="H91" i="44"/>
  <c r="P91" i="44" s="1"/>
  <c r="I12" i="44"/>
  <c r="Q12" i="44" s="1"/>
  <c r="F12" i="44"/>
  <c r="N12" i="44" s="1"/>
  <c r="U12" i="44" s="1"/>
  <c r="X12" i="44" s="1"/>
  <c r="H12" i="44"/>
  <c r="P12" i="44" s="1"/>
  <c r="V61" i="44"/>
  <c r="Y61" i="44" s="1"/>
  <c r="Z61" i="44" s="1"/>
  <c r="AC61" i="44" s="1"/>
  <c r="I80" i="44"/>
  <c r="Q80" i="44" s="1"/>
  <c r="F80" i="44"/>
  <c r="N80" i="44" s="1"/>
  <c r="U80" i="44" s="1"/>
  <c r="X80" i="44" s="1"/>
  <c r="H80" i="44"/>
  <c r="P80" i="44" s="1"/>
  <c r="I87" i="44"/>
  <c r="Q87" i="44" s="1"/>
  <c r="F87" i="44"/>
  <c r="N87" i="44" s="1"/>
  <c r="U87" i="44" s="1"/>
  <c r="X87" i="44" s="1"/>
  <c r="H87" i="44"/>
  <c r="P87" i="44" s="1"/>
  <c r="H36" i="44"/>
  <c r="P36" i="44" s="1"/>
  <c r="I36" i="44"/>
  <c r="Q36" i="44" s="1"/>
  <c r="F36" i="44"/>
  <c r="N36" i="44" s="1"/>
  <c r="U36" i="44" s="1"/>
  <c r="X36" i="44" s="1"/>
  <c r="I41" i="44"/>
  <c r="Q41" i="44" s="1"/>
  <c r="F41" i="44"/>
  <c r="N41" i="44" s="1"/>
  <c r="U41" i="44" s="1"/>
  <c r="X41" i="44" s="1"/>
  <c r="H41" i="44"/>
  <c r="P41" i="44" s="1"/>
  <c r="I17" i="44"/>
  <c r="Q17" i="44" s="1"/>
  <c r="F17" i="44"/>
  <c r="N17" i="44" s="1"/>
  <c r="U17" i="44" s="1"/>
  <c r="X17" i="44" s="1"/>
  <c r="H17" i="44"/>
  <c r="P17" i="44" s="1"/>
  <c r="I79" i="44"/>
  <c r="Q79" i="44" s="1"/>
  <c r="F79" i="44"/>
  <c r="N79" i="44" s="1"/>
  <c r="U79" i="44" s="1"/>
  <c r="X79" i="44" s="1"/>
  <c r="H79" i="44"/>
  <c r="P79" i="44" s="1"/>
  <c r="V54" i="44"/>
  <c r="Y54" i="44" s="1"/>
  <c r="Z54" i="44" s="1"/>
  <c r="AC54" i="44" s="1"/>
  <c r="I31" i="44"/>
  <c r="Q31" i="44" s="1"/>
  <c r="F31" i="44"/>
  <c r="N31" i="44" s="1"/>
  <c r="H31" i="44"/>
  <c r="P31" i="44" s="1"/>
  <c r="H67" i="44"/>
  <c r="P67" i="44" s="1"/>
  <c r="I67" i="44"/>
  <c r="Q67" i="44" s="1"/>
  <c r="F67" i="44"/>
  <c r="N67" i="44" s="1"/>
  <c r="U67" i="44" s="1"/>
  <c r="X67" i="44" s="1"/>
  <c r="H28" i="44"/>
  <c r="P28" i="44" s="1"/>
  <c r="F28" i="44"/>
  <c r="N28" i="44" s="1"/>
  <c r="I28" i="44"/>
  <c r="Q28" i="44" s="1"/>
  <c r="I18" i="44"/>
  <c r="Q18" i="44" s="1"/>
  <c r="F18" i="44"/>
  <c r="N18" i="44" s="1"/>
  <c r="U18" i="44" s="1"/>
  <c r="X18" i="44" s="1"/>
  <c r="H18" i="44"/>
  <c r="P18" i="44" s="1"/>
  <c r="I70" i="44"/>
  <c r="Q70" i="44" s="1"/>
  <c r="F70" i="44"/>
  <c r="N70" i="44" s="1"/>
  <c r="U70" i="44" s="1"/>
  <c r="X70" i="44" s="1"/>
  <c r="H70" i="44"/>
  <c r="P70" i="44" s="1"/>
  <c r="F32" i="44"/>
  <c r="N32" i="44" s="1"/>
  <c r="U32" i="44" s="1"/>
  <c r="X32" i="44" s="1"/>
  <c r="I32" i="44"/>
  <c r="Q32" i="44" s="1"/>
  <c r="H32" i="44"/>
  <c r="P32" i="44" s="1"/>
  <c r="I24" i="44"/>
  <c r="Q24" i="44" s="1"/>
  <c r="F24" i="44"/>
  <c r="N24" i="44" s="1"/>
  <c r="U24" i="44" s="1"/>
  <c r="X24" i="44" s="1"/>
  <c r="H24" i="44"/>
  <c r="P24" i="44" s="1"/>
  <c r="I39" i="44"/>
  <c r="Q39" i="44" s="1"/>
  <c r="F39" i="44"/>
  <c r="N39" i="44" s="1"/>
  <c r="U39" i="44" s="1"/>
  <c r="X39" i="44" s="1"/>
  <c r="H39" i="44"/>
  <c r="P39" i="44" s="1"/>
  <c r="V52" i="44"/>
  <c r="Y52" i="44" s="1"/>
  <c r="V56" i="44"/>
  <c r="Y56" i="44" s="1"/>
  <c r="F20" i="44"/>
  <c r="N20" i="44" s="1"/>
  <c r="U20" i="44" s="1"/>
  <c r="X20" i="44" s="1"/>
  <c r="H20" i="44"/>
  <c r="P20" i="44" s="1"/>
  <c r="I20" i="44"/>
  <c r="Q20" i="44" s="1"/>
  <c r="F15" i="44"/>
  <c r="N15" i="44" s="1"/>
  <c r="U15" i="44" s="1"/>
  <c r="X15" i="44" s="1"/>
  <c r="H15" i="44"/>
  <c r="P15" i="44" s="1"/>
  <c r="I15" i="44"/>
  <c r="Q15" i="44" s="1"/>
  <c r="I14" i="44"/>
  <c r="Q14" i="44" s="1"/>
  <c r="F14" i="44"/>
  <c r="N14" i="44" s="1"/>
  <c r="U14" i="44" s="1"/>
  <c r="X14" i="44" s="1"/>
  <c r="H14" i="44"/>
  <c r="P14" i="44" s="1"/>
  <c r="V58" i="44"/>
  <c r="Y58" i="44" s="1"/>
  <c r="Z58" i="44" s="1"/>
  <c r="AC58" i="44" s="1"/>
  <c r="I30" i="44"/>
  <c r="Q30" i="44" s="1"/>
  <c r="Q95" i="44" s="1"/>
  <c r="F30" i="44"/>
  <c r="N30" i="44" s="1"/>
  <c r="H30" i="44"/>
  <c r="P30" i="44" s="1"/>
  <c r="I77" i="44"/>
  <c r="Q77" i="44" s="1"/>
  <c r="F77" i="44"/>
  <c r="N77" i="44" s="1"/>
  <c r="U77" i="44" s="1"/>
  <c r="X77" i="44" s="1"/>
  <c r="H77" i="44"/>
  <c r="P77" i="44" s="1"/>
  <c r="F65" i="44"/>
  <c r="N65" i="44" s="1"/>
  <c r="U65" i="44" s="1"/>
  <c r="X65" i="44" s="1"/>
  <c r="H65" i="44"/>
  <c r="P65" i="44" s="1"/>
  <c r="I65" i="44"/>
  <c r="Q65" i="44" s="1"/>
  <c r="I68" i="44"/>
  <c r="Q68" i="44" s="1"/>
  <c r="F68" i="44"/>
  <c r="N68" i="44" s="1"/>
  <c r="U68" i="44" s="1"/>
  <c r="X68" i="44" s="1"/>
  <c r="H68" i="44"/>
  <c r="P68" i="44" s="1"/>
  <c r="F27" i="44"/>
  <c r="N27" i="44" s="1"/>
  <c r="H27" i="44"/>
  <c r="P27" i="44" s="1"/>
  <c r="I27" i="44"/>
  <c r="Q27" i="44" s="1"/>
  <c r="F21" i="44"/>
  <c r="N21" i="44" s="1"/>
  <c r="U21" i="44" s="1"/>
  <c r="X21" i="44" s="1"/>
  <c r="H21" i="44"/>
  <c r="P21" i="44" s="1"/>
  <c r="I21" i="44"/>
  <c r="Q21" i="44" s="1"/>
  <c r="V47" i="44"/>
  <c r="Y47" i="44" s="1"/>
  <c r="Z47" i="44" s="1"/>
  <c r="V44" i="44"/>
  <c r="Y44" i="44" s="1"/>
  <c r="Z44" i="44" s="1"/>
  <c r="AC44" i="44" s="1"/>
  <c r="V45" i="44"/>
  <c r="Y45" i="44" s="1"/>
  <c r="I75" i="44"/>
  <c r="Q75" i="44" s="1"/>
  <c r="F75" i="44"/>
  <c r="N75" i="44" s="1"/>
  <c r="U75" i="44" s="1"/>
  <c r="X75" i="44" s="1"/>
  <c r="H75" i="44"/>
  <c r="P75" i="44" s="1"/>
  <c r="I62" i="44"/>
  <c r="Q62" i="44" s="1"/>
  <c r="H62" i="44"/>
  <c r="P62" i="44" s="1"/>
  <c r="F62" i="44"/>
  <c r="N62" i="44" s="1"/>
  <c r="U62" i="44" s="1"/>
  <c r="X62" i="44" s="1"/>
  <c r="I88" i="44"/>
  <c r="Q88" i="44" s="1"/>
  <c r="F88" i="44"/>
  <c r="N88" i="44" s="1"/>
  <c r="U88" i="44" s="1"/>
  <c r="X88" i="44" s="1"/>
  <c r="H88" i="44"/>
  <c r="P88" i="44" s="1"/>
  <c r="I22" i="44"/>
  <c r="Q22" i="44" s="1"/>
  <c r="H22" i="44"/>
  <c r="P22" i="44" s="1"/>
  <c r="F22" i="44"/>
  <c r="N22" i="44" s="1"/>
  <c r="U22" i="44" s="1"/>
  <c r="X22" i="44" s="1"/>
  <c r="V53" i="44"/>
  <c r="Y53" i="44" s="1"/>
  <c r="Z53" i="44" s="1"/>
  <c r="AC53" i="44" s="1"/>
  <c r="V86" i="44"/>
  <c r="Y86" i="44" s="1"/>
  <c r="Z86" i="44" s="1"/>
  <c r="AC86" i="44" s="1"/>
  <c r="V60" i="44"/>
  <c r="Y60" i="44" s="1"/>
  <c r="Z60" i="44" s="1"/>
  <c r="AC60" i="44" s="1"/>
  <c r="V57" i="44"/>
  <c r="Y57" i="44" s="1"/>
  <c r="Z57" i="44" s="1"/>
  <c r="I78" i="44"/>
  <c r="Q78" i="44" s="1"/>
  <c r="F78" i="44"/>
  <c r="N78" i="44" s="1"/>
  <c r="U78" i="44" s="1"/>
  <c r="X78" i="44" s="1"/>
  <c r="H78" i="44"/>
  <c r="P78" i="44" s="1"/>
  <c r="F34" i="44"/>
  <c r="N34" i="44" s="1"/>
  <c r="U34" i="44" s="1"/>
  <c r="X34" i="44" s="1"/>
  <c r="H34" i="44"/>
  <c r="P34" i="44" s="1"/>
  <c r="I34" i="44"/>
  <c r="Q34" i="44" s="1"/>
  <c r="I69" i="44"/>
  <c r="Q69" i="44" s="1"/>
  <c r="F69" i="44"/>
  <c r="N69" i="44" s="1"/>
  <c r="U69" i="44" s="1"/>
  <c r="X69" i="44" s="1"/>
  <c r="H69" i="44"/>
  <c r="P69" i="44" s="1"/>
  <c r="I13" i="44"/>
  <c r="Q13" i="44" s="1"/>
  <c r="F13" i="44"/>
  <c r="N13" i="44" s="1"/>
  <c r="U13" i="44" s="1"/>
  <c r="X13" i="44" s="1"/>
  <c r="H13" i="44"/>
  <c r="P13" i="44" s="1"/>
  <c r="V43" i="44"/>
  <c r="Y43" i="44" s="1"/>
  <c r="Z43" i="44" s="1"/>
  <c r="Z52" i="44"/>
  <c r="I74" i="44"/>
  <c r="Q74" i="44" s="1"/>
  <c r="F74" i="44"/>
  <c r="N74" i="44" s="1"/>
  <c r="U74" i="44" s="1"/>
  <c r="X74" i="44" s="1"/>
  <c r="H74" i="44"/>
  <c r="P74" i="44" s="1"/>
  <c r="I89" i="44"/>
  <c r="Q89" i="44" s="1"/>
  <c r="H89" i="44"/>
  <c r="P89" i="44" s="1"/>
  <c r="F89" i="44"/>
  <c r="N89" i="44" s="1"/>
  <c r="U89" i="44" s="1"/>
  <c r="X89" i="44" s="1"/>
  <c r="H35" i="44"/>
  <c r="P35" i="44" s="1"/>
  <c r="I35" i="44"/>
  <c r="Q35" i="44" s="1"/>
  <c r="F35" i="44"/>
  <c r="N35" i="44" s="1"/>
  <c r="U35" i="44" s="1"/>
  <c r="X35" i="44" s="1"/>
  <c r="H23" i="44"/>
  <c r="P23" i="44" s="1"/>
  <c r="I23" i="44"/>
  <c r="Q23" i="44" s="1"/>
  <c r="F23" i="44"/>
  <c r="N23" i="44" s="1"/>
  <c r="U23" i="44" s="1"/>
  <c r="X23" i="44" s="1"/>
  <c r="F33" i="44"/>
  <c r="N33" i="44" s="1"/>
  <c r="U33" i="44" s="1"/>
  <c r="X33" i="44" s="1"/>
  <c r="I33" i="44"/>
  <c r="Q33" i="44" s="1"/>
  <c r="H33" i="44"/>
  <c r="P33" i="44" s="1"/>
  <c r="I40" i="44"/>
  <c r="Q40" i="44" s="1"/>
  <c r="H40" i="44"/>
  <c r="P40" i="44" s="1"/>
  <c r="F40" i="44"/>
  <c r="N40" i="44" s="1"/>
  <c r="U40" i="44" s="1"/>
  <c r="X40" i="44" s="1"/>
  <c r="V48" i="44"/>
  <c r="Y48" i="44" s="1"/>
  <c r="Z48" i="44" s="1"/>
  <c r="AC48" i="44" s="1"/>
  <c r="T105" i="44"/>
  <c r="T100" i="44"/>
  <c r="V84" i="44"/>
  <c r="Y84" i="44" s="1"/>
  <c r="Z84" i="44" s="1"/>
  <c r="AC84" i="44" s="1"/>
  <c r="X50" i="44"/>
  <c r="I73" i="44"/>
  <c r="Q73" i="44" s="1"/>
  <c r="F73" i="44"/>
  <c r="N73" i="44" s="1"/>
  <c r="U73" i="44" s="1"/>
  <c r="X73" i="44" s="1"/>
  <c r="H73" i="44"/>
  <c r="P73" i="44" s="1"/>
  <c r="H66" i="44"/>
  <c r="P66" i="44" s="1"/>
  <c r="I66" i="44"/>
  <c r="Q66" i="44" s="1"/>
  <c r="F66" i="44"/>
  <c r="N66" i="44" s="1"/>
  <c r="U66" i="44" s="1"/>
  <c r="X66" i="44" s="1"/>
  <c r="I90" i="44"/>
  <c r="Q90" i="44" s="1"/>
  <c r="F90" i="44"/>
  <c r="N90" i="44" s="1"/>
  <c r="U90" i="44" s="1"/>
  <c r="X90" i="44" s="1"/>
  <c r="H90" i="44"/>
  <c r="P90" i="44" s="1"/>
  <c r="I37" i="44"/>
  <c r="Q37" i="44" s="1"/>
  <c r="F37" i="44"/>
  <c r="N37" i="44" s="1"/>
  <c r="U37" i="44" s="1"/>
  <c r="X37" i="44" s="1"/>
  <c r="H37" i="44"/>
  <c r="P37" i="44" s="1"/>
  <c r="Z46" i="44" l="1"/>
  <c r="AC46" i="44" s="1"/>
  <c r="Z50" i="44"/>
  <c r="AC50" i="44" s="1"/>
  <c r="Z45" i="44"/>
  <c r="AC45" i="44" s="1"/>
  <c r="Z51" i="44"/>
  <c r="AC51" i="44" s="1"/>
  <c r="Z56" i="44"/>
  <c r="AC56" i="44" s="1"/>
  <c r="V64" i="44"/>
  <c r="Y64" i="44" s="1"/>
  <c r="Z64" i="44" s="1"/>
  <c r="AC64" i="44" s="1"/>
  <c r="V79" i="44"/>
  <c r="Y79" i="44" s="1"/>
  <c r="Z79" i="44" s="1"/>
  <c r="AC79" i="44" s="1"/>
  <c r="V17" i="44"/>
  <c r="Y17" i="44" s="1"/>
  <c r="Z17" i="44" s="1"/>
  <c r="AC17" i="44" s="1"/>
  <c r="V41" i="44"/>
  <c r="Y41" i="44" s="1"/>
  <c r="Z41" i="44" s="1"/>
  <c r="AC41" i="44" s="1"/>
  <c r="V91" i="44"/>
  <c r="Y91" i="44" s="1"/>
  <c r="Z91" i="44" s="1"/>
  <c r="AC91" i="44" s="1"/>
  <c r="V63" i="44"/>
  <c r="Y63" i="44" s="1"/>
  <c r="Z63" i="44" s="1"/>
  <c r="AC63" i="44" s="1"/>
  <c r="V71" i="44"/>
  <c r="Y71" i="44" s="1"/>
  <c r="Z71" i="44" s="1"/>
  <c r="AC71" i="44" s="1"/>
  <c r="V25" i="44"/>
  <c r="Y25" i="44" s="1"/>
  <c r="V72" i="44"/>
  <c r="Y72" i="44" s="1"/>
  <c r="Z72" i="44" s="1"/>
  <c r="AC72" i="44" s="1"/>
  <c r="Q96" i="44"/>
  <c r="V13" i="44"/>
  <c r="Y13" i="44" s="1"/>
  <c r="Z13" i="44" s="1"/>
  <c r="AC13" i="44" s="1"/>
  <c r="V88" i="44"/>
  <c r="Y88" i="44" s="1"/>
  <c r="Z88" i="44" s="1"/>
  <c r="AC88" i="44" s="1"/>
  <c r="V62" i="44"/>
  <c r="Y62" i="44" s="1"/>
  <c r="Z62" i="44" s="1"/>
  <c r="AC62" i="44" s="1"/>
  <c r="V14" i="44"/>
  <c r="Y14" i="44" s="1"/>
  <c r="Z14" i="44" s="1"/>
  <c r="AC14" i="44" s="1"/>
  <c r="V70" i="44"/>
  <c r="Y70" i="44" s="1"/>
  <c r="Z70" i="44" s="1"/>
  <c r="AC70" i="44" s="1"/>
  <c r="V23" i="44"/>
  <c r="Y23" i="44" s="1"/>
  <c r="Z23" i="44" s="1"/>
  <c r="AC23" i="44" s="1"/>
  <c r="V34" i="44"/>
  <c r="Y34" i="44" s="1"/>
  <c r="Z34" i="44" s="1"/>
  <c r="AC34" i="44" s="1"/>
  <c r="Q92" i="44"/>
  <c r="V15" i="44"/>
  <c r="Y15" i="44" s="1"/>
  <c r="Z15" i="44" s="1"/>
  <c r="AC15" i="44" s="1"/>
  <c r="V67" i="44"/>
  <c r="Y67" i="44" s="1"/>
  <c r="Z67" i="44" s="1"/>
  <c r="AC67" i="44" s="1"/>
  <c r="V36" i="44"/>
  <c r="Y36" i="44" s="1"/>
  <c r="Z36" i="44" s="1"/>
  <c r="AC36" i="44" s="1"/>
  <c r="V77" i="44"/>
  <c r="Y77" i="44" s="1"/>
  <c r="Z77" i="44" s="1"/>
  <c r="AC77" i="44" s="1"/>
  <c r="V38" i="44"/>
  <c r="Y38" i="44" s="1"/>
  <c r="Z38" i="44" s="1"/>
  <c r="AC38" i="44" s="1"/>
  <c r="V16" i="44"/>
  <c r="Y16" i="44" s="1"/>
  <c r="Z16" i="44" s="1"/>
  <c r="AC16" i="44" s="1"/>
  <c r="V90" i="44"/>
  <c r="Y90" i="44" s="1"/>
  <c r="Z90" i="44" s="1"/>
  <c r="AC90" i="44" s="1"/>
  <c r="V37" i="44"/>
  <c r="Y37" i="44" s="1"/>
  <c r="Z37" i="44" s="1"/>
  <c r="V22" i="44"/>
  <c r="Y22" i="44" s="1"/>
  <c r="Z22" i="44" s="1"/>
  <c r="V21" i="44"/>
  <c r="Y21" i="44" s="1"/>
  <c r="Z21" i="44" s="1"/>
  <c r="AC21" i="44" s="1"/>
  <c r="Q93" i="44"/>
  <c r="V76" i="44"/>
  <c r="Y76" i="44" s="1"/>
  <c r="Z76" i="44" s="1"/>
  <c r="AC76" i="44" s="1"/>
  <c r="V81" i="44"/>
  <c r="Y81" i="44" s="1"/>
  <c r="Z81" i="44" s="1"/>
  <c r="AC81" i="44" s="1"/>
  <c r="AC43" i="44"/>
  <c r="AI15" i="44"/>
  <c r="AJ15" i="44" s="1"/>
  <c r="H8" i="36"/>
  <c r="V73" i="44"/>
  <c r="Y73" i="44" s="1"/>
  <c r="Z73" i="44" s="1"/>
  <c r="AC73" i="44" s="1"/>
  <c r="AC52" i="44"/>
  <c r="H9" i="36"/>
  <c r="V33" i="44"/>
  <c r="Y33" i="44" s="1"/>
  <c r="Z33" i="44" s="1"/>
  <c r="AC33" i="44" s="1"/>
  <c r="V35" i="44"/>
  <c r="Y35" i="44" s="1"/>
  <c r="Z35" i="44" s="1"/>
  <c r="AC35" i="44" s="1"/>
  <c r="V74" i="44"/>
  <c r="Y74" i="44" s="1"/>
  <c r="Z74" i="44" s="1"/>
  <c r="AC74" i="44" s="1"/>
  <c r="V69" i="44"/>
  <c r="Y69" i="44" s="1"/>
  <c r="Z69" i="44" s="1"/>
  <c r="AC69" i="44" s="1"/>
  <c r="V68" i="44"/>
  <c r="Y68" i="44" s="1"/>
  <c r="Z68" i="44" s="1"/>
  <c r="AC68" i="44" s="1"/>
  <c r="V65" i="44"/>
  <c r="Y65" i="44" s="1"/>
  <c r="Z65" i="44" s="1"/>
  <c r="AC65" i="44" s="1"/>
  <c r="V20" i="44"/>
  <c r="Y20" i="44" s="1"/>
  <c r="Z20" i="44" s="1"/>
  <c r="AC20" i="44" s="1"/>
  <c r="V39" i="44"/>
  <c r="Y39" i="44" s="1"/>
  <c r="Z39" i="44" s="1"/>
  <c r="AC39" i="44" s="1"/>
  <c r="V18" i="44"/>
  <c r="Y18" i="44" s="1"/>
  <c r="Z18" i="44" s="1"/>
  <c r="AC18" i="44" s="1"/>
  <c r="N93" i="44"/>
  <c r="U93" i="44" s="1"/>
  <c r="U28" i="44"/>
  <c r="X28" i="44" s="1"/>
  <c r="U31" i="44"/>
  <c r="X31" i="44" s="1"/>
  <c r="N96" i="44"/>
  <c r="U96" i="44" s="1"/>
  <c r="V87" i="44"/>
  <c r="Y87" i="44" s="1"/>
  <c r="Z87" i="44" s="1"/>
  <c r="Q94" i="44"/>
  <c r="V19" i="44"/>
  <c r="Y19" i="44" s="1"/>
  <c r="Z19" i="44" s="1"/>
  <c r="AC19" i="44" s="1"/>
  <c r="H7" i="36"/>
  <c r="AI16" i="44"/>
  <c r="AJ16" i="44" s="1"/>
  <c r="AC47" i="44"/>
  <c r="V30" i="44"/>
  <c r="Y30" i="44" s="1"/>
  <c r="P95" i="44"/>
  <c r="V95" i="44" s="1"/>
  <c r="V28" i="44"/>
  <c r="Y28" i="44" s="1"/>
  <c r="P93" i="44"/>
  <c r="V26" i="44"/>
  <c r="Y26" i="44" s="1"/>
  <c r="Z26" i="44" s="1"/>
  <c r="AC26" i="44" s="1"/>
  <c r="H5" i="36"/>
  <c r="V66" i="44"/>
  <c r="Y66" i="44" s="1"/>
  <c r="Z66" i="44" s="1"/>
  <c r="AC66" i="44" s="1"/>
  <c r="V40" i="44"/>
  <c r="Y40" i="44" s="1"/>
  <c r="Z40" i="44" s="1"/>
  <c r="AC40" i="44" s="1"/>
  <c r="V89" i="44"/>
  <c r="Y89" i="44" s="1"/>
  <c r="Z89" i="44" s="1"/>
  <c r="AC89" i="44" s="1"/>
  <c r="AC57" i="44"/>
  <c r="AI18" i="44"/>
  <c r="AJ18" i="44" s="1"/>
  <c r="P92" i="44"/>
  <c r="V27" i="44"/>
  <c r="Y27" i="44" s="1"/>
  <c r="U30" i="44"/>
  <c r="X30" i="44" s="1"/>
  <c r="N95" i="44"/>
  <c r="U95" i="44" s="1"/>
  <c r="V32" i="44"/>
  <c r="Y32" i="44" s="1"/>
  <c r="Z32" i="44" s="1"/>
  <c r="AI22" i="44"/>
  <c r="AJ22" i="44" s="1"/>
  <c r="Z25" i="44"/>
  <c r="AC25" i="44" s="1"/>
  <c r="P94" i="44"/>
  <c r="V29" i="44"/>
  <c r="Y29" i="44" s="1"/>
  <c r="H6" i="36"/>
  <c r="V78" i="44"/>
  <c r="Y78" i="44" s="1"/>
  <c r="Z78" i="44" s="1"/>
  <c r="AC78" i="44" s="1"/>
  <c r="V75" i="44"/>
  <c r="Y75" i="44" s="1"/>
  <c r="Z75" i="44" s="1"/>
  <c r="AC75" i="44" s="1"/>
  <c r="U27" i="44"/>
  <c r="X27" i="44" s="1"/>
  <c r="N92" i="44"/>
  <c r="U92" i="44" s="1"/>
  <c r="V24" i="44"/>
  <c r="Y24" i="44" s="1"/>
  <c r="Z24" i="44" s="1"/>
  <c r="AC24" i="44" s="1"/>
  <c r="P96" i="44"/>
  <c r="V31" i="44"/>
  <c r="Y31" i="44" s="1"/>
  <c r="V80" i="44"/>
  <c r="Y80" i="44" s="1"/>
  <c r="Z80" i="44" s="1"/>
  <c r="V12" i="44"/>
  <c r="Y12" i="44" s="1"/>
  <c r="Z12" i="44" s="1"/>
  <c r="U29" i="44"/>
  <c r="X29" i="44" s="1"/>
  <c r="N94" i="44"/>
  <c r="U94" i="44" s="1"/>
  <c r="V96" i="44" l="1"/>
  <c r="V93" i="44"/>
  <c r="V103" i="44" s="1"/>
  <c r="Y103" i="44" s="1"/>
  <c r="AI17" i="44"/>
  <c r="AJ17" i="44" s="1"/>
  <c r="V94" i="44"/>
  <c r="V104" i="44" s="1"/>
  <c r="Y104" i="44" s="1"/>
  <c r="Z30" i="44"/>
  <c r="AC30" i="44" s="1"/>
  <c r="Z29" i="44"/>
  <c r="AC29" i="44" s="1"/>
  <c r="Z27" i="44"/>
  <c r="AC27" i="44" s="1"/>
  <c r="AI10" i="44"/>
  <c r="AJ10" i="44" s="1"/>
  <c r="V92" i="44"/>
  <c r="V97" i="44" s="1"/>
  <c r="AI20" i="44"/>
  <c r="AJ20" i="44" s="1"/>
  <c r="AC80" i="44"/>
  <c r="AI21" i="44"/>
  <c r="AJ21" i="44" s="1"/>
  <c r="AC32" i="44"/>
  <c r="AI13" i="44"/>
  <c r="AJ13" i="44" s="1"/>
  <c r="U104" i="44"/>
  <c r="X104" i="44" s="1"/>
  <c r="U99" i="44"/>
  <c r="X99" i="44" s="1"/>
  <c r="X94" i="44"/>
  <c r="AI19" i="44"/>
  <c r="AJ19" i="44" s="1"/>
  <c r="AC87" i="44"/>
  <c r="AI23" i="44"/>
  <c r="AJ23" i="44" s="1"/>
  <c r="AC12" i="44"/>
  <c r="AI9" i="44"/>
  <c r="AJ9" i="44" s="1"/>
  <c r="V106" i="44"/>
  <c r="Y106" i="44" s="1"/>
  <c r="V101" i="44"/>
  <c r="Y101" i="44" s="1"/>
  <c r="Y96" i="44"/>
  <c r="U97" i="44"/>
  <c r="U102" i="44"/>
  <c r="X102" i="44" s="1"/>
  <c r="X92" i="44"/>
  <c r="I8" i="44"/>
  <c r="Q8" i="44" s="1"/>
  <c r="F8" i="44"/>
  <c r="N8" i="44" s="1"/>
  <c r="U8" i="44" s="1"/>
  <c r="X8" i="44" s="1"/>
  <c r="H8" i="44"/>
  <c r="P8" i="44" s="1"/>
  <c r="U106" i="44"/>
  <c r="X106" i="44" s="1"/>
  <c r="U101" i="44"/>
  <c r="X101" i="44" s="1"/>
  <c r="X96" i="44"/>
  <c r="F11" i="44"/>
  <c r="N11" i="44" s="1"/>
  <c r="U11" i="44" s="1"/>
  <c r="X11" i="44" s="1"/>
  <c r="H11" i="44"/>
  <c r="P11" i="44" s="1"/>
  <c r="I11" i="44"/>
  <c r="Q11" i="44" s="1"/>
  <c r="H10" i="44"/>
  <c r="P10" i="44" s="1"/>
  <c r="I10" i="44"/>
  <c r="Q10" i="44" s="1"/>
  <c r="F10" i="44"/>
  <c r="N10" i="44" s="1"/>
  <c r="U10" i="44" s="1"/>
  <c r="X10" i="44" s="1"/>
  <c r="AC37" i="44"/>
  <c r="AI14" i="44"/>
  <c r="AJ14" i="44" s="1"/>
  <c r="H7" i="44"/>
  <c r="P7" i="44" s="1"/>
  <c r="I7" i="44"/>
  <c r="Q7" i="44" s="1"/>
  <c r="F7" i="44"/>
  <c r="N7" i="44" s="1"/>
  <c r="U7" i="44" s="1"/>
  <c r="X7" i="44" s="1"/>
  <c r="Y93" i="44"/>
  <c r="V98" i="44"/>
  <c r="Y98" i="44" s="1"/>
  <c r="Z31" i="44"/>
  <c r="AC31" i="44" s="1"/>
  <c r="U105" i="44"/>
  <c r="X105" i="44" s="1"/>
  <c r="U100" i="44"/>
  <c r="X100" i="44" s="1"/>
  <c r="X95" i="44"/>
  <c r="AC22" i="44"/>
  <c r="AI11" i="44"/>
  <c r="AJ11" i="44" s="1"/>
  <c r="I9" i="44"/>
  <c r="Q9" i="44" s="1"/>
  <c r="F9" i="44"/>
  <c r="N9" i="44" s="1"/>
  <c r="U9" i="44" s="1"/>
  <c r="X9" i="44" s="1"/>
  <c r="H9" i="44"/>
  <c r="P9" i="44" s="1"/>
  <c r="Z28" i="44"/>
  <c r="AC28" i="44" s="1"/>
  <c r="Y95" i="44"/>
  <c r="V100" i="44"/>
  <c r="Y100" i="44" s="1"/>
  <c r="V105" i="44"/>
  <c r="Y105" i="44" s="1"/>
  <c r="U98" i="44"/>
  <c r="X98" i="44" s="1"/>
  <c r="U103" i="44"/>
  <c r="X103" i="44" s="1"/>
  <c r="X93" i="44"/>
  <c r="V99" i="44" l="1"/>
  <c r="Y99" i="44" s="1"/>
  <c r="Z99" i="44" s="1"/>
  <c r="AC99" i="44" s="1"/>
  <c r="Y94" i="44"/>
  <c r="Z94" i="44" s="1"/>
  <c r="AC94" i="44" s="1"/>
  <c r="V102" i="44"/>
  <c r="Y102" i="44" s="1"/>
  <c r="Y92" i="44"/>
  <c r="Z92" i="44" s="1"/>
  <c r="AC92" i="44" s="1"/>
  <c r="Z104" i="44"/>
  <c r="AC104" i="44" s="1"/>
  <c r="Z101" i="44"/>
  <c r="AC101" i="44" s="1"/>
  <c r="Z103" i="44"/>
  <c r="AC103" i="44" s="1"/>
  <c r="Z105" i="44"/>
  <c r="AC105" i="44" s="1"/>
  <c r="Z98" i="44"/>
  <c r="AC98" i="44" s="1"/>
  <c r="Z106" i="44"/>
  <c r="AC106" i="44" s="1"/>
  <c r="V7" i="44"/>
  <c r="Y7" i="44" s="1"/>
  <c r="Z7" i="44" s="1"/>
  <c r="AC7" i="44" s="1"/>
  <c r="V10" i="44"/>
  <c r="Y10" i="44" s="1"/>
  <c r="Z10" i="44" s="1"/>
  <c r="AC10" i="44" s="1"/>
  <c r="V9" i="44"/>
  <c r="Y9" i="44" s="1"/>
  <c r="Z9" i="44" s="1"/>
  <c r="AC9" i="44" s="1"/>
  <c r="V11" i="44"/>
  <c r="Y11" i="44" s="1"/>
  <c r="Z11" i="44" s="1"/>
  <c r="Z95" i="44"/>
  <c r="AC95" i="44" s="1"/>
  <c r="V8" i="44"/>
  <c r="Y8" i="44" s="1"/>
  <c r="Z8" i="44" s="1"/>
  <c r="AC8" i="44" s="1"/>
  <c r="Z102" i="44"/>
  <c r="Z93" i="44"/>
  <c r="AC93" i="44" s="1"/>
  <c r="Z100" i="44"/>
  <c r="AC100" i="44" s="1"/>
  <c r="Y97" i="44"/>
  <c r="Z96" i="44"/>
  <c r="AC96" i="44" s="1"/>
  <c r="X97" i="44"/>
  <c r="AC11" i="44" l="1"/>
  <c r="AI7" i="44"/>
  <c r="AJ7" i="44" s="1"/>
  <c r="AC102" i="44"/>
  <c r="AI8" i="44"/>
  <c r="AJ8" i="44" s="1"/>
  <c r="Z97" i="44"/>
  <c r="AC97" i="44" l="1"/>
  <c r="AI12" i="44"/>
  <c r="AJ12" i="44" s="1"/>
  <c r="AI24" i="44" l="1"/>
  <c r="AJ24" i="44" s="1"/>
  <c r="AJ27" i="44"/>
  <c r="L18" i="64" s="1"/>
  <c r="F17" i="64" s="1"/>
  <c r="AB7" i="44" s="1"/>
  <c r="AD7" i="44" s="1"/>
  <c r="K50" i="79" l="1"/>
  <c r="E50" i="79" s="1"/>
  <c r="AB83" i="44"/>
  <c r="AB73" i="44"/>
  <c r="AB20" i="44"/>
  <c r="AB49" i="44"/>
  <c r="K74" i="79"/>
  <c r="E74" i="79" s="1"/>
  <c r="AB30" i="44"/>
  <c r="AD30" i="44" s="1"/>
  <c r="K53" i="79"/>
  <c r="E53" i="79" s="1"/>
  <c r="K43" i="79"/>
  <c r="E43" i="79" s="1"/>
  <c r="AB104" i="44"/>
  <c r="AB60" i="44"/>
  <c r="AB51" i="44"/>
  <c r="K14" i="79"/>
  <c r="E14" i="79" s="1"/>
  <c r="K83" i="79"/>
  <c r="E83" i="79" s="1"/>
  <c r="K78" i="79"/>
  <c r="E78" i="79" s="1"/>
  <c r="AB52" i="44"/>
  <c r="K38" i="79"/>
  <c r="E38" i="79" s="1"/>
  <c r="AB54" i="44"/>
  <c r="AB82" i="44"/>
  <c r="AB77" i="44"/>
  <c r="AB78" i="44"/>
  <c r="K70" i="79"/>
  <c r="E70" i="79" s="1"/>
  <c r="K59" i="79"/>
  <c r="E59" i="79" s="1"/>
  <c r="AB102" i="44"/>
  <c r="AB95" i="44"/>
  <c r="K6" i="79"/>
  <c r="E6" i="79" s="1"/>
  <c r="AB32" i="44"/>
  <c r="K34" i="79"/>
  <c r="E34" i="79" s="1"/>
  <c r="K11" i="79"/>
  <c r="E11" i="79" s="1"/>
  <c r="K26" i="79"/>
  <c r="E26" i="79" s="1"/>
  <c r="K18" i="79"/>
  <c r="E18" i="79" s="1"/>
  <c r="K75" i="79"/>
  <c r="E75" i="79" s="1"/>
  <c r="K21" i="79"/>
  <c r="E21" i="79" s="1"/>
  <c r="AB42" i="44"/>
  <c r="K41" i="79"/>
  <c r="E41" i="79" s="1"/>
  <c r="AB79" i="44"/>
  <c r="K36" i="79"/>
  <c r="E36" i="79" s="1"/>
  <c r="AB91" i="44"/>
  <c r="K76" i="79"/>
  <c r="E76" i="79" s="1"/>
  <c r="K7" i="79"/>
  <c r="E7" i="79" s="1"/>
  <c r="AB80" i="44"/>
  <c r="AB45" i="44"/>
  <c r="K67" i="79"/>
  <c r="E67" i="79" s="1"/>
  <c r="K27" i="79"/>
  <c r="E27" i="79" s="1"/>
  <c r="AB14" i="44"/>
  <c r="AB94" i="44"/>
  <c r="K10" i="79"/>
  <c r="E10" i="79" s="1"/>
  <c r="AB38" i="44"/>
  <c r="AB17" i="44"/>
  <c r="K65" i="79"/>
  <c r="E65" i="79" s="1"/>
  <c r="K63" i="79"/>
  <c r="E63" i="79" s="1"/>
  <c r="K79" i="79"/>
  <c r="E79" i="79" s="1"/>
  <c r="AB57" i="44"/>
  <c r="AB101" i="44"/>
  <c r="AB43" i="44"/>
  <c r="K4" i="79"/>
  <c r="E4" i="79" s="1"/>
  <c r="AB23" i="44"/>
  <c r="AB68" i="44"/>
  <c r="AD68" i="44" s="1"/>
  <c r="AB11" i="44"/>
  <c r="AB13" i="44"/>
  <c r="K22" i="79"/>
  <c r="E22" i="79" s="1"/>
  <c r="K55" i="79"/>
  <c r="E55" i="79" s="1"/>
  <c r="K58" i="79"/>
  <c r="E58" i="79" s="1"/>
  <c r="AB21" i="44"/>
  <c r="K13" i="79"/>
  <c r="E13" i="79" s="1"/>
  <c r="K81" i="79"/>
  <c r="E81" i="79" s="1"/>
  <c r="AB106" i="44"/>
  <c r="K8" i="79"/>
  <c r="E8" i="79" s="1"/>
  <c r="AB41" i="44"/>
  <c r="AB88" i="44"/>
  <c r="AB53" i="44"/>
  <c r="AB10" i="44"/>
  <c r="AB61" i="44"/>
  <c r="AB36" i="44"/>
  <c r="AB16" i="44"/>
  <c r="AB86" i="44"/>
  <c r="K28" i="79"/>
  <c r="E28" i="79" s="1"/>
  <c r="K42" i="79"/>
  <c r="E42" i="79" s="1"/>
  <c r="AB90" i="44"/>
  <c r="AB103" i="44"/>
  <c r="K61" i="79"/>
  <c r="E61" i="79" s="1"/>
  <c r="AB31" i="44"/>
  <c r="AD31" i="44" s="1"/>
  <c r="K57" i="79"/>
  <c r="E57" i="79" s="1"/>
  <c r="K5" i="79"/>
  <c r="E5" i="79" s="1"/>
  <c r="AB72" i="44"/>
  <c r="K60" i="79"/>
  <c r="E60" i="79" s="1"/>
  <c r="AB97" i="44"/>
  <c r="K19" i="79"/>
  <c r="E19" i="79" s="1"/>
  <c r="AB48" i="44"/>
  <c r="K77" i="79"/>
  <c r="E77" i="79" s="1"/>
  <c r="K39" i="79"/>
  <c r="E39" i="79" s="1"/>
  <c r="AB84" i="44"/>
  <c r="K47" i="79"/>
  <c r="E47" i="79" s="1"/>
  <c r="K64" i="79"/>
  <c r="E64" i="79" s="1"/>
  <c r="AB39" i="44"/>
  <c r="AB44" i="44"/>
  <c r="AB89" i="44"/>
  <c r="AB47" i="44"/>
  <c r="AB70" i="44"/>
  <c r="AD70" i="44" s="1"/>
  <c r="K62" i="79"/>
  <c r="E62" i="79" s="1"/>
  <c r="K56" i="79"/>
  <c r="E56" i="79" s="1"/>
  <c r="K33" i="79"/>
  <c r="E33" i="79" s="1"/>
  <c r="K66" i="79"/>
  <c r="E66" i="79" s="1"/>
  <c r="K82" i="79"/>
  <c r="E82" i="79" s="1"/>
  <c r="K17" i="79"/>
  <c r="E17" i="79" s="1"/>
  <c r="AB93" i="44"/>
  <c r="K32" i="79"/>
  <c r="E32" i="79" s="1"/>
  <c r="K46" i="79"/>
  <c r="E46" i="79" s="1"/>
  <c r="AB81" i="44"/>
  <c r="K48" i="79"/>
  <c r="E48" i="79" s="1"/>
  <c r="K80" i="79"/>
  <c r="E80" i="79" s="1"/>
  <c r="AB100" i="44"/>
  <c r="K29" i="79"/>
  <c r="E29" i="79" s="1"/>
  <c r="AB34" i="44"/>
  <c r="AB12" i="44"/>
  <c r="K88" i="79"/>
  <c r="E88" i="79" s="1"/>
  <c r="AB35" i="44"/>
  <c r="AB24" i="44"/>
  <c r="K54" i="79"/>
  <c r="E54" i="79" s="1"/>
  <c r="K24" i="79"/>
  <c r="E24" i="79" s="1"/>
  <c r="AB8" i="44"/>
  <c r="K49" i="79"/>
  <c r="E49" i="79" s="1"/>
  <c r="K68" i="79"/>
  <c r="E68" i="79" s="1"/>
  <c r="AB55" i="44"/>
  <c r="K51" i="79"/>
  <c r="E51" i="79" s="1"/>
  <c r="AB58" i="44"/>
  <c r="AB66" i="44"/>
  <c r="K23" i="79"/>
  <c r="E23" i="79" s="1"/>
  <c r="AB29" i="44"/>
  <c r="AD29" i="44" s="1"/>
  <c r="K40" i="79"/>
  <c r="E40" i="79" s="1"/>
  <c r="K31" i="79"/>
  <c r="E31" i="79" s="1"/>
  <c r="K84" i="79"/>
  <c r="E84" i="79" s="1"/>
  <c r="AB87" i="44"/>
  <c r="K12" i="79"/>
  <c r="E12" i="79" s="1"/>
  <c r="AB92" i="44"/>
  <c r="AB98" i="44"/>
  <c r="AB105" i="44"/>
  <c r="AB28" i="44"/>
  <c r="AD28" i="44" s="1"/>
  <c r="K86" i="79"/>
  <c r="E86" i="79" s="1"/>
  <c r="AB99" i="44"/>
  <c r="AB33" i="44"/>
  <c r="AB67" i="44"/>
  <c r="AD67" i="44" s="1"/>
  <c r="AB18" i="44"/>
  <c r="AB63" i="44"/>
  <c r="AB37" i="44"/>
  <c r="K72" i="79"/>
  <c r="E72" i="79" s="1"/>
  <c r="K9" i="79"/>
  <c r="E9" i="79" s="1"/>
  <c r="AB75" i="44"/>
  <c r="AB25" i="44"/>
  <c r="AB19" i="44"/>
  <c r="AB69" i="44"/>
  <c r="AD69" i="44" s="1"/>
  <c r="K16" i="79"/>
  <c r="E16" i="79" s="1"/>
  <c r="K69" i="79"/>
  <c r="E69" i="79" s="1"/>
  <c r="K15" i="79"/>
  <c r="E15" i="79" s="1"/>
  <c r="AB85" i="44"/>
  <c r="K37" i="79"/>
  <c r="E37" i="79" s="1"/>
  <c r="AB56" i="44"/>
  <c r="AB64" i="44"/>
  <c r="K85" i="79"/>
  <c r="E85" i="79" s="1"/>
  <c r="K20" i="79"/>
  <c r="E20" i="79" s="1"/>
  <c r="AB62" i="44"/>
  <c r="K35" i="79"/>
  <c r="E35" i="79" s="1"/>
  <c r="AB27" i="44"/>
  <c r="AD27" i="44" s="1"/>
  <c r="K71" i="79"/>
  <c r="E71" i="79" s="1"/>
  <c r="K25" i="79"/>
  <c r="E25" i="79" s="1"/>
  <c r="AB71" i="44"/>
  <c r="AD71" i="44" s="1"/>
  <c r="K52" i="79"/>
  <c r="E52" i="79" s="1"/>
  <c r="AB65" i="44"/>
  <c r="AB26" i="44"/>
  <c r="K87" i="79"/>
  <c r="E87" i="79" s="1"/>
  <c r="K45" i="79"/>
  <c r="E45" i="79" s="1"/>
  <c r="AB22" i="44"/>
  <c r="AB59" i="44"/>
  <c r="AB15" i="44"/>
  <c r="AB74" i="44"/>
  <c r="K30" i="79"/>
  <c r="E30" i="79" s="1"/>
  <c r="AB40" i="44"/>
  <c r="AB9" i="44"/>
  <c r="K73" i="79"/>
  <c r="E73" i="79" s="1"/>
  <c r="K44" i="79"/>
  <c r="E44" i="79" s="1"/>
  <c r="AB50" i="44"/>
  <c r="AB96" i="44"/>
  <c r="AB46" i="44"/>
  <c r="AB76" i="44"/>
  <c r="AD99" i="44" l="1"/>
  <c r="AD106" i="44"/>
  <c r="AD101" i="44"/>
  <c r="AD102" i="44"/>
  <c r="M54" i="79" s="1"/>
  <c r="D54" i="79" s="1"/>
  <c r="AD105" i="44"/>
  <c r="M57" i="79" s="1"/>
  <c r="D57" i="79" s="1"/>
  <c r="AD100" i="44"/>
  <c r="AD97" i="44"/>
  <c r="M49" i="79" s="1"/>
  <c r="D49" i="79" s="1"/>
  <c r="AD104" i="44"/>
  <c r="M56" i="79" s="1"/>
  <c r="D56" i="79" s="1"/>
  <c r="AD98" i="44"/>
  <c r="AD103" i="44"/>
  <c r="AD96" i="44"/>
  <c r="AD22" i="44"/>
  <c r="AD65" i="44"/>
  <c r="M67" i="79" s="1"/>
  <c r="D67" i="79" s="1"/>
  <c r="AD76" i="44"/>
  <c r="AD50" i="44"/>
  <c r="M42" i="79" s="1"/>
  <c r="D42" i="79" s="1"/>
  <c r="AD9" i="44"/>
  <c r="M6" i="79" s="1"/>
  <c r="D6" i="79" s="1"/>
  <c r="AD74" i="44"/>
  <c r="M71" i="79" s="1"/>
  <c r="D71" i="79" s="1"/>
  <c r="AD59" i="44"/>
  <c r="M61" i="79" s="1"/>
  <c r="D61" i="79" s="1"/>
  <c r="AD56" i="44"/>
  <c r="M48" i="79" s="1"/>
  <c r="D48" i="79" s="1"/>
  <c r="AD19" i="44"/>
  <c r="AD18" i="44"/>
  <c r="M15" i="79" s="1"/>
  <c r="D15" i="79" s="1"/>
  <c r="AD58" i="44"/>
  <c r="AD35" i="44"/>
  <c r="M27" i="79" s="1"/>
  <c r="D27" i="79" s="1"/>
  <c r="AD81" i="44"/>
  <c r="AD93" i="44"/>
  <c r="AD44" i="44"/>
  <c r="AD84" i="44"/>
  <c r="M81" i="79" s="1"/>
  <c r="D81" i="79" s="1"/>
  <c r="AD72" i="44"/>
  <c r="AD90" i="44"/>
  <c r="M87" i="79" s="1"/>
  <c r="D87" i="79" s="1"/>
  <c r="AD88" i="44"/>
  <c r="AD13" i="44"/>
  <c r="M10" i="79" s="1"/>
  <c r="D10" i="79" s="1"/>
  <c r="AD94" i="44"/>
  <c r="AD80" i="44"/>
  <c r="M77" i="79" s="1"/>
  <c r="D77" i="79" s="1"/>
  <c r="AD77" i="44"/>
  <c r="AD20" i="44"/>
  <c r="AD46" i="44"/>
  <c r="AD40" i="44"/>
  <c r="AD15" i="44"/>
  <c r="M12" i="79" s="1"/>
  <c r="D12" i="79" s="1"/>
  <c r="AD26" i="44"/>
  <c r="M23" i="79" s="1"/>
  <c r="D23" i="79" s="1"/>
  <c r="AD25" i="44"/>
  <c r="AD87" i="44"/>
  <c r="AD39" i="44"/>
  <c r="M31" i="79" s="1"/>
  <c r="D31" i="79" s="1"/>
  <c r="AD16" i="44"/>
  <c r="M13" i="79" s="1"/>
  <c r="D13" i="79" s="1"/>
  <c r="AD10" i="44"/>
  <c r="AD41" i="44"/>
  <c r="M33" i="79" s="1"/>
  <c r="D33" i="79" s="1"/>
  <c r="AD23" i="44"/>
  <c r="AD57" i="44"/>
  <c r="AD38" i="44"/>
  <c r="AD14" i="44"/>
  <c r="AD45" i="44"/>
  <c r="AD79" i="44"/>
  <c r="M76" i="79" s="1"/>
  <c r="D76" i="79" s="1"/>
  <c r="AD32" i="44"/>
  <c r="AD82" i="44"/>
  <c r="AD52" i="44"/>
  <c r="AD73" i="44"/>
  <c r="M70" i="79" s="1"/>
  <c r="D70" i="79" s="1"/>
  <c r="AD75" i="44"/>
  <c r="AD37" i="44"/>
  <c r="M29" i="79" s="1"/>
  <c r="D29" i="79" s="1"/>
  <c r="AD33" i="44"/>
  <c r="M25" i="79" s="1"/>
  <c r="D25" i="79" s="1"/>
  <c r="AD8" i="44"/>
  <c r="M5" i="79" s="1"/>
  <c r="D5" i="79" s="1"/>
  <c r="AD12" i="44"/>
  <c r="M9" i="79" s="1"/>
  <c r="D9" i="79" s="1"/>
  <c r="AD47" i="44"/>
  <c r="M39" i="79" s="1"/>
  <c r="D39" i="79" s="1"/>
  <c r="M4" i="79"/>
  <c r="D4" i="79" s="1"/>
  <c r="AD36" i="44"/>
  <c r="M28" i="79" s="1"/>
  <c r="D28" i="79" s="1"/>
  <c r="AD11" i="44"/>
  <c r="M8" i="79" s="1"/>
  <c r="D8" i="79" s="1"/>
  <c r="AD54" i="44"/>
  <c r="AD51" i="44"/>
  <c r="AD83" i="44"/>
  <c r="AD62" i="44"/>
  <c r="M64" i="79" s="1"/>
  <c r="D64" i="79" s="1"/>
  <c r="AD64" i="44"/>
  <c r="M66" i="79" s="1"/>
  <c r="D66" i="79" s="1"/>
  <c r="AD85" i="44"/>
  <c r="M82" i="79" s="1"/>
  <c r="D82" i="79" s="1"/>
  <c r="AD63" i="44"/>
  <c r="AD92" i="44"/>
  <c r="AD66" i="44"/>
  <c r="AD55" i="44"/>
  <c r="M47" i="79" s="1"/>
  <c r="D47" i="79" s="1"/>
  <c r="AD24" i="44"/>
  <c r="AD34" i="44"/>
  <c r="M26" i="79" s="1"/>
  <c r="D26" i="79" s="1"/>
  <c r="AD89" i="44"/>
  <c r="M86" i="79" s="1"/>
  <c r="D86" i="79" s="1"/>
  <c r="AD48" i="44"/>
  <c r="M40" i="79" s="1"/>
  <c r="D40" i="79" s="1"/>
  <c r="AD86" i="44"/>
  <c r="AD61" i="44"/>
  <c r="AD53" i="44"/>
  <c r="AD21" i="44"/>
  <c r="M18" i="79" s="1"/>
  <c r="D18" i="79" s="1"/>
  <c r="AD43" i="44"/>
  <c r="AD17" i="44"/>
  <c r="AD91" i="44"/>
  <c r="AD42" i="44"/>
  <c r="AD95" i="44"/>
  <c r="AD78" i="44"/>
  <c r="M75" i="79" s="1"/>
  <c r="D75" i="79" s="1"/>
  <c r="AD60" i="44"/>
  <c r="M62" i="79" s="1"/>
  <c r="D62" i="79" s="1"/>
  <c r="AD49" i="44"/>
  <c r="M41" i="79" s="1"/>
  <c r="D41" i="79" s="1"/>
  <c r="M53" i="79"/>
  <c r="D53" i="79" s="1"/>
  <c r="M17" i="79"/>
  <c r="D17" i="79" s="1"/>
  <c r="M32" i="79"/>
  <c r="D32" i="79" s="1"/>
  <c r="M52" i="79"/>
  <c r="D52" i="79" s="1"/>
  <c r="M20" i="79"/>
  <c r="D20" i="79" s="1"/>
  <c r="M43" i="79"/>
  <c r="D43" i="79" s="1"/>
  <c r="M58" i="79"/>
  <c r="D58" i="79" s="1"/>
  <c r="M21" i="79"/>
  <c r="D21" i="79" s="1"/>
  <c r="M55" i="79"/>
  <c r="D55" i="79" s="1"/>
  <c r="M83" i="79" l="1"/>
  <c r="D83" i="79" s="1"/>
  <c r="M65" i="79"/>
  <c r="D65" i="79" s="1"/>
  <c r="M80" i="79"/>
  <c r="D80" i="79" s="1"/>
  <c r="M59" i="79"/>
  <c r="D59" i="79" s="1"/>
  <c r="M45" i="79"/>
  <c r="D45" i="79" s="1"/>
  <c r="M50" i="79"/>
  <c r="D50" i="79" s="1"/>
  <c r="D10" i="77"/>
  <c r="M11" i="79"/>
  <c r="D11" i="79" s="1"/>
  <c r="D20" i="77"/>
  <c r="M68" i="79"/>
  <c r="D68" i="79" s="1"/>
  <c r="M51" i="79"/>
  <c r="D51" i="79" s="1"/>
  <c r="M16" i="79"/>
  <c r="D16" i="79" s="1"/>
  <c r="M14" i="79"/>
  <c r="D14" i="79" s="1"/>
  <c r="D6" i="77"/>
  <c r="M7" i="79"/>
  <c r="D7" i="79" s="1"/>
  <c r="D15" i="77"/>
  <c r="D16" i="77"/>
  <c r="D11" i="77"/>
  <c r="D5" i="77"/>
  <c r="M72" i="79"/>
  <c r="D72" i="79" s="1"/>
  <c r="M19" i="79"/>
  <c r="D19" i="79" s="1"/>
  <c r="M24" i="79"/>
  <c r="D24" i="79" s="1"/>
  <c r="M30" i="79"/>
  <c r="D30" i="79" s="1"/>
  <c r="M22" i="79"/>
  <c r="D22" i="79" s="1"/>
  <c r="M69" i="79"/>
  <c r="D69" i="79" s="1"/>
  <c r="M78" i="79"/>
  <c r="D78" i="79" s="1"/>
  <c r="M63" i="79"/>
  <c r="D63" i="79" s="1"/>
  <c r="D7" i="77"/>
  <c r="D17" i="77"/>
  <c r="D21" i="77"/>
  <c r="D18" i="77"/>
  <c r="D12" i="77"/>
  <c r="M44" i="79"/>
  <c r="D44" i="79" s="1"/>
  <c r="M74" i="79"/>
  <c r="D74" i="79" s="1"/>
  <c r="M88" i="79"/>
  <c r="D88" i="79" s="1"/>
  <c r="M85" i="79"/>
  <c r="D85" i="79" s="1"/>
  <c r="M73" i="79"/>
  <c r="D73" i="79" s="1"/>
  <c r="M46" i="79"/>
  <c r="D46" i="79" s="1"/>
  <c r="D14" i="77"/>
  <c r="M79" i="79"/>
  <c r="D79" i="79" s="1"/>
  <c r="M84" i="79"/>
  <c r="D84" i="79" s="1"/>
  <c r="D19" i="77"/>
  <c r="M60" i="79"/>
  <c r="D60" i="79" s="1"/>
  <c r="D13" i="77"/>
  <c r="D8" i="77"/>
  <c r="D9" i="77"/>
  <c r="D22" i="77" l="1"/>
  <c r="G7" i="77" l="1"/>
  <c r="G21" i="77" l="1"/>
  <c r="G15" i="77"/>
  <c r="G14" i="77"/>
  <c r="G10" i="77"/>
  <c r="G8" i="77"/>
  <c r="G9" i="77"/>
  <c r="G12" i="77"/>
  <c r="G19" i="77"/>
  <c r="G17" i="77"/>
  <c r="G16" i="77"/>
  <c r="G11" i="77"/>
  <c r="G6" i="77"/>
  <c r="G20" i="77"/>
  <c r="G13" i="77" l="1"/>
  <c r="M36" i="79"/>
  <c r="D36" i="79" s="1"/>
  <c r="M34" i="79"/>
  <c r="D34" i="79" s="1"/>
  <c r="M35" i="79"/>
  <c r="D35" i="79" s="1"/>
  <c r="M37" i="79"/>
  <c r="D37" i="79" s="1"/>
  <c r="M38" i="79"/>
  <c r="D38" i="79" s="1"/>
  <c r="G5" i="77"/>
  <c r="G18" i="77" l="1"/>
  <c r="E22" i="77"/>
  <c r="G22" i="77" l="1"/>
  <c r="I21" i="77" l="1"/>
  <c r="K21" i="77" s="1"/>
  <c r="I20" i="77"/>
  <c r="K20" i="77" s="1"/>
  <c r="I19" i="77"/>
  <c r="K19" i="77" s="1"/>
  <c r="I18" i="77"/>
  <c r="K18" i="77" s="1"/>
  <c r="I17" i="77"/>
  <c r="K17" i="77" s="1"/>
  <c r="I16" i="77"/>
  <c r="K16" i="77" s="1"/>
  <c r="I15" i="77"/>
  <c r="K15" i="77" s="1"/>
  <c r="I14" i="77"/>
  <c r="K14" i="77" s="1"/>
  <c r="I13" i="77"/>
  <c r="K13" i="77" s="1"/>
  <c r="I12" i="77"/>
  <c r="K12" i="77" s="1"/>
  <c r="I11" i="77"/>
  <c r="I10" i="77"/>
  <c r="K10" i="77" s="1"/>
  <c r="I9" i="77"/>
  <c r="I8" i="77"/>
  <c r="K8" i="77" s="1"/>
  <c r="I7" i="77"/>
  <c r="K7" i="77" s="1"/>
  <c r="I6" i="77"/>
  <c r="K6" i="77" s="1"/>
  <c r="I5" i="77" l="1"/>
  <c r="K5" i="77" s="1"/>
  <c r="H22" i="77"/>
  <c r="I22" i="77" s="1"/>
  <c r="K9" i="77" l="1"/>
  <c r="C22" i="77"/>
  <c r="K11" i="77"/>
  <c r="K22" i="77" l="1"/>
</calcChain>
</file>

<file path=xl/sharedStrings.xml><?xml version="1.0" encoding="utf-8"?>
<sst xmlns="http://schemas.openxmlformats.org/spreadsheetml/2006/main" count="5705" uniqueCount="348">
  <si>
    <t>hhdu_hh</t>
  </si>
  <si>
    <t>hhm_hh</t>
  </si>
  <si>
    <t>lnhh_t</t>
  </si>
  <si>
    <t>lnrev_hh</t>
  </si>
  <si>
    <t>eq_lpcf62</t>
  </si>
  <si>
    <t>incomescore</t>
  </si>
  <si>
    <t>totalmigration</t>
  </si>
  <si>
    <t>_cons</t>
  </si>
  <si>
    <t>Key</t>
  </si>
  <si>
    <t>hh_t</t>
  </si>
  <si>
    <t>rev_hh</t>
  </si>
  <si>
    <t>unit</t>
  </si>
  <si>
    <t>%</t>
  </si>
  <si>
    <t>000s</t>
  </si>
  <si>
    <t>ln(£)</t>
  </si>
  <si>
    <t>£m</t>
  </si>
  <si>
    <t>nr</t>
  </si>
  <si>
    <t>Total households connected</t>
  </si>
  <si>
    <t>Purpose</t>
  </si>
  <si>
    <t>ANH</t>
  </si>
  <si>
    <t>NES</t>
  </si>
  <si>
    <t>NWT</t>
  </si>
  <si>
    <t>SRN</t>
  </si>
  <si>
    <t>SVT</t>
  </si>
  <si>
    <t>TMS</t>
  </si>
  <si>
    <t>WSX</t>
  </si>
  <si>
    <t>YKY</t>
  </si>
  <si>
    <t>AFW</t>
  </si>
  <si>
    <t>BRL</t>
  </si>
  <si>
    <t>DVW</t>
  </si>
  <si>
    <t>PRT</t>
  </si>
  <si>
    <t>SES</t>
  </si>
  <si>
    <t>SEW</t>
  </si>
  <si>
    <t>SSC</t>
  </si>
  <si>
    <t>SWB</t>
  </si>
  <si>
    <t>ln(nr)</t>
  </si>
  <si>
    <t>Transformed data</t>
  </si>
  <si>
    <t>Company</t>
  </si>
  <si>
    <t>Triangulation weights</t>
  </si>
  <si>
    <t>Model</t>
  </si>
  <si>
    <t>WSH</t>
  </si>
  <si>
    <t>codecombine</t>
  </si>
  <si>
    <t>companycode</t>
  </si>
  <si>
    <t>financialyear</t>
  </si>
  <si>
    <t>Combination of company and year</t>
  </si>
  <si>
    <t>Company unique code</t>
  </si>
  <si>
    <t>Financial year</t>
  </si>
  <si>
    <t>2020-21</t>
  </si>
  <si>
    <t>2021-22</t>
  </si>
  <si>
    <t>2022-23</t>
  </si>
  <si>
    <t>2023-24</t>
  </si>
  <si>
    <t>2024-25</t>
  </si>
  <si>
    <t>Acronym</t>
  </si>
  <si>
    <t>Reference</t>
  </si>
  <si>
    <t>Item description</t>
  </si>
  <si>
    <t>Unit</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</si>
  <si>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</si>
  <si>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</si>
  <si>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</si>
  <si>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</si>
  <si>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</si>
  <si>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</si>
  <si>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</si>
  <si>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</si>
  <si>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</si>
  <si>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</si>
  <si>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</si>
  <si>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</si>
  <si>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</si>
  <si>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</si>
  <si>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</si>
  <si>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</si>
  <si>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</si>
  <si>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</si>
  <si>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</si>
  <si>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</si>
  <si>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</si>
  <si>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</si>
  <si>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</si>
  <si>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</si>
  <si>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</si>
  <si>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</si>
  <si>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</si>
  <si>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</si>
  <si>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</si>
  <si>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</si>
  <si>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</si>
  <si>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</si>
  <si>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</si>
  <si>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</si>
  <si>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</si>
  <si>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</si>
  <si>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</si>
  <si>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</si>
  <si>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</si>
  <si>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</si>
  <si>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</si>
  <si>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</si>
  <si>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</si>
  <si>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</si>
  <si>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</si>
  <si>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</si>
  <si>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</si>
  <si>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</si>
  <si>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</si>
  <si>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</si>
  <si>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</si>
  <si>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</si>
  <si>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</si>
  <si>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</si>
  <si>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</si>
  <si>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</si>
  <si>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</si>
  <si>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</si>
  <si>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</si>
  <si>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</si>
  <si>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DVW21</t>
  </si>
  <si>
    <t>DVW22</t>
  </si>
  <si>
    <t>DVW23</t>
  </si>
  <si>
    <t>DVW24</t>
  </si>
  <si>
    <t>DVW25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</si>
  <si>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</si>
  <si>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</si>
  <si>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</si>
  <si>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</si>
  <si>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</si>
  <si>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</si>
  <si>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</si>
  <si>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</si>
  <si>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</si>
  <si>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</si>
  <si>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</si>
  <si>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</si>
  <si>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</si>
  <si>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</si>
  <si>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</si>
  <si>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</si>
  <si>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</si>
  <si>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</si>
  <si>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</si>
  <si>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</si>
  <si>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Total</t>
  </si>
  <si>
    <t>To calculate the forecasted modelled costs, apply the efficiency challenge and calculate the final cost allowances.</t>
  </si>
  <si>
    <t>Frontier shift</t>
  </si>
  <si>
    <t>Modelled total costs</t>
  </si>
  <si>
    <t>Modelled costs</t>
  </si>
  <si>
    <t>Text</t>
  </si>
  <si>
    <t>Price Review 2019</t>
  </si>
  <si>
    <t>SVE</t>
  </si>
  <si>
    <t>HDD</t>
  </si>
  <si>
    <t>Other retail costs</t>
  </si>
  <si>
    <t>Bad debt costs</t>
  </si>
  <si>
    <t>Total retail costs</t>
  </si>
  <si>
    <t>Council tax collection rate</t>
  </si>
  <si>
    <t>Total internal + international migration</t>
  </si>
  <si>
    <t>Constant</t>
  </si>
  <si>
    <t>Variables code</t>
  </si>
  <si>
    <t>Variable</t>
  </si>
  <si>
    <t>Efficiency challenge parameters</t>
  </si>
  <si>
    <t>ROC2_t</t>
  </si>
  <si>
    <t>ROC4_t</t>
  </si>
  <si>
    <t>RDC1_t</t>
  </si>
  <si>
    <t>RDC20_t</t>
  </si>
  <si>
    <t>RTC3_t</t>
  </si>
  <si>
    <t>RTC4_t</t>
  </si>
  <si>
    <t>RTC8_t</t>
  </si>
  <si>
    <t>ROC
triangulated</t>
  </si>
  <si>
    <t>RDC
triangulated</t>
  </si>
  <si>
    <t>RTC
triangulated</t>
  </si>
  <si>
    <t>Top down</t>
  </si>
  <si>
    <t>Bottom up</t>
  </si>
  <si>
    <t>Modelled unit costs (£)</t>
  </si>
  <si>
    <t>ROC2_hh</t>
  </si>
  <si>
    <t>ROC4_hh</t>
  </si>
  <si>
    <t>RDC1_hh</t>
  </si>
  <si>
    <t>RDC20_hh</t>
  </si>
  <si>
    <t>RTC3_hh</t>
  </si>
  <si>
    <t>RTC4_hh</t>
  </si>
  <si>
    <t>RTC8_hh</t>
  </si>
  <si>
    <t>Random effects</t>
  </si>
  <si>
    <t xml:space="preserve">Model weights </t>
  </si>
  <si>
    <t>Stata model code</t>
  </si>
  <si>
    <t>reROC2</t>
  </si>
  <si>
    <t>reROC4</t>
  </si>
  <si>
    <t>reRDC1</t>
  </si>
  <si>
    <t>reRDC20</t>
  </si>
  <si>
    <t>reRTC3</t>
  </si>
  <si>
    <t>reRTC4</t>
  </si>
  <si>
    <t>reRTC8</t>
  </si>
  <si>
    <t>No. of obs</t>
  </si>
  <si>
    <t>SVE21</t>
  </si>
  <si>
    <t>SVE22</t>
  </si>
  <si>
    <t>SVE23</t>
  </si>
  <si>
    <t>SVE24</t>
  </si>
  <si>
    <t>SVE25</t>
  </si>
  <si>
    <t>HDD21</t>
  </si>
  <si>
    <t>HDD22</t>
  </si>
  <si>
    <t>HDD23</t>
  </si>
  <si>
    <t>HDD24</t>
  </si>
  <si>
    <t>HDD25</t>
  </si>
  <si>
    <t>company</t>
  </si>
  <si>
    <t>no. of obs</t>
  </si>
  <si>
    <t>Year</t>
  </si>
  <si>
    <t>SVH</t>
  </si>
  <si>
    <t>Input price pressure</t>
  </si>
  <si>
    <t>Modelled totex - triangulated</t>
  </si>
  <si>
    <t>Forward looking efficiency challenge</t>
  </si>
  <si>
    <t>Upper quartile</t>
  </si>
  <si>
    <t>Within sector catch-up - historical</t>
  </si>
  <si>
    <t>Within sector catch-up - forward looking</t>
  </si>
  <si>
    <t>Wider economy catch-up</t>
  </si>
  <si>
    <t>select &gt;&gt;</t>
  </si>
  <si>
    <t>SVE/HDD Allocation of totex</t>
  </si>
  <si>
    <t>Feeder model 4: Calculation of our efficient cost allowances</t>
  </si>
  <si>
    <t>Final allowance</t>
  </si>
  <si>
    <t>FL upper quartile</t>
  </si>
  <si>
    <t>Residential retail modelled costs, £m</t>
  </si>
  <si>
    <t>Efficient costs</t>
  </si>
  <si>
    <t>Final AMP7 allowances</t>
  </si>
  <si>
    <t>Cost adjustment claims</t>
  </si>
  <si>
    <t>Symmetrical adjustments</t>
  </si>
  <si>
    <t>Business plan costs - residential retail</t>
  </si>
  <si>
    <t>Code</t>
  </si>
  <si>
    <t>Drivers</t>
  </si>
  <si>
    <t>Coeffs</t>
  </si>
  <si>
    <t>TC_tr</t>
  </si>
  <si>
    <t>Data for financial model inputs</t>
  </si>
  <si>
    <t>Transformed data for financial model inputs</t>
  </si>
  <si>
    <t>£/hh</t>
  </si>
  <si>
    <t>C_DEP_PR19CA012</t>
  </si>
  <si>
    <t>C_RRCAPEX_PR19CA012</t>
  </si>
  <si>
    <t>C_COSTPERHH1_PR19CA012</t>
  </si>
  <si>
    <t>DC_t</t>
  </si>
  <si>
    <t>OC_tr</t>
  </si>
  <si>
    <t>real £/hh</t>
  </si>
  <si>
    <t>C_RR3PARTY_PR19CA012</t>
  </si>
  <si>
    <t>bptotex</t>
  </si>
  <si>
    <t>2013-14</t>
  </si>
  <si>
    <t>2014-15</t>
  </si>
  <si>
    <t>2015-16</t>
  </si>
  <si>
    <t>2016-17</t>
  </si>
  <si>
    <t>2017-18</t>
  </si>
  <si>
    <t>2018-19</t>
  </si>
  <si>
    <t>2019-20</t>
  </si>
  <si>
    <t>C_DEP_PR19CA009</t>
  </si>
  <si>
    <t>depreciation on retail assets (real)</t>
  </si>
  <si>
    <t>C_STC_TR_PR19CA009</t>
  </si>
  <si>
    <t>Totex for modelling (real)</t>
  </si>
  <si>
    <t>C_SOC_TR_PR19CA009</t>
  </si>
  <si>
    <t>Other opex for modelling (real)</t>
  </si>
  <si>
    <t>C_DC_T_PR19CA009</t>
  </si>
  <si>
    <t>bad debt related costs (real)</t>
  </si>
  <si>
    <t>C_HH_T_PR19CA009</t>
  </si>
  <si>
    <t>Total households connected (real)</t>
  </si>
  <si>
    <t>C_HHM_HH_PR19CA009</t>
  </si>
  <si>
    <t>% of metered connections</t>
  </si>
  <si>
    <t>C_HHDU_HH_PR19CA009</t>
  </si>
  <si>
    <t>% of dual service connections</t>
  </si>
  <si>
    <t>C_REV_HH_PR19CA009</t>
  </si>
  <si>
    <t>average bill size (real)</t>
  </si>
  <si>
    <t>C_TC_TRN_PR19CA009</t>
  </si>
  <si>
    <t>Company submitted modelled costs (nominal)</t>
  </si>
  <si>
    <t>C_TC_TRR_PR19CA009</t>
  </si>
  <si>
    <t>Company submitted modelled costs (real)</t>
  </si>
  <si>
    <t>C_OC_TR_PR19CA009</t>
  </si>
  <si>
    <t>Company submitted other costs (real)</t>
  </si>
  <si>
    <t>C_CD0014R_PR19</t>
  </si>
  <si>
    <t>Residential retail CPIH (real)</t>
  </si>
  <si>
    <t>C_BPTOTEX_PR19CA009</t>
  </si>
  <si>
    <t>Company submitted totex (real)</t>
  </si>
  <si>
    <t>SWT</t>
  </si>
  <si>
    <t>BWH</t>
  </si>
  <si>
    <t>Unique Code</t>
  </si>
  <si>
    <t>C_CD0018_PR19RR1</t>
  </si>
  <si>
    <t>Insight Postcode Event - % households with default</t>
  </si>
  <si>
    <t>C_CD0019_PR19RR1</t>
  </si>
  <si>
    <t>C_CD0020_PR19RR1</t>
  </si>
  <si>
    <t>C_CD0021_PR19RR1</t>
  </si>
  <si>
    <t>IMD (England and Wales)</t>
  </si>
  <si>
    <t>C_CD0022_PR19RR1</t>
  </si>
  <si>
    <t>Retail Revenue is retail revenues + wholesale charges.</t>
  </si>
  <si>
    <t>SVH21</t>
  </si>
  <si>
    <t>SVH22</t>
  </si>
  <si>
    <t>SVH23</t>
  </si>
  <si>
    <t>SVH24</t>
  </si>
  <si>
    <t>SVH25</t>
  </si>
  <si>
    <t>C_BM4017_PR19CA009</t>
  </si>
  <si>
    <t>Retail capital maintenance (real)</t>
  </si>
  <si>
    <t>Business plan (nominal) - 5 years</t>
  </si>
  <si>
    <t>PR19QA_CA009_OUT_1</t>
  </si>
  <si>
    <t>Date &amp; Time for Model PR19CA009 FM_R1: Master data retail</t>
  </si>
  <si>
    <t>PR19QA_CA009_OUT_2</t>
  </si>
  <si>
    <t>Name &amp; Path of Model PR19CA009 FM_R1: Master data retail</t>
  </si>
  <si>
    <t/>
  </si>
  <si>
    <t>Unmodelled costs</t>
  </si>
  <si>
    <t>Cost to serve per customer - £/connected household. nominal £m</t>
  </si>
  <si>
    <t>RR - 3rd party services - nominal £m</t>
  </si>
  <si>
    <t>triangulated efficiency challenge %</t>
  </si>
  <si>
    <t>To calculate an efficient cost allowance for residential retail.</t>
  </si>
  <si>
    <t>Guide to model</t>
  </si>
  <si>
    <t>Controls</t>
  </si>
  <si>
    <t>The model takes the coefficients from our econometric models which are also used in FM_RR2.</t>
  </si>
  <si>
    <t>Net total frontier shift</t>
  </si>
  <si>
    <t>Efficient modelled allowances (nominal £m)</t>
  </si>
  <si>
    <t>Efficient base allowance (for cost sharing) (nominal £m)</t>
  </si>
  <si>
    <t>formula different from surrounding cells</t>
  </si>
  <si>
    <t>Total retail (triangulated)</t>
  </si>
  <si>
    <t>Difference</t>
  </si>
  <si>
    <t>Triangulation</t>
  </si>
  <si>
    <t>Depreciation post efficiency challenge and adjustments - real £m</t>
  </si>
  <si>
    <t>Capital expenditure on assets principally used by residential retail - real £m</t>
  </si>
  <si>
    <t>Capital expenditure real £m</t>
  </si>
  <si>
    <t>Depreciation excl. legacy depreciation real £m</t>
  </si>
  <si>
    <t>Efficient totex allowance (for PAYG) (nominal £m)</t>
  </si>
  <si>
    <t>[…]21/11/2019 16:43:32</t>
  </si>
  <si>
    <t>FM_RR1</t>
  </si>
  <si>
    <t>ln (average bill size)</t>
  </si>
  <si>
    <t>Proportion of households with default (Equifax variable) (%)</t>
  </si>
  <si>
    <t>Proportion of households income deprived (income score of IMD) (%)</t>
  </si>
  <si>
    <t>Total internal + international migration (% of population)</t>
  </si>
  <si>
    <t>Proportion of dual service households (%)</t>
  </si>
  <si>
    <t>Proportion of metered households (%)</t>
  </si>
  <si>
    <t>ln (number of household connections)</t>
  </si>
  <si>
    <t>Real average bill size</t>
  </si>
  <si>
    <t>Proportion of dual service households</t>
  </si>
  <si>
    <t>Proportion of metered households</t>
  </si>
  <si>
    <t>Proportion of households with default (Equifax variable)</t>
  </si>
  <si>
    <t>Proportion of households income deprived (income score of IMD)</t>
  </si>
  <si>
    <t>Efficiency score - (business plan / modelled costs)</t>
  </si>
  <si>
    <t>August 2019 business plan requested costs (nominal £m)</t>
  </si>
  <si>
    <t>Challenge (actual) (£m)</t>
  </si>
  <si>
    <t>Top-down / bottom-up triangulation weights</t>
  </si>
  <si>
    <t>Inputs from FM_RR1</t>
  </si>
  <si>
    <t>Requested total retail costs (nominal)</t>
  </si>
  <si>
    <t>Requested bad debt costs (17-18 prices)</t>
  </si>
  <si>
    <t>Requested total retail costs (17-18 prices)</t>
  </si>
  <si>
    <t>Requested other retail costs (17-18 prices)</t>
  </si>
  <si>
    <t>Requested totex, including third party and pension deficit repair costs (17-18 prices)</t>
  </si>
  <si>
    <t>Forecast of cost drivers (sourced from FM_RR3)</t>
  </si>
  <si>
    <t>sourced from previous feeder models</t>
  </si>
  <si>
    <t>Our view (average) (nominal) - 5 years</t>
  </si>
  <si>
    <t xml:space="preserve">Company forecast of number of household connections (000s) </t>
  </si>
  <si>
    <t>The tab presents the forecasts of cost drivers sourced from FM_RR3.</t>
  </si>
  <si>
    <t>This tab multiplies the coefficients from the Coeffs tab with the forecast of costs drivers from the Drivers tab to produce modelled costs.</t>
  </si>
  <si>
    <t>Modelled costs are triangulated at different levels of aggregation to estimate triangulated modelled totex. We apply the average of the catch-up upper quartile challenge (from FM_RR2) and the forward looking efficiency challenge to obtain efficient costs</t>
  </si>
  <si>
    <t>This tab presents efficient totex allowances for the residential retail control.</t>
  </si>
  <si>
    <t xml:space="preserve">- The efficient total cost base allowance is derived from the modelled total costs. There are no cost adjustment claims, unmodelled costs or symmetrical adjustments. We only make an adjustment for Dŵr Cymru.
</t>
  </si>
  <si>
    <t xml:space="preserve">This tab presents the weights given to each econometric model across different levels of aggregation, the efficiency challenge (triangulating between the sector historical and forward-looking upper quartile challenges) and the weights for apportioning SVE and HDD’s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</si>
</sst>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0_);\(#,##0\);&quot;-  &quot;;&quot; &quot;@&quot; &quot;"/>
    <numFmt numFmtId="166" formatCode="0.000"/>
    <numFmt numFmtId="167" formatCode="0.0"/>
    <numFmt numFmtId="168" formatCode="#,##0.00_ ;\-#,##0.00\ "/>
    <numFmt numFmtId="169" formatCode="#,##0.000"/>
    <numFmt numFmtId="170" formatCode="0.0%"/>
    <numFmt numFmtId="171" formatCode="#,##0.0"/>
    <numFmt numFmtId="172" formatCode="0.0000"/>
    <numFmt numFmtId="173" formatCode="_(* #,##0.000_);_(* \(#,##0.000\);_(* &quot;-&quot;??_);_(@_)"/>
    <numFmt numFmtId="174" formatCode="_(* #,##0_);_(* \(#,##0\);_(* &quot;-&quot;??_);_(@_)"/>
  </numFmts>
  <fonts count="28" x14ac:knownFonts="1">
    <font>
      <sz val="11"/>
      <color theme="1"/>
      <name val="Arial"/>
      <family val="2"/>
    </font>
    <font>
      <sz val="11"/>
      <color theme="1"/>
      <name val="Arial"/>
      <family val="2"/>
    </font>
    <font>
      <sz val="11"/>
      <color rgb="FFFF0000"/>
      <name val="Arial"/>
      <family val="2"/>
    </font>
    <font>
      <sz val="11"/>
      <color theme="1"/>
      <name val="Arial"/>
      <family val="2"/>
      <scheme val="minor"/>
    </font>
    <font>
      <sz val="10"/>
      <name val="Arial"/>
      <family val="2"/>
    </font>
    <font>
      <b/>
      <sz val="14"/>
      <color theme="3"/>
      <name val="Calibri"/>
      <family val="2"/>
    </font>
    <font>
      <sz val="11"/>
      <color theme="1"/>
      <name val="Calibri"/>
      <family val="2"/>
    </font>
    <font>
      <b/>
      <sz val="9"/>
      <color theme="3"/>
      <name val="Calibri"/>
      <family val="2"/>
    </font>
    <font>
      <b/>
      <sz val="11"/>
      <color theme="1"/>
      <name val="Calibri"/>
      <family val="2"/>
    </font>
    <font>
      <sz val="10"/>
      <color rgb="FF000000"/>
      <name val="Calibri"/>
      <family val="2"/>
    </font>
    <font>
      <sz val="11"/>
      <name val="Calibri"/>
      <family val="2"/>
    </font>
    <font>
      <sz val="10"/>
      <name val="Calibri"/>
      <family val="2"/>
    </font>
    <font>
      <sz val="10"/>
      <color theme="1"/>
      <name val="Calibri"/>
      <family val="2"/>
    </font>
    <font>
      <sz val="10"/>
      <color rgb="FFFF0000"/>
      <name val="Calibri"/>
      <family val="2"/>
    </font>
    <font>
      <sz val="10"/>
      <color theme="3" tint="-0.249977111117893"/>
      <name val="Calibri"/>
      <family val="2"/>
    </font>
    <font>
      <b/>
      <sz val="10"/>
      <color theme="1"/>
      <name val="Calibri"/>
      <family val="2"/>
    </font>
    <font>
      <sz val="11"/>
      <color indexed="8"/>
      <name val="Arial"/>
      <family val="2"/>
      <scheme val="minor"/>
    </font>
    <font>
      <b/>
      <sz val="10"/>
      <name val="Calibri"/>
      <family val="2"/>
    </font>
    <font>
      <b/>
      <sz val="10"/>
      <color theme="3"/>
      <name val="Calibri"/>
      <family val="2"/>
    </font>
    <font>
      <sz val="11"/>
      <color rgb="FFFF0000"/>
      <name val="Calibri"/>
      <family val="2"/>
    </font>
    <font>
      <sz val="11"/>
      <color rgb="FF006100"/>
      <name val="Arial"/>
      <family val="2"/>
    </font>
    <font>
      <sz val="10"/>
      <color theme="1"/>
      <name val="Arial"/>
      <family val="2"/>
      <scheme val="minor"/>
    </font>
    <font>
      <sz val="10"/>
      <name val="Arial"/>
      <family val="2"/>
    </font>
    <font>
      <b/>
      <sz val="12"/>
      <color theme="3"/>
      <name val="Calibri"/>
      <family val="2"/>
    </font>
    <font>
      <sz val="10"/>
      <color theme="3"/>
      <name val="Calibri"/>
      <family val="2"/>
    </font>
    <font>
      <b/>
      <u/>
      <sz val="10"/>
      <color theme="1"/>
      <name val="Calibri"/>
      <family val="2"/>
    </font>
    <font>
      <b/>
      <sz val="11"/>
      <color rgb="FFFF0000"/>
      <name val="Calibri"/>
      <family val="2"/>
    </font>
    <font>
      <b/>
      <sz val="11"/>
      <color theme="1"/>
      <name val="Arial"/>
      <family val="2"/>
    </font>
  </fonts>
  <fills count="1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5" tint="0.79998168889431442"/>
        <bgColor indexed="64"/>
      </patternFill>
    </fill>
    <fill>
      <patternFill patternType="solid">
        <fgColor rgb="FFC6EFCE"/>
      </patternFill>
    </fill>
    <fill>
      <patternFill patternType="solid">
        <fgColor theme="7" tint="0.7999816888943144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0.149998474074526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theme="5" tint="0.59999389629810485"/>
      </bottom>
      <diagonal/>
    </border>
    <border>
      <left style="thin">
        <color theme="5" tint="0.59999389629810485"/>
      </left>
      <right/>
      <top style="thin">
        <color theme="5" tint="0.59999389629810485"/>
      </top>
      <bottom/>
      <diagonal/>
    </border>
    <border>
      <left/>
      <right/>
      <top style="thin">
        <color theme="5" tint="0.59999389629810485"/>
      </top>
      <bottom/>
      <diagonal/>
    </border>
    <border>
      <left style="thin">
        <color theme="5" tint="0.59999389629810485"/>
      </left>
      <right/>
      <top/>
      <bottom/>
      <diagonal/>
    </border>
    <border>
      <left style="thin">
        <color theme="5" tint="0.59999389629810485"/>
      </left>
      <right/>
      <top/>
      <bottom style="thin">
        <color theme="5" tint="0.59999389629810485"/>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5" fontId="1" fillId="0" borderId="0" applyFont="0" applyFill="0" applyBorder="0" applyProtection="0">
      <alignment vertical="top"/>
    </xf>
    <xf numFmtId="0" fontId="4" fillId="0" borderId="0"/>
    <xf numFmtId="0" fontId="16" fillId="0" borderId="0"/>
    <xf numFmtId="0" fontId="1" fillId="0" borderId="0"/>
    <xf numFmtId="0" fontId="1" fillId="0" borderId="0"/>
    <xf numFmtId="0" fontId="1" fillId="0" borderId="0"/>
    <xf numFmtId="0" fontId="1" fillId="0" borderId="0"/>
    <xf numFmtId="0" fontId="4" fillId="0" borderId="0"/>
    <xf numFmtId="0" fontId="20" fillId="8" borderId="0" applyNumberFormat="0" applyBorder="0" applyAlignment="0" applyProtection="0"/>
    <xf numFmtId="0" fontId="22" fillId="0" borderId="0"/>
  </cellStyleXfs>
  <cellXfs count="183">
    <xf numFmtId="0" fontId="0" fillId="0" borderId="0" xfId="0"/>
    <xf numFmtId="0" fontId="2" fillId="0" borderId="0" xfId="0" applyFont="1"/>
    <xf numFmtId="0" fontId="5" fillId="3" borderId="0" xfId="3" applyFont="1" applyFill="1"/>
    <xf numFmtId="0" fontId="6" fillId="3" borderId="0" xfId="0" applyFont="1" applyFill="1"/>
    <xf numFmtId="0" fontId="7" fillId="0" borderId="2" xfId="3" applyFont="1" applyBorder="1"/>
    <xf numFmtId="0" fontId="6" fillId="3" borderId="2" xfId="0" applyFont="1" applyFill="1" applyBorder="1"/>
    <xf numFmtId="0" fontId="7" fillId="0" borderId="0" xfId="3" applyFont="1" applyBorder="1"/>
    <xf numFmtId="0" fontId="6" fillId="3" borderId="0" xfId="0" applyFont="1" applyFill="1" applyBorder="1"/>
    <xf numFmtId="0" fontId="9" fillId="3" borderId="0" xfId="3" applyFont="1" applyFill="1" applyBorder="1" applyAlignment="1"/>
    <xf numFmtId="0" fontId="6" fillId="0" borderId="0" xfId="0" applyFont="1" applyFill="1" applyBorder="1"/>
    <xf numFmtId="0" fontId="12" fillId="0" borderId="14" xfId="0" applyFont="1" applyFill="1" applyBorder="1" applyAlignment="1">
      <alignment vertical="center" wrapText="1"/>
    </xf>
    <xf numFmtId="0" fontId="12" fillId="0" borderId="0" xfId="0" applyFont="1" applyFill="1" applyBorder="1" applyAlignment="1">
      <alignment vertical="center" wrapText="1"/>
    </xf>
    <xf numFmtId="0" fontId="12" fillId="0" borderId="1"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168" fontId="12" fillId="0" borderId="1" xfId="1" applyNumberFormat="1" applyFont="1" applyBorder="1" applyAlignment="1">
      <alignment horizontal="center" wrapText="1"/>
    </xf>
    <xf numFmtId="0" fontId="12" fillId="0" borderId="0" xfId="0" applyFont="1"/>
    <xf numFmtId="0" fontId="12" fillId="0" borderId="1" xfId="0" applyFont="1" applyBorder="1"/>
    <xf numFmtId="0" fontId="9" fillId="0" borderId="8" xfId="5" applyFont="1" applyFill="1" applyBorder="1" applyAlignment="1">
      <alignment horizontal="center" vertical="center" wrapText="1"/>
    </xf>
    <xf numFmtId="0" fontId="11" fillId="0" borderId="8" xfId="5" applyFont="1" applyFill="1" applyBorder="1" applyAlignment="1">
      <alignment horizontal="center" vertical="center" wrapText="1"/>
    </xf>
    <xf numFmtId="0" fontId="12" fillId="0" borderId="8" xfId="5" applyFont="1" applyFill="1" applyBorder="1" applyAlignment="1">
      <alignment horizontal="center" vertical="center" wrapText="1"/>
    </xf>
    <xf numFmtId="0" fontId="13" fillId="0" borderId="1" xfId="5" applyFont="1" applyFill="1" applyBorder="1" applyAlignment="1">
      <alignment horizontal="center" vertical="center" wrapText="1"/>
    </xf>
    <xf numFmtId="0" fontId="13" fillId="0" borderId="14" xfId="5" applyFont="1" applyFill="1" applyBorder="1" applyAlignment="1">
      <alignment horizontal="center" vertical="center" wrapText="1"/>
    </xf>
    <xf numFmtId="0" fontId="14" fillId="0" borderId="1" xfId="5" applyFont="1" applyFill="1" applyBorder="1" applyAlignment="1">
      <alignment horizontal="center" vertical="center" wrapText="1"/>
    </xf>
    <xf numFmtId="0" fontId="9" fillId="0" borderId="13" xfId="5" applyFont="1" applyFill="1" applyBorder="1" applyAlignment="1">
      <alignment horizontal="left" vertical="center" wrapText="1"/>
    </xf>
    <xf numFmtId="0" fontId="15" fillId="0" borderId="0" xfId="0" applyFont="1"/>
    <xf numFmtId="0" fontId="18" fillId="0" borderId="7" xfId="0" applyFont="1" applyFill="1" applyBorder="1" applyAlignment="1">
      <alignment horizontal="centerContinuous"/>
    </xf>
    <xf numFmtId="0" fontId="18" fillId="0" borderId="1" xfId="0" applyFont="1" applyFill="1" applyBorder="1" applyAlignment="1">
      <alignment horizontal="centerContinuous"/>
    </xf>
    <xf numFmtId="0" fontId="12" fillId="0" borderId="8" xfId="0" applyFont="1" applyFill="1" applyBorder="1"/>
    <xf numFmtId="0" fontId="12" fillId="0" borderId="1" xfId="0" applyFont="1" applyFill="1" applyBorder="1" applyAlignment="1">
      <alignment horizontal="center"/>
    </xf>
    <xf numFmtId="0" fontId="12" fillId="0" borderId="1" xfId="0" applyFont="1" applyFill="1" applyBorder="1"/>
    <xf numFmtId="0" fontId="13" fillId="0" borderId="0" xfId="0" applyFont="1"/>
    <xf numFmtId="0" fontId="15" fillId="0" borderId="0" xfId="0" applyFont="1" applyFill="1"/>
    <xf numFmtId="0" fontId="12" fillId="0" borderId="0" xfId="0" applyFont="1" applyFill="1"/>
    <xf numFmtId="0" fontId="12" fillId="0" borderId="16" xfId="0" applyFont="1" applyBorder="1"/>
    <xf numFmtId="0" fontId="18" fillId="0" borderId="7" xfId="0" applyFont="1" applyBorder="1" applyAlignment="1">
      <alignment horizontal="centerContinuous"/>
    </xf>
    <xf numFmtId="0" fontId="18" fillId="0" borderId="9" xfId="0" applyFont="1" applyBorder="1" applyAlignment="1">
      <alignment horizontal="centerContinuous"/>
    </xf>
    <xf numFmtId="0" fontId="18" fillId="0" borderId="9" xfId="0" applyFont="1" applyFill="1" applyBorder="1" applyAlignment="1">
      <alignment horizontal="centerContinuous"/>
    </xf>
    <xf numFmtId="0" fontId="18" fillId="0" borderId="10" xfId="0" applyFont="1" applyFill="1" applyBorder="1" applyAlignment="1">
      <alignment horizontal="centerContinuous"/>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6" xfId="0" applyFont="1" applyFill="1" applyBorder="1" applyAlignment="1">
      <alignment vertical="center" wrapText="1"/>
    </xf>
    <xf numFmtId="0" fontId="12" fillId="0" borderId="10"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Alignment="1">
      <alignment wrapText="1"/>
    </xf>
    <xf numFmtId="0" fontId="12" fillId="0" borderId="1" xfId="0" applyFont="1" applyBorder="1" applyAlignment="1">
      <alignment horizontal="center"/>
    </xf>
    <xf numFmtId="167" fontId="12" fillId="0" borderId="10" xfId="2" applyNumberFormat="1" applyFont="1" applyFill="1" applyBorder="1"/>
    <xf numFmtId="167" fontId="12" fillId="0" borderId="1" xfId="0" applyNumberFormat="1" applyFont="1" applyFill="1" applyBorder="1"/>
    <xf numFmtId="2" fontId="12" fillId="0" borderId="1" xfId="0" applyNumberFormat="1" applyFont="1" applyFill="1" applyBorder="1"/>
    <xf numFmtId="0" fontId="12" fillId="0" borderId="0" xfId="0" applyFont="1" applyBorder="1"/>
    <xf numFmtId="9" fontId="12" fillId="0" borderId="0" xfId="0" applyNumberFormat="1" applyFont="1" applyFill="1" applyBorder="1" applyAlignment="1">
      <alignment horizontal="center" vertical="center" wrapText="1"/>
    </xf>
    <xf numFmtId="0" fontId="12" fillId="0" borderId="1" xfId="0" applyFont="1" applyBorder="1" applyAlignment="1">
      <alignment horizontal="centerContinuous"/>
    </xf>
    <xf numFmtId="0" fontId="12" fillId="0" borderId="1" xfId="0" applyFont="1" applyBorder="1" applyAlignment="1">
      <alignment horizontal="centerContinuous" vertical="top"/>
    </xf>
    <xf numFmtId="0" fontId="12"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167" fontId="12" fillId="0" borderId="1" xfId="0" applyNumberFormat="1" applyFont="1" applyFill="1" applyBorder="1" applyAlignment="1">
      <alignment horizontal="right" vertical="center"/>
    </xf>
    <xf numFmtId="167" fontId="12" fillId="0" borderId="1" xfId="0" applyNumberFormat="1" applyFont="1" applyBorder="1"/>
    <xf numFmtId="0" fontId="19" fillId="3" borderId="0" xfId="0" applyFont="1" applyFill="1"/>
    <xf numFmtId="0" fontId="18" fillId="0" borderId="15" xfId="0" applyFont="1" applyFill="1" applyBorder="1" applyAlignment="1">
      <alignment horizontal="centerContinuous"/>
    </xf>
    <xf numFmtId="0" fontId="15" fillId="0" borderId="7" xfId="0" applyFont="1" applyBorder="1"/>
    <xf numFmtId="0" fontId="15" fillId="0" borderId="10" xfId="0" applyFont="1" applyBorder="1"/>
    <xf numFmtId="167" fontId="12" fillId="0" borderId="0" xfId="2" applyNumberFormat="1" applyFont="1" applyFill="1" applyBorder="1"/>
    <xf numFmtId="167" fontId="12" fillId="0" borderId="0" xfId="0" applyNumberFormat="1" applyFont="1" applyFill="1" applyBorder="1"/>
    <xf numFmtId="2" fontId="12" fillId="0" borderId="0" xfId="0" applyNumberFormat="1" applyFont="1" applyFill="1" applyBorder="1"/>
    <xf numFmtId="3" fontId="12" fillId="0" borderId="0" xfId="0" applyNumberFormat="1" applyFont="1" applyFill="1" applyBorder="1"/>
    <xf numFmtId="4" fontId="12" fillId="0" borderId="0" xfId="0" applyNumberFormat="1" applyFont="1" applyFill="1" applyBorder="1"/>
    <xf numFmtId="0" fontId="21" fillId="0" borderId="0" xfId="0" applyFont="1"/>
    <xf numFmtId="0" fontId="21" fillId="2" borderId="12" xfId="0" applyFont="1" applyFill="1" applyBorder="1" applyAlignment="1">
      <alignment horizontal="center" wrapText="1"/>
    </xf>
    <xf numFmtId="4" fontId="6" fillId="0" borderId="0" xfId="0" applyNumberFormat="1" applyFont="1" applyFill="1" applyBorder="1" applyAlignment="1">
      <alignment horizontal="right" vertical="center"/>
    </xf>
    <xf numFmtId="171" fontId="12" fillId="0" borderId="0" xfId="0" applyNumberFormat="1" applyFont="1"/>
    <xf numFmtId="167" fontId="12" fillId="0" borderId="0" xfId="0" applyNumberFormat="1" applyFont="1"/>
    <xf numFmtId="0" fontId="20" fillId="8" borderId="1" xfId="12" applyBorder="1" applyAlignment="1">
      <alignment horizontal="center"/>
    </xf>
    <xf numFmtId="0" fontId="12" fillId="0" borderId="1" xfId="0" applyFont="1" applyFill="1" applyBorder="1" applyAlignment="1">
      <alignment horizontal="left" wrapText="1"/>
    </xf>
    <xf numFmtId="0" fontId="12" fillId="0" borderId="0" xfId="0" applyFont="1" applyAlignment="1">
      <alignment horizontal="center"/>
    </xf>
    <xf numFmtId="0" fontId="17" fillId="7" borderId="13" xfId="0" applyFont="1" applyFill="1" applyBorder="1" applyAlignment="1">
      <alignment horizontal="center" vertical="center" wrapText="1"/>
    </xf>
    <xf numFmtId="0" fontId="17" fillId="7" borderId="1" xfId="0" applyFont="1" applyFill="1" applyBorder="1" applyAlignment="1">
      <alignment horizontal="center" vertical="center" wrapText="1"/>
    </xf>
    <xf numFmtId="167" fontId="12" fillId="0" borderId="0" xfId="0" applyNumberFormat="1" applyFont="1" applyFill="1"/>
    <xf numFmtId="0" fontId="12" fillId="0" borderId="10" xfId="0" applyFont="1" applyFill="1" applyBorder="1"/>
    <xf numFmtId="168" fontId="12" fillId="0" borderId="8" xfId="1" applyNumberFormat="1" applyFont="1" applyBorder="1" applyAlignment="1">
      <alignment horizontal="center" wrapText="1"/>
    </xf>
    <xf numFmtId="0" fontId="12" fillId="0" borderId="7" xfId="0" applyFont="1" applyFill="1" applyBorder="1"/>
    <xf numFmtId="0" fontId="12" fillId="0" borderId="9" xfId="0" applyFont="1" applyFill="1" applyBorder="1"/>
    <xf numFmtId="0" fontId="12" fillId="0" borderId="1" xfId="0" applyFont="1" applyFill="1" applyBorder="1" applyAlignment="1">
      <alignment wrapText="1"/>
    </xf>
    <xf numFmtId="0" fontId="12" fillId="10" borderId="1" xfId="0" applyFont="1" applyFill="1" applyBorder="1"/>
    <xf numFmtId="2" fontId="12" fillId="0" borderId="0" xfId="0" applyNumberFormat="1" applyFont="1"/>
    <xf numFmtId="174" fontId="15" fillId="0" borderId="1" xfId="1" applyNumberFormat="1" applyFont="1" applyBorder="1"/>
    <xf numFmtId="2" fontId="12" fillId="0" borderId="1" xfId="0" applyNumberFormat="1" applyFont="1" applyBorder="1"/>
    <xf numFmtId="0" fontId="12" fillId="0" borderId="13" xfId="0" applyFont="1" applyFill="1" applyBorder="1" applyAlignment="1">
      <alignment horizontal="center" vertical="center"/>
    </xf>
    <xf numFmtId="174" fontId="12" fillId="0" borderId="13" xfId="1" applyNumberFormat="1" applyFont="1" applyFill="1" applyBorder="1" applyAlignment="1">
      <alignment vertical="center"/>
    </xf>
    <xf numFmtId="0" fontId="15" fillId="0" borderId="7" xfId="0" applyFont="1" applyFill="1" applyBorder="1"/>
    <xf numFmtId="0" fontId="15" fillId="0" borderId="1" xfId="0" applyFont="1" applyFill="1" applyBorder="1"/>
    <xf numFmtId="167" fontId="15" fillId="0" borderId="1" xfId="0" applyNumberFormat="1" applyFont="1" applyFill="1" applyBorder="1" applyAlignment="1">
      <alignment horizontal="center"/>
    </xf>
    <xf numFmtId="172" fontId="12" fillId="0" borderId="0" xfId="0" applyNumberFormat="1" applyFont="1" applyBorder="1" applyAlignment="1">
      <alignment horizontal="center" wrapText="1"/>
    </xf>
    <xf numFmtId="0" fontId="12" fillId="0" borderId="0" xfId="0" applyFont="1" applyBorder="1" applyAlignment="1">
      <alignment horizontal="center" wrapText="1"/>
    </xf>
    <xf numFmtId="0" fontId="23" fillId="0" borderId="0" xfId="0" applyFont="1" applyFill="1" applyBorder="1"/>
    <xf numFmtId="0" fontId="12" fillId="5"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67" fontId="12" fillId="0" borderId="10" xfId="0" applyNumberFormat="1" applyFont="1" applyFill="1" applyBorder="1" applyAlignment="1">
      <alignment horizontal="right" vertical="center"/>
    </xf>
    <xf numFmtId="0" fontId="12" fillId="10" borderId="10" xfId="0" applyFont="1" applyFill="1" applyBorder="1"/>
    <xf numFmtId="0" fontId="24" fillId="0" borderId="0" xfId="0" applyFont="1"/>
    <xf numFmtId="0" fontId="15" fillId="2" borderId="1" xfId="0" applyFont="1" applyFill="1" applyBorder="1" applyAlignment="1">
      <alignment vertical="center" wrapText="1"/>
    </xf>
    <xf numFmtId="0" fontId="15" fillId="2" borderId="7" xfId="0" applyFont="1" applyFill="1" applyBorder="1" applyAlignment="1">
      <alignment vertical="center" wrapText="1"/>
    </xf>
    <xf numFmtId="0" fontId="12" fillId="2" borderId="1" xfId="0" applyFont="1" applyFill="1" applyBorder="1" applyAlignment="1">
      <alignment vertical="center"/>
    </xf>
    <xf numFmtId="0" fontId="12" fillId="0" borderId="1" xfId="0" applyFont="1" applyFill="1" applyBorder="1" applyAlignment="1">
      <alignment horizontal="center" vertical="center"/>
    </xf>
    <xf numFmtId="0" fontId="12" fillId="0" borderId="13" xfId="0" applyFont="1" applyFill="1" applyBorder="1"/>
    <xf numFmtId="174" fontId="12" fillId="0" borderId="13" xfId="1" applyNumberFormat="1" applyFont="1" applyFill="1" applyBorder="1"/>
    <xf numFmtId="164" fontId="12" fillId="0" borderId="13" xfId="0" applyNumberFormat="1" applyFont="1" applyFill="1" applyBorder="1"/>
    <xf numFmtId="174" fontId="12" fillId="0" borderId="8" xfId="0" applyNumberFormat="1" applyFont="1" applyFill="1" applyBorder="1"/>
    <xf numFmtId="174" fontId="15" fillId="0" borderId="7" xfId="1" applyNumberFormat="1" applyFont="1" applyFill="1" applyBorder="1"/>
    <xf numFmtId="174" fontId="15" fillId="0" borderId="1" xfId="1" applyNumberFormat="1" applyFont="1" applyFill="1" applyBorder="1"/>
    <xf numFmtId="0" fontId="17" fillId="12" borderId="13" xfId="0" applyFont="1" applyFill="1" applyBorder="1"/>
    <xf numFmtId="0" fontId="17" fillId="12" borderId="8" xfId="0" applyFont="1" applyFill="1" applyBorder="1" applyAlignment="1">
      <alignment horizontal="centerContinuous" wrapText="1"/>
    </xf>
    <xf numFmtId="0" fontId="18" fillId="0" borderId="11" xfId="0" applyFont="1" applyFill="1" applyBorder="1" applyAlignment="1">
      <alignment horizontal="centerContinuous"/>
    </xf>
    <xf numFmtId="167" fontId="15" fillId="0" borderId="1" xfId="0" applyNumberFormat="1" applyFont="1" applyBorder="1" applyAlignment="1">
      <alignment horizontal="center"/>
    </xf>
    <xf numFmtId="173" fontId="15" fillId="0" borderId="1" xfId="1" applyNumberFormat="1" applyFont="1" applyBorder="1"/>
    <xf numFmtId="0" fontId="6" fillId="0" borderId="1" xfId="0" applyFont="1" applyFill="1" applyBorder="1"/>
    <xf numFmtId="0" fontId="18" fillId="0" borderId="0" xfId="0" applyFont="1" applyFill="1" applyBorder="1" applyAlignment="1">
      <alignment horizontal="center"/>
    </xf>
    <xf numFmtId="166" fontId="12" fillId="0" borderId="1" xfId="0" applyNumberFormat="1" applyFont="1" applyFill="1" applyBorder="1" applyAlignment="1">
      <alignment horizontal="center" vertical="center" wrapText="1"/>
    </xf>
    <xf numFmtId="166" fontId="12" fillId="0" borderId="1" xfId="0" applyNumberFormat="1" applyFont="1" applyBorder="1"/>
    <xf numFmtId="166" fontId="0" fillId="0" borderId="0" xfId="0" applyNumberFormat="1"/>
    <xf numFmtId="0" fontId="12" fillId="0" borderId="1" xfId="0" applyFont="1" applyFill="1" applyBorder="1" applyAlignment="1">
      <alignment horizontal="center" wrapText="1"/>
    </xf>
    <xf numFmtId="2" fontId="0" fillId="0" borderId="0" xfId="0" applyNumberFormat="1"/>
    <xf numFmtId="0" fontId="6" fillId="16" borderId="1" xfId="0" applyFont="1" applyFill="1" applyBorder="1"/>
    <xf numFmtId="167" fontId="12" fillId="16" borderId="1" xfId="0" applyNumberFormat="1" applyFont="1" applyFill="1" applyBorder="1"/>
    <xf numFmtId="0" fontId="12" fillId="0" borderId="1" xfId="0" applyFont="1" applyFill="1" applyBorder="1" applyAlignment="1">
      <alignment vertical="center"/>
    </xf>
    <xf numFmtId="0" fontId="15" fillId="17" borderId="1" xfId="0" applyFont="1" applyFill="1" applyBorder="1" applyAlignment="1">
      <alignment horizontal="center" vertical="center" wrapText="1"/>
    </xf>
    <xf numFmtId="0" fontId="17" fillId="12" borderId="13" xfId="0" applyFont="1" applyFill="1" applyBorder="1" applyAlignment="1">
      <alignment horizontal="centerContinuous" vertical="center" wrapText="1"/>
    </xf>
    <xf numFmtId="0" fontId="17" fillId="15" borderId="13" xfId="0" applyFont="1" applyFill="1" applyBorder="1" applyAlignment="1">
      <alignment horizontal="centerContinuous" vertical="center" wrapText="1"/>
    </xf>
    <xf numFmtId="0" fontId="17" fillId="13" borderId="13" xfId="0" applyFont="1" applyFill="1" applyBorder="1" applyAlignment="1">
      <alignment horizontal="centerContinuous" vertical="center" wrapText="1"/>
    </xf>
    <xf numFmtId="0" fontId="17" fillId="9" borderId="8" xfId="0" applyFont="1" applyFill="1" applyBorder="1" applyAlignment="1">
      <alignment horizontal="centerContinuous" vertical="center" wrapText="1"/>
    </xf>
    <xf numFmtId="0" fontId="17" fillId="13" borderId="8" xfId="0" applyFont="1" applyFill="1" applyBorder="1" applyAlignment="1">
      <alignment horizontal="centerContinuous" vertical="center" wrapText="1"/>
    </xf>
    <xf numFmtId="0" fontId="17" fillId="14" borderId="8" xfId="0" applyFont="1" applyFill="1" applyBorder="1" applyAlignment="1">
      <alignment horizontal="centerContinuous" vertical="center" wrapText="1"/>
    </xf>
    <xf numFmtId="170" fontId="12" fillId="2" borderId="1" xfId="2" applyNumberFormat="1" applyFont="1" applyFill="1" applyBorder="1"/>
    <xf numFmtId="10" fontId="12" fillId="0" borderId="0" xfId="0" applyNumberFormat="1" applyFont="1"/>
    <xf numFmtId="0" fontId="8" fillId="13" borderId="3" xfId="0" applyFont="1" applyFill="1" applyBorder="1"/>
    <xf numFmtId="0" fontId="6" fillId="13" borderId="4" xfId="0" applyFont="1" applyFill="1" applyBorder="1"/>
    <xf numFmtId="0" fontId="6" fillId="13" borderId="5" xfId="0" applyFont="1" applyFill="1" applyBorder="1"/>
    <xf numFmtId="0" fontId="6" fillId="13" borderId="0" xfId="0" applyFont="1" applyFill="1" applyBorder="1"/>
    <xf numFmtId="0" fontId="8" fillId="13" borderId="5" xfId="0" applyFont="1" applyFill="1" applyBorder="1"/>
    <xf numFmtId="0" fontId="6" fillId="13" borderId="0" xfId="0" applyFont="1" applyFill="1" applyBorder="1" applyAlignment="1">
      <alignment horizontal="left"/>
    </xf>
    <xf numFmtId="0" fontId="10" fillId="13" borderId="5" xfId="0" applyFont="1" applyFill="1" applyBorder="1"/>
    <xf numFmtId="0" fontId="10" fillId="13" borderId="0" xfId="0" applyFont="1" applyFill="1" applyBorder="1"/>
    <xf numFmtId="0" fontId="6" fillId="13" borderId="0" xfId="0" quotePrefix="1" applyFont="1" applyFill="1" applyBorder="1" applyAlignment="1"/>
    <xf numFmtId="0" fontId="6" fillId="13" borderId="6" xfId="0" applyFont="1" applyFill="1" applyBorder="1"/>
    <xf numFmtId="0" fontId="6" fillId="13" borderId="2" xfId="0" applyFont="1" applyFill="1" applyBorder="1"/>
    <xf numFmtId="0" fontId="8" fillId="3" borderId="0" xfId="0" applyFont="1" applyFill="1"/>
    <xf numFmtId="0" fontId="26" fillId="3" borderId="0" xfId="0" applyFont="1" applyFill="1"/>
    <xf numFmtId="0" fontId="6" fillId="11" borderId="1" xfId="0" applyFont="1" applyFill="1" applyBorder="1"/>
    <xf numFmtId="170" fontId="12" fillId="11" borderId="1" xfId="2" applyNumberFormat="1" applyFont="1" applyFill="1" applyBorder="1"/>
    <xf numFmtId="9" fontId="12" fillId="18" borderId="1" xfId="2" applyFont="1" applyFill="1" applyBorder="1" applyAlignment="1">
      <alignment horizontal="center" vertical="center"/>
    </xf>
    <xf numFmtId="3" fontId="12" fillId="11" borderId="1" xfId="0" applyNumberFormat="1" applyFont="1" applyFill="1" applyBorder="1"/>
    <xf numFmtId="167" fontId="12" fillId="16" borderId="1" xfId="0" applyNumberFormat="1" applyFont="1" applyFill="1" applyBorder="1" applyAlignment="1">
      <alignment vertical="center"/>
    </xf>
    <xf numFmtId="9" fontId="12" fillId="11" borderId="1" xfId="2" applyFont="1" applyFill="1" applyBorder="1" applyAlignment="1">
      <alignment horizontal="center" vertical="center" wrapText="1"/>
    </xf>
    <xf numFmtId="0" fontId="25" fillId="2" borderId="1" xfId="0" applyFont="1" applyFill="1" applyBorder="1" applyAlignment="1">
      <alignment horizontal="center" vertical="center" wrapText="1"/>
    </xf>
    <xf numFmtId="174" fontId="12" fillId="0" borderId="1" xfId="1" applyNumberFormat="1" applyFont="1" applyFill="1" applyBorder="1"/>
    <xf numFmtId="9" fontId="12" fillId="11" borderId="1" xfId="2" applyFont="1" applyFill="1" applyBorder="1"/>
    <xf numFmtId="166" fontId="12" fillId="0" borderId="1" xfId="0" applyNumberFormat="1" applyFont="1" applyFill="1" applyBorder="1" applyAlignment="1">
      <alignment horizontal="right" vertical="center"/>
    </xf>
    <xf numFmtId="10" fontId="15" fillId="0" borderId="1" xfId="2" applyNumberFormat="1" applyFont="1" applyBorder="1" applyAlignment="1">
      <alignment wrapText="1"/>
    </xf>
    <xf numFmtId="9" fontId="12" fillId="0" borderId="1" xfId="2" applyFont="1" applyFill="1" applyBorder="1"/>
    <xf numFmtId="170" fontId="12" fillId="0" borderId="1" xfId="2" applyNumberFormat="1" applyFont="1" applyFill="1" applyBorder="1"/>
    <xf numFmtId="10" fontId="12" fillId="0" borderId="10" xfId="0" applyNumberFormat="1" applyFont="1" applyFill="1" applyBorder="1"/>
    <xf numFmtId="10" fontId="12" fillId="0" borderId="1" xfId="2" applyNumberFormat="1" applyFont="1" applyFill="1" applyBorder="1"/>
    <xf numFmtId="170" fontId="12" fillId="0" borderId="10" xfId="0" applyNumberFormat="1" applyFont="1" applyFill="1" applyBorder="1"/>
    <xf numFmtId="2" fontId="12" fillId="16" borderId="1" xfId="0" applyNumberFormat="1" applyFont="1" applyFill="1" applyBorder="1"/>
    <xf numFmtId="1" fontId="12" fillId="0" borderId="0" xfId="0" applyNumberFormat="1" applyFont="1"/>
    <xf numFmtId="0" fontId="12" fillId="0" borderId="1" xfId="0" applyFont="1" applyFill="1" applyBorder="1" applyAlignment="1">
      <alignment horizontal="centerContinuous"/>
    </xf>
    <xf numFmtId="0" fontId="11" fillId="0" borderId="1" xfId="5" applyFont="1" applyFill="1" applyBorder="1" applyAlignment="1">
      <alignment horizontal="center" vertical="center" wrapText="1"/>
    </xf>
    <xf numFmtId="0" fontId="11" fillId="0" borderId="14" xfId="5" applyFont="1" applyFill="1" applyBorder="1" applyAlignment="1">
      <alignment horizontal="center" vertical="center" wrapText="1"/>
    </xf>
    <xf numFmtId="173" fontId="12" fillId="0" borderId="13" xfId="0" applyNumberFormat="1" applyFont="1" applyFill="1" applyBorder="1"/>
    <xf numFmtId="173" fontId="15" fillId="0" borderId="7" xfId="1" applyNumberFormat="1" applyFont="1" applyFill="1" applyBorder="1"/>
    <xf numFmtId="173" fontId="12" fillId="0" borderId="8" xfId="0" applyNumberFormat="1" applyFont="1" applyFill="1" applyBorder="1"/>
    <xf numFmtId="173" fontId="15" fillId="0" borderId="1" xfId="1" applyNumberFormat="1" applyFont="1" applyFill="1" applyBorder="1"/>
    <xf numFmtId="173" fontId="15" fillId="0" borderId="1" xfId="0" applyNumberFormat="1" applyFont="1" applyFill="1" applyBorder="1"/>
    <xf numFmtId="0" fontId="27" fillId="0" borderId="0" xfId="0" applyFont="1"/>
    <xf numFmtId="169" fontId="12" fillId="11" borderId="1" xfId="0" applyNumberFormat="1" applyFont="1" applyFill="1" applyBorder="1"/>
    <xf numFmtId="2" fontId="12" fillId="12" borderId="1" xfId="0" applyNumberFormat="1" applyFont="1" applyFill="1" applyBorder="1"/>
    <xf numFmtId="1" fontId="12" fillId="12" borderId="1" xfId="0" applyNumberFormat="1" applyFont="1" applyFill="1" applyBorder="1"/>
    <xf numFmtId="0" fontId="6" fillId="13" borderId="0" xfId="0" quotePrefix="1" applyFont="1" applyFill="1" applyBorder="1" applyAlignment="1">
      <alignment horizontal="left" wrapText="1"/>
    </xf>
    <xf numFmtId="0" fontId="6" fillId="13" borderId="0" xfId="0" applyFont="1" applyFill="1" applyBorder="1" applyAlignment="1">
      <alignment horizontal="left" wrapText="1"/>
    </xf>
    <xf numFmtId="0" fontId="18" fillId="0" borderId="1" xfId="0" applyFont="1" applyBorder="1" applyAlignment="1">
      <alignment horizontal="center"/>
    </xf>
    <xf numFmtId="0" fontId="18" fillId="0" borderId="1" xfId="0" applyFont="1" applyFill="1" applyBorder="1" applyAlignment="1">
      <alignment horizontal="center"/>
    </xf>
  </cellXfs>
  <cellStyles count="14">
    <cellStyle name="Comma" xfId="1" builtinId="3"/>
    <cellStyle name="Good" xfId="12" builtinId="26"/>
    <cellStyle name="Normal" xfId="0" builtinId="0"/>
    <cellStyle name="Normal 12" xfId="9"/>
    <cellStyle name="Normal 2" xfId="3"/>
    <cellStyle name="Normal 2 2" xfId="5"/>
    <cellStyle name="Normal 2 4" xfId="6"/>
    <cellStyle name="Normal 20" xfId="4"/>
    <cellStyle name="Normal 3" xfId="13"/>
    <cellStyle name="Normal 4 2" xfId="11"/>
    <cellStyle name="Normal 7 2" xfId="10"/>
    <cellStyle name="Normal 7 5" xfId="7"/>
    <cellStyle name="Normal 7 7" xfId="8"/>
    <cellStyle name="Percent" xfId="2" builtinId="5"/>
  </cellStyles>
  <dxfs count="25">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6100"/>
      </font>
      <fill>
        <patternFill>
          <bgColor rgb="FFC6EFCE"/>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CC"/>
      <color rgb="FFA2DA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73011</xdr:colOff>
      <xdr:row>11</xdr:row>
      <xdr:rowOff>1226</xdr:rowOff>
    </xdr:from>
    <xdr:to>
      <xdr:col>8</xdr:col>
      <xdr:colOff>336298</xdr:colOff>
      <xdr:row>15</xdr:row>
      <xdr:rowOff>118858</xdr:rowOff>
    </xdr:to>
    <xdr:sp macro="" textlink="">
      <xdr:nvSpPr>
        <xdr:cNvPr id="2" name="TextBox 1"/>
        <xdr:cNvSpPr txBox="1"/>
      </xdr:nvSpPr>
      <xdr:spPr>
        <a:xfrm rot="20329305">
          <a:off x="3625836" y="1834789"/>
          <a:ext cx="1634887" cy="784382"/>
        </a:xfrm>
        <a:prstGeom prst="leftArrow">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rgbClr val="FF0000"/>
              </a:solidFill>
            </a:rPr>
            <a:t>This must be set on "Triangulation"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84043</xdr:colOff>
      <xdr:row>1</xdr:row>
      <xdr:rowOff>156881</xdr:rowOff>
    </xdr:from>
    <xdr:to>
      <xdr:col>41</xdr:col>
      <xdr:colOff>61631</xdr:colOff>
      <xdr:row>5</xdr:row>
      <xdr:rowOff>319366</xdr:rowOff>
    </xdr:to>
    <xdr:sp macro="" textlink="">
      <xdr:nvSpPr>
        <xdr:cNvPr id="3" name="Rectangle 2"/>
        <xdr:cNvSpPr/>
      </xdr:nvSpPr>
      <xdr:spPr>
        <a:xfrm>
          <a:off x="26765249" y="358587"/>
          <a:ext cx="2577353" cy="12270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Our modelled costs</a:t>
          </a:r>
          <a:r>
            <a:rPr lang="en-GB" sz="1100" baseline="0"/>
            <a:t> are in real (2017-18) prices. As set out in our final methodology, we do not index the residential retail controls to a general inflation measure. As a result, real modelled costs are equal to nominal modelled costs.</a:t>
          </a:r>
          <a:endParaRPr lang="en-GB" sz="1100"/>
        </a:p>
      </xdr:txBody>
    </xdr: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7"/>
  <sheetViews>
    <sheetView showGridLines="0" tabSelected="1" zoomScale="80" zoomScaleNormal="80" workbookViewId="0"/>
  </sheetViews>
  <sheetFormatPr defaultColWidth="8.58203125" defaultRowHeight="14.5" x14ac:dyDescent="0.35"/>
  <cols>
    <col min="1" max="1" width="4.08203125" style="3" customWidth="1"/>
    <col min="2" max="2" width="42.58203125" style="3" customWidth="1"/>
    <col min="3" max="19" width="8.58203125" style="3"/>
    <col min="20" max="20" width="34.83203125" style="3" customWidth="1"/>
    <col min="21" max="16384" width="8.58203125" style="3"/>
  </cols>
  <sheetData>
    <row r="1" spans="1:20" ht="18.5" x14ac:dyDescent="0.45">
      <c r="A1" s="2" t="s">
        <v>213</v>
      </c>
    </row>
    <row r="2" spans="1:20" s="5" customFormat="1" x14ac:dyDescent="0.35">
      <c r="A2" s="4"/>
    </row>
    <row r="3" spans="1:20" s="7" customFormat="1" x14ac:dyDescent="0.35">
      <c r="A3" s="6"/>
    </row>
    <row r="4" spans="1:20" x14ac:dyDescent="0.35">
      <c r="B4" s="147" t="s">
        <v>18</v>
      </c>
    </row>
    <row r="5" spans="1:20" x14ac:dyDescent="0.35">
      <c r="B5" s="3" t="s">
        <v>142</v>
      </c>
    </row>
    <row r="7" spans="1:20" x14ac:dyDescent="0.35">
      <c r="B7" s="147" t="s">
        <v>8</v>
      </c>
      <c r="C7" s="8"/>
      <c r="D7" s="8"/>
      <c r="E7" s="8"/>
      <c r="F7" s="8"/>
      <c r="G7" s="8"/>
      <c r="H7" s="8"/>
      <c r="I7" s="8"/>
      <c r="J7" s="7"/>
      <c r="K7" s="7"/>
      <c r="L7" s="7"/>
      <c r="M7" s="7"/>
      <c r="N7" s="7"/>
      <c r="O7" s="7"/>
      <c r="P7" s="7"/>
      <c r="Q7" s="7"/>
      <c r="R7" s="7"/>
      <c r="S7" s="7"/>
      <c r="T7" s="7"/>
    </row>
    <row r="8" spans="1:20" x14ac:dyDescent="0.35">
      <c r="B8" s="149" t="s">
        <v>339</v>
      </c>
      <c r="C8" s="7"/>
      <c r="D8" s="7"/>
      <c r="E8" s="7"/>
      <c r="F8" s="7"/>
      <c r="G8" s="7"/>
      <c r="H8" s="7"/>
      <c r="I8" s="7"/>
      <c r="J8" s="7"/>
      <c r="K8" s="7"/>
      <c r="L8" s="7"/>
      <c r="M8" s="7"/>
      <c r="N8" s="7"/>
      <c r="O8" s="7"/>
      <c r="P8" s="7"/>
      <c r="Q8" s="7"/>
      <c r="R8" s="7"/>
      <c r="S8" s="7"/>
      <c r="T8" s="7"/>
    </row>
    <row r="9" spans="1:20" x14ac:dyDescent="0.35">
      <c r="B9" s="124" t="s">
        <v>305</v>
      </c>
      <c r="C9" s="7"/>
      <c r="D9" s="7"/>
      <c r="E9" s="7"/>
      <c r="F9" s="7"/>
      <c r="G9" s="7"/>
      <c r="H9" s="7"/>
      <c r="I9" s="7"/>
      <c r="J9" s="7"/>
      <c r="K9" s="7"/>
      <c r="L9" s="7"/>
      <c r="M9" s="7"/>
      <c r="N9" s="7"/>
      <c r="O9" s="7"/>
      <c r="P9" s="7"/>
      <c r="Q9" s="7"/>
      <c r="R9" s="7"/>
      <c r="S9" s="7"/>
      <c r="T9" s="7"/>
    </row>
    <row r="10" spans="1:20" x14ac:dyDescent="0.35">
      <c r="B10" s="9"/>
      <c r="C10" s="7"/>
      <c r="D10" s="7"/>
      <c r="E10" s="7"/>
      <c r="F10" s="7"/>
      <c r="G10" s="7"/>
      <c r="H10" s="7"/>
      <c r="I10" s="7"/>
      <c r="J10" s="7"/>
      <c r="K10" s="7"/>
      <c r="L10" s="7"/>
      <c r="M10" s="7"/>
      <c r="N10" s="7"/>
      <c r="O10" s="7"/>
      <c r="P10" s="7"/>
      <c r="Q10" s="7"/>
      <c r="R10" s="7"/>
      <c r="S10" s="7"/>
      <c r="T10" s="7"/>
    </row>
    <row r="11" spans="1:20" x14ac:dyDescent="0.35">
      <c r="B11" s="136" t="s">
        <v>18</v>
      </c>
      <c r="C11" s="137"/>
      <c r="D11" s="137"/>
      <c r="E11" s="137"/>
      <c r="F11" s="137"/>
      <c r="G11" s="137"/>
      <c r="H11" s="137"/>
      <c r="I11" s="137"/>
      <c r="J11" s="137"/>
      <c r="K11" s="137"/>
      <c r="L11" s="137"/>
      <c r="M11" s="137"/>
      <c r="N11" s="137"/>
      <c r="O11" s="137"/>
      <c r="P11" s="137"/>
      <c r="Q11" s="137"/>
      <c r="R11" s="137"/>
      <c r="S11" s="137"/>
      <c r="T11" s="137"/>
    </row>
    <row r="12" spans="1:20" x14ac:dyDescent="0.35">
      <c r="B12" s="138" t="s">
        <v>298</v>
      </c>
      <c r="C12" s="139"/>
      <c r="D12" s="139"/>
      <c r="E12" s="139"/>
      <c r="F12" s="139"/>
      <c r="G12" s="139"/>
      <c r="H12" s="139"/>
      <c r="I12" s="139"/>
      <c r="J12" s="139"/>
      <c r="K12" s="139"/>
      <c r="L12" s="139"/>
      <c r="M12" s="139"/>
      <c r="N12" s="139"/>
      <c r="O12" s="139"/>
      <c r="P12" s="139"/>
      <c r="Q12" s="139"/>
      <c r="R12" s="139"/>
      <c r="S12" s="139"/>
      <c r="T12" s="139"/>
    </row>
    <row r="13" spans="1:20" x14ac:dyDescent="0.35">
      <c r="B13" s="138"/>
      <c r="C13" s="139"/>
      <c r="D13" s="139"/>
      <c r="E13" s="139"/>
      <c r="F13" s="139"/>
      <c r="G13" s="139"/>
      <c r="H13" s="139"/>
      <c r="I13" s="139"/>
      <c r="J13" s="139"/>
      <c r="K13" s="139"/>
      <c r="L13" s="139"/>
      <c r="M13" s="139"/>
      <c r="N13" s="139"/>
      <c r="O13" s="139"/>
      <c r="P13" s="139"/>
      <c r="Q13" s="139"/>
      <c r="R13" s="139"/>
      <c r="S13" s="139"/>
      <c r="T13" s="139"/>
    </row>
    <row r="14" spans="1:20" x14ac:dyDescent="0.35">
      <c r="B14" s="140" t="s">
        <v>299</v>
      </c>
      <c r="C14" s="141"/>
      <c r="D14" s="139"/>
      <c r="E14" s="139"/>
      <c r="F14" s="139"/>
      <c r="G14" s="139"/>
      <c r="H14" s="139"/>
      <c r="I14" s="139"/>
      <c r="J14" s="139"/>
      <c r="K14" s="139"/>
      <c r="L14" s="139"/>
      <c r="M14" s="139"/>
      <c r="N14" s="139"/>
      <c r="O14" s="139"/>
      <c r="P14" s="139"/>
      <c r="Q14" s="139"/>
      <c r="R14" s="139"/>
      <c r="S14" s="139"/>
      <c r="T14" s="139"/>
    </row>
    <row r="15" spans="1:20" x14ac:dyDescent="0.35">
      <c r="B15" s="142" t="s">
        <v>300</v>
      </c>
      <c r="C15" s="179" t="s">
        <v>347</v>
      </c>
      <c r="D15" s="179"/>
      <c r="E15" s="179"/>
      <c r="F15" s="179"/>
      <c r="G15" s="179"/>
      <c r="H15" s="179"/>
      <c r="I15" s="179"/>
      <c r="J15" s="179"/>
      <c r="K15" s="179"/>
      <c r="L15" s="179"/>
      <c r="M15" s="179"/>
      <c r="N15" s="179"/>
      <c r="O15" s="179"/>
      <c r="P15" s="179"/>
      <c r="Q15" s="179"/>
      <c r="R15" s="179"/>
      <c r="S15" s="179"/>
      <c r="T15" s="179"/>
    </row>
    <row r="16" spans="1:20" x14ac:dyDescent="0.35">
      <c r="B16" s="142"/>
      <c r="C16" s="179"/>
      <c r="D16" s="179"/>
      <c r="E16" s="179"/>
      <c r="F16" s="179"/>
      <c r="G16" s="179"/>
      <c r="H16" s="179"/>
      <c r="I16" s="179"/>
      <c r="J16" s="179"/>
      <c r="K16" s="179"/>
      <c r="L16" s="179"/>
      <c r="M16" s="179"/>
      <c r="N16" s="179"/>
      <c r="O16" s="179"/>
      <c r="P16" s="179"/>
      <c r="Q16" s="179"/>
      <c r="R16" s="179"/>
      <c r="S16" s="179"/>
      <c r="T16" s="179"/>
    </row>
    <row r="17" spans="2:20" x14ac:dyDescent="0.35">
      <c r="B17" s="138" t="s">
        <v>224</v>
      </c>
      <c r="C17" s="141" t="s">
        <v>301</v>
      </c>
      <c r="D17" s="139"/>
      <c r="E17" s="139"/>
      <c r="F17" s="139"/>
      <c r="G17" s="139"/>
      <c r="H17" s="139"/>
      <c r="I17" s="139"/>
      <c r="J17" s="139"/>
      <c r="K17" s="139"/>
      <c r="L17" s="139"/>
      <c r="M17" s="139"/>
      <c r="N17" s="139"/>
      <c r="O17" s="139"/>
      <c r="P17" s="139"/>
      <c r="Q17" s="139"/>
      <c r="R17" s="139"/>
      <c r="S17" s="139"/>
      <c r="T17" s="139"/>
    </row>
    <row r="18" spans="2:20" x14ac:dyDescent="0.35">
      <c r="B18" s="138" t="s">
        <v>223</v>
      </c>
      <c r="C18" s="141" t="s">
        <v>342</v>
      </c>
      <c r="D18" s="139"/>
      <c r="E18" s="139"/>
      <c r="F18" s="139"/>
      <c r="G18" s="139"/>
      <c r="H18" s="139"/>
      <c r="I18" s="139"/>
      <c r="J18" s="139"/>
      <c r="K18" s="139"/>
      <c r="L18" s="139"/>
      <c r="M18" s="139"/>
      <c r="N18" s="139"/>
      <c r="O18" s="139"/>
      <c r="P18" s="139"/>
      <c r="Q18" s="139"/>
      <c r="R18" s="139"/>
      <c r="S18" s="139"/>
      <c r="T18" s="139"/>
    </row>
    <row r="19" spans="2:20" x14ac:dyDescent="0.35">
      <c r="B19" s="138" t="s">
        <v>145</v>
      </c>
      <c r="C19" s="143" t="s">
        <v>343</v>
      </c>
      <c r="D19" s="139"/>
      <c r="E19" s="139"/>
      <c r="F19" s="139"/>
      <c r="G19" s="139"/>
      <c r="H19" s="139"/>
      <c r="I19" s="139"/>
      <c r="J19" s="139"/>
      <c r="K19" s="139"/>
      <c r="L19" s="139"/>
      <c r="M19" s="139"/>
      <c r="N19" s="139"/>
      <c r="O19" s="139"/>
      <c r="P19" s="139"/>
      <c r="Q19" s="139"/>
      <c r="R19" s="139"/>
      <c r="S19" s="139"/>
      <c r="T19" s="139"/>
    </row>
    <row r="20" spans="2:20" x14ac:dyDescent="0.35">
      <c r="B20" s="138"/>
      <c r="C20" s="180" t="s">
        <v>344</v>
      </c>
      <c r="D20" s="180"/>
      <c r="E20" s="180"/>
      <c r="F20" s="180"/>
      <c r="G20" s="180"/>
      <c r="H20" s="180"/>
      <c r="I20" s="180"/>
      <c r="J20" s="180"/>
      <c r="K20" s="180"/>
      <c r="L20" s="180"/>
      <c r="M20" s="180"/>
      <c r="N20" s="180"/>
      <c r="O20" s="180"/>
      <c r="P20" s="180"/>
      <c r="Q20" s="180"/>
      <c r="R20" s="180"/>
      <c r="S20" s="180"/>
      <c r="T20" s="180"/>
    </row>
    <row r="21" spans="2:20" x14ac:dyDescent="0.35">
      <c r="B21" s="138"/>
      <c r="C21" s="180"/>
      <c r="D21" s="180"/>
      <c r="E21" s="180"/>
      <c r="F21" s="180"/>
      <c r="G21" s="180"/>
      <c r="H21" s="180"/>
      <c r="I21" s="180"/>
      <c r="J21" s="180"/>
      <c r="K21" s="180"/>
      <c r="L21" s="180"/>
      <c r="M21" s="180"/>
      <c r="N21" s="180"/>
      <c r="O21" s="180"/>
      <c r="P21" s="180"/>
      <c r="Q21" s="180"/>
      <c r="R21" s="180"/>
      <c r="S21" s="180"/>
      <c r="T21" s="180"/>
    </row>
    <row r="22" spans="2:20" x14ac:dyDescent="0.35">
      <c r="B22" s="138" t="s">
        <v>214</v>
      </c>
      <c r="C22" s="139" t="s">
        <v>345</v>
      </c>
      <c r="D22" s="139"/>
      <c r="E22" s="139"/>
      <c r="F22" s="139"/>
      <c r="G22" s="139"/>
      <c r="H22" s="139"/>
      <c r="I22" s="139"/>
      <c r="J22" s="139"/>
      <c r="K22" s="139"/>
      <c r="L22" s="139"/>
      <c r="M22" s="139"/>
      <c r="N22" s="139"/>
      <c r="O22" s="139"/>
      <c r="P22" s="139"/>
      <c r="Q22" s="139"/>
      <c r="R22" s="139"/>
      <c r="S22" s="139"/>
      <c r="T22" s="139"/>
    </row>
    <row r="23" spans="2:20" x14ac:dyDescent="0.35">
      <c r="B23" s="138"/>
      <c r="C23" s="144" t="s">
        <v>346</v>
      </c>
      <c r="D23" s="139"/>
      <c r="E23" s="139"/>
      <c r="F23" s="139"/>
      <c r="G23" s="139"/>
      <c r="H23" s="139"/>
      <c r="I23" s="139"/>
      <c r="J23" s="139"/>
      <c r="K23" s="139"/>
      <c r="L23" s="139"/>
      <c r="M23" s="139"/>
      <c r="N23" s="139"/>
      <c r="O23" s="139"/>
      <c r="P23" s="139"/>
      <c r="Q23" s="139"/>
      <c r="R23" s="139"/>
      <c r="S23" s="139"/>
      <c r="T23" s="139"/>
    </row>
    <row r="24" spans="2:20" x14ac:dyDescent="0.35">
      <c r="B24" s="145"/>
      <c r="C24" s="146"/>
      <c r="D24" s="139"/>
      <c r="E24" s="146"/>
      <c r="F24" s="146"/>
      <c r="G24" s="146"/>
      <c r="H24" s="146"/>
      <c r="I24" s="146"/>
      <c r="J24" s="146"/>
      <c r="K24" s="146"/>
      <c r="L24" s="146"/>
      <c r="M24" s="146"/>
      <c r="N24" s="146"/>
      <c r="O24" s="146"/>
      <c r="P24" s="146"/>
      <c r="Q24" s="146"/>
      <c r="R24" s="146"/>
      <c r="S24" s="146"/>
      <c r="T24" s="146"/>
    </row>
    <row r="26" spans="2:20" x14ac:dyDescent="0.35">
      <c r="B26" s="148"/>
    </row>
    <row r="27" spans="2:20" x14ac:dyDescent="0.35">
      <c r="B27" s="60"/>
    </row>
  </sheetData>
  <mergeCells count="2">
    <mergeCell ref="C15:T16"/>
    <mergeCell ref="C20:T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97"/>
  <sheetViews>
    <sheetView showGridLines="0" zoomScale="85" zoomScaleNormal="85" workbookViewId="0"/>
  </sheetViews>
  <sheetFormatPr defaultRowHeight="14" x14ac:dyDescent="0.3"/>
  <cols>
    <col min="2" max="2" width="11" customWidth="1"/>
    <col min="3" max="3" width="9.83203125" customWidth="1"/>
    <col min="4" max="4" width="19.5" customWidth="1"/>
    <col min="5" max="5" width="21.33203125" customWidth="1"/>
    <col min="6" max="7" width="17.58203125" customWidth="1"/>
    <col min="8" max="8" width="1.83203125" style="16" customWidth="1"/>
    <col min="9" max="9" width="17" bestFit="1" customWidth="1"/>
    <col min="10" max="10" width="13.5" customWidth="1"/>
    <col min="11" max="11" width="11.25" customWidth="1"/>
    <col min="12" max="12" width="14.83203125" bestFit="1" customWidth="1"/>
    <col min="13" max="13" width="11.08203125" customWidth="1"/>
  </cols>
  <sheetData>
    <row r="1" spans="1:13" x14ac:dyDescent="0.3">
      <c r="A1" s="69" t="s">
        <v>189</v>
      </c>
      <c r="B1" s="70">
        <f>COUNTA(A4:A88)</f>
        <v>85</v>
      </c>
      <c r="D1" s="182" t="s">
        <v>227</v>
      </c>
      <c r="E1" s="182"/>
      <c r="F1" s="182"/>
      <c r="G1" s="118"/>
      <c r="I1" s="181" t="s">
        <v>226</v>
      </c>
      <c r="J1" s="181"/>
      <c r="K1" s="181"/>
      <c r="L1" s="181"/>
      <c r="M1" s="181"/>
    </row>
    <row r="2" spans="1:13" ht="24.75" customHeight="1" x14ac:dyDescent="0.3">
      <c r="D2" s="43" t="s">
        <v>231</v>
      </c>
      <c r="E2" s="43" t="s">
        <v>229</v>
      </c>
      <c r="F2" s="43" t="s">
        <v>230</v>
      </c>
      <c r="G2" s="119" t="s">
        <v>235</v>
      </c>
      <c r="I2" s="105" t="s">
        <v>286</v>
      </c>
      <c r="J2" s="105" t="s">
        <v>244</v>
      </c>
      <c r="K2" s="105"/>
      <c r="L2" s="105" t="s">
        <v>252</v>
      </c>
      <c r="M2" s="43" t="s">
        <v>304</v>
      </c>
    </row>
    <row r="3" spans="1:13" ht="52" x14ac:dyDescent="0.3">
      <c r="A3" s="102" t="s">
        <v>222</v>
      </c>
      <c r="B3" s="102" t="s">
        <v>37</v>
      </c>
      <c r="C3" s="102" t="s">
        <v>202</v>
      </c>
      <c r="D3" s="43" t="s">
        <v>295</v>
      </c>
      <c r="E3" s="43" t="s">
        <v>309</v>
      </c>
      <c r="F3" s="43" t="s">
        <v>310</v>
      </c>
      <c r="G3" s="119" t="s">
        <v>296</v>
      </c>
      <c r="H3" s="10"/>
      <c r="I3" s="43" t="s">
        <v>311</v>
      </c>
      <c r="J3" s="43" t="s">
        <v>312</v>
      </c>
      <c r="K3" s="43" t="s">
        <v>297</v>
      </c>
      <c r="L3" s="43" t="s">
        <v>341</v>
      </c>
      <c r="M3" s="43" t="s">
        <v>304</v>
      </c>
    </row>
    <row r="4" spans="1:13" x14ac:dyDescent="0.3">
      <c r="A4" s="104" t="s">
        <v>56</v>
      </c>
      <c r="B4" s="17" t="s">
        <v>19</v>
      </c>
      <c r="C4" s="17" t="s">
        <v>47</v>
      </c>
      <c r="D4" s="88">
        <f>(M4*1000)/L4</f>
        <v>26.799403417932478</v>
      </c>
      <c r="E4" s="88">
        <f>J4*K4</f>
        <v>2.2022567250938927</v>
      </c>
      <c r="F4" s="88">
        <f>I4</f>
        <v>0.78299791390601536</v>
      </c>
      <c r="G4" s="120">
        <v>0</v>
      </c>
      <c r="H4" s="11"/>
      <c r="I4" s="177">
        <f>INDEX(Inputs!$F$2:$S$544,MATCH($B4&amp;I$2,Inputs!$S$2:$S$544,0),MATCH($C4,Inputs!$F$2:$S$2,0))</f>
        <v>0.78299791390601536</v>
      </c>
      <c r="J4" s="177">
        <f>INDEX(Inputs!$F$2:$S$544,MATCH($B4&amp;J$2,Inputs!$S$2:$S$544,0),MATCH($C4,Inputs!$F$2:$S$2,0))</f>
        <v>2.6040541400203652</v>
      </c>
      <c r="K4" s="177">
        <f>Controls!$F$17</f>
        <v>0.84570312546446125</v>
      </c>
      <c r="L4" s="178">
        <f>INDEX(Inputs!$F$2:$S$544,MATCH($B4&amp;L$2,Inputs!$S$2:$S$544,0),MATCH($C4,Inputs!$F$2:$S$2,0))</f>
        <v>2917.2750000000001</v>
      </c>
      <c r="M4" s="177">
        <f>INDEX('Modelled costs'!$AD$7:$AD$106, MATCH($A4, 'Modelled costs'!$A$7:$A$106, 0))</f>
        <v>78.181229606048973</v>
      </c>
    </row>
    <row r="5" spans="1:13" x14ac:dyDescent="0.3">
      <c r="A5" s="104" t="s">
        <v>57</v>
      </c>
      <c r="B5" s="17" t="s">
        <v>19</v>
      </c>
      <c r="C5" s="17" t="s">
        <v>48</v>
      </c>
      <c r="D5" s="88">
        <f>(M5*1000)/L5</f>
        <v>26.725872130518503</v>
      </c>
      <c r="E5" s="88">
        <f t="shared" ref="E5:E68" si="0">J5*K5</f>
        <v>2.2337137590977543</v>
      </c>
      <c r="F5" s="88">
        <f t="shared" ref="F5:F68" si="1">I5</f>
        <v>0.78419304985538463</v>
      </c>
      <c r="G5" s="120">
        <v>0</v>
      </c>
      <c r="H5" s="14"/>
      <c r="I5" s="177">
        <f>INDEX(Inputs!$F$2:$S$544,MATCH($B5&amp;I$2,Inputs!$S$2:$S$544,0),MATCH($C5,Inputs!$F$2:$S$2,0))</f>
        <v>0.78419304985538463</v>
      </c>
      <c r="J5" s="177">
        <f>INDEX(Inputs!$F$2:$S$544,MATCH($B5&amp;J$2,Inputs!$S$2:$S$544,0),MATCH($C5,Inputs!$F$2:$S$2,0))</f>
        <v>2.6412504481061196</v>
      </c>
      <c r="K5" s="177">
        <f>Controls!$F$17</f>
        <v>0.84570312546446125</v>
      </c>
      <c r="L5" s="178">
        <f>INDEX(Inputs!$F$2:$S$544,MATCH($B5&amp;L$2,Inputs!$S$2:$S$544,0),MATCH($C5,Inputs!$F$2:$S$2,0))</f>
        <v>2961.9449999999997</v>
      </c>
      <c r="M5" s="177">
        <f>INDEX('Modelled costs'!$AD$7:$AD$106, MATCH($A5, 'Modelled costs'!$A$7:$A$106, 0))</f>
        <v>79.160563327628623</v>
      </c>
    </row>
    <row r="6" spans="1:13" x14ac:dyDescent="0.3">
      <c r="A6" s="104" t="s">
        <v>58</v>
      </c>
      <c r="B6" s="17" t="s">
        <v>19</v>
      </c>
      <c r="C6" s="17" t="s">
        <v>49</v>
      </c>
      <c r="D6" s="88">
        <f t="shared" ref="D6:D68" si="2">(M6*1000)/L6</f>
        <v>26.839089284525095</v>
      </c>
      <c r="E6" s="88">
        <f t="shared" si="0"/>
        <v>1.9208447386848213</v>
      </c>
      <c r="F6" s="88">
        <f t="shared" si="1"/>
        <v>0.78233635298079618</v>
      </c>
      <c r="G6" s="120">
        <v>0</v>
      </c>
      <c r="H6" s="14"/>
      <c r="I6" s="177">
        <f>INDEX(Inputs!$F$2:$S$544,MATCH($B6&amp;I$2,Inputs!$S$2:$S$544,0),MATCH($C6,Inputs!$F$2:$S$2,0))</f>
        <v>0.78233635298079618</v>
      </c>
      <c r="J6" s="177">
        <f>INDEX(Inputs!$F$2:$S$544,MATCH($B6&amp;J$2,Inputs!$S$2:$S$544,0),MATCH($C6,Inputs!$F$2:$S$2,0))</f>
        <v>2.2712990892990859</v>
      </c>
      <c r="K6" s="177">
        <f>Controls!$F$17</f>
        <v>0.84570312546446125</v>
      </c>
      <c r="L6" s="178">
        <f>INDEX(Inputs!$F$2:$S$544,MATCH($B6&amp;L$2,Inputs!$S$2:$S$544,0),MATCH($C6,Inputs!$F$2:$S$2,0))</f>
        <v>3002.6620000000003</v>
      </c>
      <c r="M6" s="177">
        <f>INDEX('Modelled costs'!$AD$7:$AD$106, MATCH($A6, 'Modelled costs'!$A$7:$A$106, 0))</f>
        <v>80.588713509250695</v>
      </c>
    </row>
    <row r="7" spans="1:13" x14ac:dyDescent="0.3">
      <c r="A7" s="104" t="s">
        <v>59</v>
      </c>
      <c r="B7" s="17" t="s">
        <v>19</v>
      </c>
      <c r="C7" s="17" t="s">
        <v>50</v>
      </c>
      <c r="D7" s="88">
        <f t="shared" si="2"/>
        <v>26.95349541257033</v>
      </c>
      <c r="E7" s="88">
        <f t="shared" si="0"/>
        <v>1.4945881875854614</v>
      </c>
      <c r="F7" s="88">
        <f t="shared" si="1"/>
        <v>0.78201824386465346</v>
      </c>
      <c r="G7" s="120">
        <v>0</v>
      </c>
      <c r="H7" s="14"/>
      <c r="I7" s="177">
        <f>INDEX(Inputs!$F$2:$S$544,MATCH($B7&amp;I$2,Inputs!$S$2:$S$544,0),MATCH($C7,Inputs!$F$2:$S$2,0))</f>
        <v>0.78201824386465346</v>
      </c>
      <c r="J7" s="177">
        <f>INDEX(Inputs!$F$2:$S$544,MATCH($B7&amp;J$2,Inputs!$S$2:$S$544,0),MATCH($C7,Inputs!$F$2:$S$2,0))</f>
        <v>1.7672728674907423</v>
      </c>
      <c r="K7" s="177">
        <f>Controls!$F$17</f>
        <v>0.84570312546446125</v>
      </c>
      <c r="L7" s="178">
        <f>INDEX(Inputs!$F$2:$S$544,MATCH($B7&amp;L$2,Inputs!$S$2:$S$544,0),MATCH($C7,Inputs!$F$2:$S$2,0))</f>
        <v>3041.4850000000001</v>
      </c>
      <c r="M7" s="177">
        <f>INDEX('Modelled costs'!$AD$7:$AD$106, MATCH($A7, 'Modelled costs'!$A$7:$A$106, 0))</f>
        <v>81.978651994901483</v>
      </c>
    </row>
    <row r="8" spans="1:13" x14ac:dyDescent="0.3">
      <c r="A8" s="104" t="s">
        <v>60</v>
      </c>
      <c r="B8" s="17" t="s">
        <v>19</v>
      </c>
      <c r="C8" s="17" t="s">
        <v>51</v>
      </c>
      <c r="D8" s="88">
        <f t="shared" si="2"/>
        <v>26.988622348177689</v>
      </c>
      <c r="E8" s="88">
        <f t="shared" si="0"/>
        <v>1.0498749376519438</v>
      </c>
      <c r="F8" s="88">
        <f t="shared" si="1"/>
        <v>0.78227813693340209</v>
      </c>
      <c r="G8" s="120">
        <v>0</v>
      </c>
      <c r="H8" s="14"/>
      <c r="I8" s="177">
        <f>INDEX(Inputs!$F$2:$S$544,MATCH($B8&amp;I$2,Inputs!$S$2:$S$544,0),MATCH($C8,Inputs!$F$2:$S$2,0))</f>
        <v>0.78227813693340209</v>
      </c>
      <c r="J8" s="177">
        <f>INDEX(Inputs!$F$2:$S$544,MATCH($B8&amp;J$2,Inputs!$S$2:$S$544,0),MATCH($C8,Inputs!$F$2:$S$2,0))</f>
        <v>1.2414225583893299</v>
      </c>
      <c r="K8" s="177">
        <f>Controls!$F$17</f>
        <v>0.84570312546446125</v>
      </c>
      <c r="L8" s="178">
        <f>INDEX(Inputs!$F$2:$S$544,MATCH($B8&amp;L$2,Inputs!$S$2:$S$544,0),MATCH($C8,Inputs!$F$2:$S$2,0))</f>
        <v>3078.306</v>
      </c>
      <c r="M8" s="177">
        <f>INDEX('Modelled costs'!$AD$7:$AD$106, MATCH($A8, 'Modelled costs'!$A$7:$A$106, 0))</f>
        <v>83.079238106129466</v>
      </c>
    </row>
    <row r="9" spans="1:13" x14ac:dyDescent="0.3">
      <c r="A9" s="104" t="s">
        <v>61</v>
      </c>
      <c r="B9" s="17" t="s">
        <v>20</v>
      </c>
      <c r="C9" s="17" t="s">
        <v>47</v>
      </c>
      <c r="D9" s="88">
        <f t="shared" si="2"/>
        <v>25.045349423178806</v>
      </c>
      <c r="E9" s="88">
        <f t="shared" si="0"/>
        <v>2.0695654406765058</v>
      </c>
      <c r="F9" s="88">
        <f t="shared" si="1"/>
        <v>2.0008470109923326</v>
      </c>
      <c r="G9" s="120">
        <v>0</v>
      </c>
      <c r="H9" s="14"/>
      <c r="I9" s="177">
        <f>INDEX(Inputs!$F$2:$S$544,MATCH($B9&amp;I$2,Inputs!$S$2:$S$544,0),MATCH($C9,Inputs!$F$2:$S$2,0))</f>
        <v>2.0008470109923326</v>
      </c>
      <c r="J9" s="177">
        <f>INDEX(Inputs!$F$2:$S$544,MATCH($B9&amp;J$2,Inputs!$S$2:$S$544,0),MATCH($C9,Inputs!$F$2:$S$2,0))</f>
        <v>2.4471535913266229</v>
      </c>
      <c r="K9" s="177">
        <f>Controls!$F$17</f>
        <v>0.84570312546446125</v>
      </c>
      <c r="L9" s="178">
        <f>INDEX(Inputs!$F$2:$S$544,MATCH($B9&amp;L$2,Inputs!$S$2:$S$544,0),MATCH($C9,Inputs!$F$2:$S$2,0))</f>
        <v>1954.1489999999999</v>
      </c>
      <c r="M9" s="177">
        <f>INDEX('Modelled costs'!$AD$7:$AD$106, MATCH($A9, 'Modelled costs'!$A$7:$A$106, 0))</f>
        <v>48.942344529955434</v>
      </c>
    </row>
    <row r="10" spans="1:13" x14ac:dyDescent="0.3">
      <c r="A10" s="104" t="s">
        <v>62</v>
      </c>
      <c r="B10" s="17" t="s">
        <v>20</v>
      </c>
      <c r="C10" s="17" t="s">
        <v>48</v>
      </c>
      <c r="D10" s="88">
        <f t="shared" si="2"/>
        <v>25.085360022186364</v>
      </c>
      <c r="E10" s="88">
        <f t="shared" si="0"/>
        <v>2.0807624509088449</v>
      </c>
      <c r="F10" s="88">
        <f t="shared" si="1"/>
        <v>1.9997044145873442</v>
      </c>
      <c r="G10" s="120">
        <v>0</v>
      </c>
      <c r="H10" s="14"/>
      <c r="I10" s="177">
        <f>INDEX(Inputs!$F$2:$S$544,MATCH($B10&amp;I$2,Inputs!$S$2:$S$544,0),MATCH($C10,Inputs!$F$2:$S$2,0))</f>
        <v>1.9997044145873442</v>
      </c>
      <c r="J10" s="177">
        <f>INDEX(Inputs!$F$2:$S$544,MATCH($B10&amp;J$2,Inputs!$S$2:$S$544,0),MATCH($C10,Inputs!$F$2:$S$2,0))</f>
        <v>2.4603934740883067</v>
      </c>
      <c r="K10" s="177">
        <f>Controls!$F$17</f>
        <v>0.84570312546446125</v>
      </c>
      <c r="L10" s="178">
        <f>INDEX(Inputs!$F$2:$S$544,MATCH($B10&amp;L$2,Inputs!$S$2:$S$544,0),MATCH($C10,Inputs!$F$2:$S$2,0))</f>
        <v>1973.0339999999999</v>
      </c>
      <c r="M10" s="177">
        <f>INDEX('Modelled costs'!$AD$7:$AD$106, MATCH($A10, 'Modelled costs'!$A$7:$A$106, 0))</f>
        <v>49.494268226014448</v>
      </c>
    </row>
    <row r="11" spans="1:13" x14ac:dyDescent="0.3">
      <c r="A11" s="104" t="s">
        <v>63</v>
      </c>
      <c r="B11" s="17" t="s">
        <v>20</v>
      </c>
      <c r="C11" s="17" t="s">
        <v>49</v>
      </c>
      <c r="D11" s="88">
        <f t="shared" si="2"/>
        <v>25.129525836572991</v>
      </c>
      <c r="E11" s="88">
        <f t="shared" si="0"/>
        <v>2.0933820806270971</v>
      </c>
      <c r="F11" s="88">
        <f t="shared" si="1"/>
        <v>2.0010686061658767</v>
      </c>
      <c r="G11" s="120">
        <v>0</v>
      </c>
      <c r="H11" s="14"/>
      <c r="I11" s="177">
        <f>INDEX(Inputs!$F$2:$S$544,MATCH($B11&amp;I$2,Inputs!$S$2:$S$544,0),MATCH($C11,Inputs!$F$2:$S$2,0))</f>
        <v>2.0010686061658767</v>
      </c>
      <c r="J11" s="177">
        <f>INDEX(Inputs!$F$2:$S$544,MATCH($B11&amp;J$2,Inputs!$S$2:$S$544,0),MATCH($C11,Inputs!$F$2:$S$2,0))</f>
        <v>2.4753155304675136</v>
      </c>
      <c r="K11" s="177">
        <f>Controls!$F$17</f>
        <v>0.84570312546446125</v>
      </c>
      <c r="L11" s="178">
        <f>INDEX(Inputs!$F$2:$S$544,MATCH($B11&amp;L$2,Inputs!$S$2:$S$544,0),MATCH($C11,Inputs!$F$2:$S$2,0))</f>
        <v>1991.3530000000001</v>
      </c>
      <c r="M11" s="177">
        <f>INDEX('Modelled costs'!$AD$7:$AD$106, MATCH($A11, 'Modelled costs'!$A$7:$A$106, 0))</f>
        <v>50.041756663237138</v>
      </c>
    </row>
    <row r="12" spans="1:13" x14ac:dyDescent="0.3">
      <c r="A12" s="104" t="s">
        <v>64</v>
      </c>
      <c r="B12" s="17" t="s">
        <v>20</v>
      </c>
      <c r="C12" s="17" t="s">
        <v>50</v>
      </c>
      <c r="D12" s="88">
        <f t="shared" si="2"/>
        <v>25.166575208759436</v>
      </c>
      <c r="E12" s="88">
        <f t="shared" si="0"/>
        <v>2.1064177484584539</v>
      </c>
      <c r="F12" s="88">
        <f t="shared" si="1"/>
        <v>1.9991498510004322</v>
      </c>
      <c r="G12" s="120">
        <v>0</v>
      </c>
      <c r="H12" s="14"/>
      <c r="I12" s="177">
        <f>INDEX(Inputs!$F$2:$S$544,MATCH($B12&amp;I$2,Inputs!$S$2:$S$544,0),MATCH($C12,Inputs!$F$2:$S$2,0))</f>
        <v>1.9991498510004322</v>
      </c>
      <c r="J12" s="177">
        <f>INDEX(Inputs!$F$2:$S$544,MATCH($B12&amp;J$2,Inputs!$S$2:$S$544,0),MATCH($C12,Inputs!$F$2:$S$2,0))</f>
        <v>2.4907295302965879</v>
      </c>
      <c r="K12" s="177">
        <f>Controls!$F$17</f>
        <v>0.84570312546446125</v>
      </c>
      <c r="L12" s="178">
        <f>INDEX(Inputs!$F$2:$S$544,MATCH($B12&amp;L$2,Inputs!$S$2:$S$544,0),MATCH($C12,Inputs!$F$2:$S$2,0))</f>
        <v>2009.0309999999999</v>
      </c>
      <c r="M12" s="177">
        <f>INDEX('Modelled costs'!$AD$7:$AD$106, MATCH($A12, 'Modelled costs'!$A$7:$A$106, 0))</f>
        <v>50.560429758229176</v>
      </c>
    </row>
    <row r="13" spans="1:13" x14ac:dyDescent="0.3">
      <c r="A13" s="104" t="s">
        <v>65</v>
      </c>
      <c r="B13" s="17" t="s">
        <v>20</v>
      </c>
      <c r="C13" s="17" t="s">
        <v>51</v>
      </c>
      <c r="D13" s="88">
        <f t="shared" si="2"/>
        <v>25.199800291179535</v>
      </c>
      <c r="E13" s="88">
        <f t="shared" si="0"/>
        <v>2.1171853335295747</v>
      </c>
      <c r="F13" s="88">
        <f t="shared" si="1"/>
        <v>2.0006816442929796</v>
      </c>
      <c r="G13" s="120">
        <v>0</v>
      </c>
      <c r="H13" s="14"/>
      <c r="I13" s="177">
        <f>INDEX(Inputs!$F$2:$S$544,MATCH($B13&amp;I$2,Inputs!$S$2:$S$544,0),MATCH($C13,Inputs!$F$2:$S$2,0))</f>
        <v>2.0006816442929796</v>
      </c>
      <c r="J13" s="177">
        <f>INDEX(Inputs!$F$2:$S$544,MATCH($B13&amp;J$2,Inputs!$S$2:$S$544,0),MATCH($C13,Inputs!$F$2:$S$2,0))</f>
        <v>2.5034616401196503</v>
      </c>
      <c r="K13" s="177">
        <f>Controls!$F$17</f>
        <v>0.84570312546446125</v>
      </c>
      <c r="L13" s="178">
        <f>INDEX(Inputs!$F$2:$S$544,MATCH($B13&amp;L$2,Inputs!$S$2:$S$544,0),MATCH($C13,Inputs!$F$2:$S$2,0))</f>
        <v>2026.6569999999999</v>
      </c>
      <c r="M13" s="177">
        <f>INDEX('Modelled costs'!$AD$7:$AD$106, MATCH($A13, 'Modelled costs'!$A$7:$A$106, 0))</f>
        <v>51.071351658721042</v>
      </c>
    </row>
    <row r="14" spans="1:13" x14ac:dyDescent="0.3">
      <c r="A14" s="104" t="s">
        <v>66</v>
      </c>
      <c r="B14" s="17" t="s">
        <v>21</v>
      </c>
      <c r="C14" s="17" t="s">
        <v>47</v>
      </c>
      <c r="D14" s="88">
        <f t="shared" si="2"/>
        <v>30.728815698433248</v>
      </c>
      <c r="E14" s="88">
        <f t="shared" si="0"/>
        <v>4.9816865684402192</v>
      </c>
      <c r="F14" s="88">
        <f t="shared" si="1"/>
        <v>9.4730731041796776</v>
      </c>
      <c r="G14" s="120">
        <v>0</v>
      </c>
      <c r="H14" s="14"/>
      <c r="I14" s="177">
        <f>INDEX(Inputs!$F$2:$S$544,MATCH($B14&amp;I$2,Inputs!$S$2:$S$544,0),MATCH($C14,Inputs!$F$2:$S$2,0))</f>
        <v>9.4730731041796776</v>
      </c>
      <c r="J14" s="177">
        <f>INDEX(Inputs!$F$2:$S$544,MATCH($B14&amp;J$2,Inputs!$S$2:$S$544,0),MATCH($C14,Inputs!$F$2:$S$2,0))</f>
        <v>5.8905855003246801</v>
      </c>
      <c r="K14" s="177">
        <f>Controls!$F$17</f>
        <v>0.84570312546446125</v>
      </c>
      <c r="L14" s="178">
        <f>INDEX(Inputs!$F$2:$S$544,MATCH($B14&amp;L$2,Inputs!$S$2:$S$544,0),MATCH($C14,Inputs!$F$2:$S$2,0))</f>
        <v>3042.2880536584053</v>
      </c>
      <c r="M14" s="177">
        <f>INDEX('Modelled costs'!$AD$7:$AD$106, MATCH($A14, 'Modelled costs'!$A$7:$A$106, 0))</f>
        <v>93.485908902414337</v>
      </c>
    </row>
    <row r="15" spans="1:13" x14ac:dyDescent="0.3">
      <c r="A15" s="104" t="s">
        <v>67</v>
      </c>
      <c r="B15" s="17" t="s">
        <v>21</v>
      </c>
      <c r="C15" s="17" t="s">
        <v>48</v>
      </c>
      <c r="D15" s="88">
        <f t="shared" si="2"/>
        <v>30.7929287696827</v>
      </c>
      <c r="E15" s="88">
        <f t="shared" si="0"/>
        <v>5.2175334898828671</v>
      </c>
      <c r="F15" s="88">
        <f t="shared" si="1"/>
        <v>2.5147841103969393</v>
      </c>
      <c r="G15" s="120">
        <v>0</v>
      </c>
      <c r="H15" s="14"/>
      <c r="I15" s="177">
        <f>INDEX(Inputs!$F$2:$S$544,MATCH($B15&amp;I$2,Inputs!$S$2:$S$544,0),MATCH($C15,Inputs!$F$2:$S$2,0))</f>
        <v>2.5147841103969393</v>
      </c>
      <c r="J15" s="177">
        <f>INDEX(Inputs!$F$2:$S$544,MATCH($B15&amp;J$2,Inputs!$S$2:$S$544,0),MATCH($C15,Inputs!$F$2:$S$2,0))</f>
        <v>6.1694622294524342</v>
      </c>
      <c r="K15" s="177">
        <f>Controls!$F$17</f>
        <v>0.84570312546446125</v>
      </c>
      <c r="L15" s="178">
        <f>INDEX(Inputs!$F$2:$S$544,MATCH($B15&amp;L$2,Inputs!$S$2:$S$544,0),MATCH($C15,Inputs!$F$2:$S$2,0))</f>
        <v>3065.0392124647797</v>
      </c>
      <c r="M15" s="177">
        <f>INDEX('Modelled costs'!$AD$7:$AD$106, MATCH($A15, 'Modelled costs'!$A$7:$A$106, 0))</f>
        <v>94.381534145712308</v>
      </c>
    </row>
    <row r="16" spans="1:13" x14ac:dyDescent="0.3">
      <c r="A16" s="104" t="s">
        <v>68</v>
      </c>
      <c r="B16" s="17" t="s">
        <v>21</v>
      </c>
      <c r="C16" s="17" t="s">
        <v>49</v>
      </c>
      <c r="D16" s="88">
        <f t="shared" si="2"/>
        <v>30.688843856512765</v>
      </c>
      <c r="E16" s="88">
        <f t="shared" si="0"/>
        <v>5.1955813079450017</v>
      </c>
      <c r="F16" s="88">
        <f t="shared" si="1"/>
        <v>2.4672795042866</v>
      </c>
      <c r="G16" s="120">
        <v>0</v>
      </c>
      <c r="H16" s="14"/>
      <c r="I16" s="177">
        <f>INDEX(Inputs!$F$2:$S$544,MATCH($B16&amp;I$2,Inputs!$S$2:$S$544,0),MATCH($C16,Inputs!$F$2:$S$2,0))</f>
        <v>2.4672795042866</v>
      </c>
      <c r="J16" s="177">
        <f>INDEX(Inputs!$F$2:$S$544,MATCH($B16&amp;J$2,Inputs!$S$2:$S$544,0),MATCH($C16,Inputs!$F$2:$S$2,0))</f>
        <v>6.1435049150274592</v>
      </c>
      <c r="K16" s="177">
        <f>Controls!$F$17</f>
        <v>0.84570312546446125</v>
      </c>
      <c r="L16" s="178">
        <f>INDEX(Inputs!$F$2:$S$544,MATCH($B16&amp;L$2,Inputs!$S$2:$S$544,0),MATCH($C16,Inputs!$F$2:$S$2,0))</f>
        <v>3088.8200790626925</v>
      </c>
      <c r="M16" s="177">
        <f>INDEX('Modelled costs'!$AD$7:$AD$106, MATCH($A16, 'Modelled costs'!$A$7:$A$106, 0))</f>
        <v>94.792317107216377</v>
      </c>
    </row>
    <row r="17" spans="1:13" x14ac:dyDescent="0.3">
      <c r="A17" s="104" t="s">
        <v>69</v>
      </c>
      <c r="B17" s="17" t="s">
        <v>21</v>
      </c>
      <c r="C17" s="17" t="s">
        <v>50</v>
      </c>
      <c r="D17" s="88">
        <f t="shared" si="2"/>
        <v>30.682901983170716</v>
      </c>
      <c r="E17" s="88">
        <f t="shared" si="0"/>
        <v>5.1085952254409497</v>
      </c>
      <c r="F17" s="88">
        <f t="shared" si="1"/>
        <v>2.3826268001505415</v>
      </c>
      <c r="G17" s="120">
        <v>0</v>
      </c>
      <c r="H17" s="14"/>
      <c r="I17" s="177">
        <f>INDEX(Inputs!$F$2:$S$544,MATCH($B17&amp;I$2,Inputs!$S$2:$S$544,0),MATCH($C17,Inputs!$F$2:$S$2,0))</f>
        <v>2.3826268001505415</v>
      </c>
      <c r="J17" s="177">
        <f>INDEX(Inputs!$F$2:$S$544,MATCH($B17&amp;J$2,Inputs!$S$2:$S$544,0),MATCH($C17,Inputs!$F$2:$S$2,0))</f>
        <v>6.0406483925849308</v>
      </c>
      <c r="K17" s="177">
        <f>Controls!$F$17</f>
        <v>0.84570312546446125</v>
      </c>
      <c r="L17" s="178">
        <f>INDEX(Inputs!$F$2:$S$544,MATCH($B17&amp;L$2,Inputs!$S$2:$S$544,0),MATCH($C17,Inputs!$F$2:$S$2,0))</f>
        <v>3113.6296110535754</v>
      </c>
      <c r="M17" s="177">
        <f>INDEX('Modelled costs'!$AD$7:$AD$106, MATCH($A17, 'Modelled costs'!$A$7:$A$106, 0))</f>
        <v>95.535192167854817</v>
      </c>
    </row>
    <row r="18" spans="1:13" x14ac:dyDescent="0.3">
      <c r="A18" s="104" t="s">
        <v>70</v>
      </c>
      <c r="B18" s="17" t="s">
        <v>21</v>
      </c>
      <c r="C18" s="17" t="s">
        <v>51</v>
      </c>
      <c r="D18" s="88">
        <f t="shared" si="2"/>
        <v>30.784169603764507</v>
      </c>
      <c r="E18" s="88">
        <f t="shared" si="0"/>
        <v>4.1551301363223647</v>
      </c>
      <c r="F18" s="88">
        <f t="shared" si="1"/>
        <v>1.865777741539006</v>
      </c>
      <c r="G18" s="120">
        <v>0</v>
      </c>
      <c r="H18" s="14"/>
      <c r="I18" s="177">
        <f>INDEX(Inputs!$F$2:$S$544,MATCH($B18&amp;I$2,Inputs!$S$2:$S$544,0),MATCH($C18,Inputs!$F$2:$S$2,0))</f>
        <v>1.865777741539006</v>
      </c>
      <c r="J18" s="177">
        <f>INDEX(Inputs!$F$2:$S$544,MATCH($B18&amp;J$2,Inputs!$S$2:$S$544,0),MATCH($C18,Inputs!$F$2:$S$2,0))</f>
        <v>4.9132254702740541</v>
      </c>
      <c r="K18" s="177">
        <f>Controls!$F$17</f>
        <v>0.84570312546446125</v>
      </c>
      <c r="L18" s="178">
        <f>INDEX(Inputs!$F$2:$S$544,MATCH($B18&amp;L$2,Inputs!$S$2:$S$544,0),MATCH($C18,Inputs!$F$2:$S$2,0))</f>
        <v>3139.4662610016094</v>
      </c>
      <c r="M18" s="177">
        <f>INDEX('Modelled costs'!$AD$7:$AD$106, MATCH($A18, 'Modelled costs'!$A$7:$A$106, 0))</f>
        <v>96.645861843969953</v>
      </c>
    </row>
    <row r="19" spans="1:13" x14ac:dyDescent="0.3">
      <c r="A19" s="104" t="s">
        <v>71</v>
      </c>
      <c r="B19" s="17" t="s">
        <v>22</v>
      </c>
      <c r="C19" s="17" t="s">
        <v>47</v>
      </c>
      <c r="D19" s="88">
        <f t="shared" si="2"/>
        <v>25.760219480484487</v>
      </c>
      <c r="E19" s="88">
        <f t="shared" si="0"/>
        <v>0.93117202542392263</v>
      </c>
      <c r="F19" s="88">
        <f t="shared" si="1"/>
        <v>1.8821581759349841</v>
      </c>
      <c r="G19" s="120">
        <v>0</v>
      </c>
      <c r="H19" s="14"/>
      <c r="I19" s="177">
        <f>INDEX(Inputs!$F$2:$S$544,MATCH($B19&amp;I$2,Inputs!$S$2:$S$544,0),MATCH($C19,Inputs!$F$2:$S$2,0))</f>
        <v>1.8821581759349841</v>
      </c>
      <c r="J19" s="177">
        <f>INDEX(Inputs!$F$2:$S$544,MATCH($B19&amp;J$2,Inputs!$S$2:$S$544,0),MATCH($C19,Inputs!$F$2:$S$2,0))</f>
        <v>1.1010625329219657</v>
      </c>
      <c r="K19" s="177">
        <f>Controls!$F$17</f>
        <v>0.84570312546446125</v>
      </c>
      <c r="L19" s="178">
        <f>INDEX(Inputs!$F$2:$S$544,MATCH($B19&amp;L$2,Inputs!$S$2:$S$544,0),MATCH($C19,Inputs!$F$2:$S$2,0))</f>
        <v>1971.9769999999999</v>
      </c>
      <c r="M19" s="177">
        <f>INDEX('Modelled costs'!$AD$7:$AD$106, MATCH($A19, 'Modelled costs'!$A$7:$A$106, 0))</f>
        <v>50.79856033046736</v>
      </c>
    </row>
    <row r="20" spans="1:13" x14ac:dyDescent="0.3">
      <c r="A20" s="104" t="s">
        <v>72</v>
      </c>
      <c r="B20" s="17" t="s">
        <v>22</v>
      </c>
      <c r="C20" s="17" t="s">
        <v>48</v>
      </c>
      <c r="D20" s="88">
        <f t="shared" si="2"/>
        <v>25.835165863892549</v>
      </c>
      <c r="E20" s="88">
        <f t="shared" si="0"/>
        <v>1.0424213464780756</v>
      </c>
      <c r="F20" s="88">
        <f t="shared" si="1"/>
        <v>1.8452231648838182</v>
      </c>
      <c r="G20" s="120">
        <v>0</v>
      </c>
      <c r="H20" s="14"/>
      <c r="I20" s="177">
        <f>INDEX(Inputs!$F$2:$S$544,MATCH($B20&amp;I$2,Inputs!$S$2:$S$544,0),MATCH($C20,Inputs!$F$2:$S$2,0))</f>
        <v>1.8452231648838182</v>
      </c>
      <c r="J20" s="177">
        <f>INDEX(Inputs!$F$2:$S$544,MATCH($B20&amp;J$2,Inputs!$S$2:$S$544,0),MATCH($C20,Inputs!$F$2:$S$2,0))</f>
        <v>1.2326090741423905</v>
      </c>
      <c r="K20" s="177">
        <f>Controls!$F$17</f>
        <v>0.84570312546446125</v>
      </c>
      <c r="L20" s="178">
        <f>INDEX(Inputs!$F$2:$S$544,MATCH($B20&amp;L$2,Inputs!$S$2:$S$544,0),MATCH($C20,Inputs!$F$2:$S$2,0))</f>
        <v>1997.6919999999998</v>
      </c>
      <c r="M20" s="177">
        <f>INDEX('Modelled costs'!$AD$7:$AD$106, MATCH($A20, 'Modelled costs'!$A$7:$A$106, 0))</f>
        <v>51.610704164971224</v>
      </c>
    </row>
    <row r="21" spans="1:13" x14ac:dyDescent="0.3">
      <c r="A21" s="104" t="s">
        <v>73</v>
      </c>
      <c r="B21" s="17" t="s">
        <v>22</v>
      </c>
      <c r="C21" s="17" t="s">
        <v>49</v>
      </c>
      <c r="D21" s="88">
        <f t="shared" si="2"/>
        <v>25.905159735540831</v>
      </c>
      <c r="E21" s="88">
        <f t="shared" si="0"/>
        <v>1.1833104798640077</v>
      </c>
      <c r="F21" s="88">
        <f t="shared" si="1"/>
        <v>1.8089245678744545</v>
      </c>
      <c r="G21" s="120">
        <v>0</v>
      </c>
      <c r="H21" s="14"/>
      <c r="I21" s="177">
        <f>INDEX(Inputs!$F$2:$S$544,MATCH($B21&amp;I$2,Inputs!$S$2:$S$544,0),MATCH($C21,Inputs!$F$2:$S$2,0))</f>
        <v>1.8089245678744545</v>
      </c>
      <c r="J21" s="177">
        <f>INDEX(Inputs!$F$2:$S$544,MATCH($B21&amp;J$2,Inputs!$S$2:$S$544,0),MATCH($C21,Inputs!$F$2:$S$2,0))</f>
        <v>1.3992031532508906</v>
      </c>
      <c r="K21" s="177">
        <f>Controls!$F$17</f>
        <v>0.84570312546446125</v>
      </c>
      <c r="L21" s="178">
        <f>INDEX(Inputs!$F$2:$S$544,MATCH($B21&amp;L$2,Inputs!$S$2:$S$544,0),MATCH($C21,Inputs!$F$2:$S$2,0))</f>
        <v>2021.4490000000001</v>
      </c>
      <c r="M21" s="177">
        <f>INDEX('Modelled costs'!$AD$7:$AD$106, MATCH($A21, 'Modelled costs'!$A$7:$A$106, 0))</f>
        <v>52.365959242249282</v>
      </c>
    </row>
    <row r="22" spans="1:13" x14ac:dyDescent="0.3">
      <c r="A22" s="104" t="s">
        <v>74</v>
      </c>
      <c r="B22" s="17" t="s">
        <v>22</v>
      </c>
      <c r="C22" s="17" t="s">
        <v>50</v>
      </c>
      <c r="D22" s="88">
        <f t="shared" si="2"/>
        <v>25.975243424617712</v>
      </c>
      <c r="E22" s="88">
        <f t="shared" si="0"/>
        <v>1.3243889644008695</v>
      </c>
      <c r="F22" s="88">
        <f t="shared" si="1"/>
        <v>1.7735233638233054</v>
      </c>
      <c r="G22" s="120">
        <v>0</v>
      </c>
      <c r="H22" s="14"/>
      <c r="I22" s="177">
        <f>INDEX(Inputs!$F$2:$S$544,MATCH($B22&amp;I$2,Inputs!$S$2:$S$544,0),MATCH($C22,Inputs!$F$2:$S$2,0))</f>
        <v>1.7735233638233054</v>
      </c>
      <c r="J22" s="177">
        <f>INDEX(Inputs!$F$2:$S$544,MATCH($B22&amp;J$2,Inputs!$S$2:$S$544,0),MATCH($C22,Inputs!$F$2:$S$2,0))</f>
        <v>1.5660211302559788</v>
      </c>
      <c r="K22" s="177">
        <f>Controls!$F$17</f>
        <v>0.84570312546446125</v>
      </c>
      <c r="L22" s="178">
        <f>INDEX(Inputs!$F$2:$S$544,MATCH($B22&amp;L$2,Inputs!$S$2:$S$544,0),MATCH($C22,Inputs!$F$2:$S$2,0))</f>
        <v>2044.3969999999999</v>
      </c>
      <c r="M22" s="177">
        <f>INDEX('Modelled costs'!$AD$7:$AD$106, MATCH($A22, 'Modelled costs'!$A$7:$A$106, 0))</f>
        <v>53.103709731558176</v>
      </c>
    </row>
    <row r="23" spans="1:13" x14ac:dyDescent="0.3">
      <c r="A23" s="104" t="s">
        <v>75</v>
      </c>
      <c r="B23" s="17" t="s">
        <v>22</v>
      </c>
      <c r="C23" s="17" t="s">
        <v>51</v>
      </c>
      <c r="D23" s="88">
        <f t="shared" si="2"/>
        <v>26.045005055793577</v>
      </c>
      <c r="E23" s="88">
        <f t="shared" si="0"/>
        <v>1.4601777885365557</v>
      </c>
      <c r="F23" s="88">
        <f t="shared" si="1"/>
        <v>1.7387556482447049</v>
      </c>
      <c r="G23" s="120">
        <v>0</v>
      </c>
      <c r="H23" s="14"/>
      <c r="I23" s="177">
        <f>INDEX(Inputs!$F$2:$S$544,MATCH($B23&amp;I$2,Inputs!$S$2:$S$544,0),MATCH($C23,Inputs!$F$2:$S$2,0))</f>
        <v>1.7387556482447049</v>
      </c>
      <c r="J23" s="177">
        <f>INDEX(Inputs!$F$2:$S$544,MATCH($B23&amp;J$2,Inputs!$S$2:$S$544,0),MATCH($C23,Inputs!$F$2:$S$2,0))</f>
        <v>1.726584358706992</v>
      </c>
      <c r="K23" s="177">
        <f>Controls!$F$17</f>
        <v>0.84570312546446125</v>
      </c>
      <c r="L23" s="178">
        <f>INDEX(Inputs!$F$2:$S$544,MATCH($B23&amp;L$2,Inputs!$S$2:$S$544,0),MATCH($C23,Inputs!$F$2:$S$2,0))</f>
        <v>2066.0410000000002</v>
      </c>
      <c r="M23" s="177">
        <f>INDEX('Modelled costs'!$AD$7:$AD$106, MATCH($A23, 'Modelled costs'!$A$7:$A$106, 0))</f>
        <v>53.810048290476821</v>
      </c>
    </row>
    <row r="24" spans="1:13" x14ac:dyDescent="0.3">
      <c r="A24" s="104" t="s">
        <v>81</v>
      </c>
      <c r="B24" s="17" t="s">
        <v>34</v>
      </c>
      <c r="C24" s="17" t="s">
        <v>47</v>
      </c>
      <c r="D24" s="88">
        <f t="shared" si="2"/>
        <v>28.780211402847467</v>
      </c>
      <c r="E24" s="88">
        <f t="shared" si="0"/>
        <v>1.02157151773752</v>
      </c>
      <c r="F24" s="88">
        <f t="shared" si="1"/>
        <v>0.69978744179059849</v>
      </c>
      <c r="G24" s="120">
        <v>0</v>
      </c>
      <c r="H24" s="14"/>
      <c r="I24" s="177">
        <f>INDEX(Inputs!$F$2:$S$544,MATCH($B24&amp;I$2,Inputs!$S$2:$S$544,0),MATCH($C24,Inputs!$F$2:$S$2,0))</f>
        <v>0.69978744179059849</v>
      </c>
      <c r="J24" s="177">
        <f>INDEX(Inputs!$F$2:$S$544,MATCH($B24&amp;J$2,Inputs!$S$2:$S$544,0),MATCH($C24,Inputs!$F$2:$S$2,0))</f>
        <v>1.2079552350908855</v>
      </c>
      <c r="K24" s="177">
        <f>Controls!$F$17</f>
        <v>0.84570312546446125</v>
      </c>
      <c r="L24" s="178">
        <f>INDEX(Inputs!$F$2:$S$544,MATCH($B24&amp;L$2,Inputs!$S$2:$S$544,0),MATCH($C24,Inputs!$F$2:$S$2,0))</f>
        <v>971.17900000000009</v>
      </c>
      <c r="M24" s="177">
        <f>INDEX('Modelled costs'!$AD$7:$AD$106, MATCH($A24, 'Modelled costs'!$A$7:$A$106, 0))</f>
        <v>27.950736930006002</v>
      </c>
    </row>
    <row r="25" spans="1:13" x14ac:dyDescent="0.3">
      <c r="A25" s="104" t="s">
        <v>82</v>
      </c>
      <c r="B25" s="17" t="s">
        <v>34</v>
      </c>
      <c r="C25" s="17" t="s">
        <v>48</v>
      </c>
      <c r="D25" s="88">
        <f t="shared" si="2"/>
        <v>28.683822170610629</v>
      </c>
      <c r="E25" s="88">
        <f t="shared" si="0"/>
        <v>0.7843863477734565</v>
      </c>
      <c r="F25" s="88">
        <f t="shared" si="1"/>
        <v>0.86302268375313274</v>
      </c>
      <c r="G25" s="120">
        <v>0</v>
      </c>
      <c r="H25" s="14"/>
      <c r="I25" s="177">
        <f>INDEX(Inputs!$F$2:$S$544,MATCH($B25&amp;I$2,Inputs!$S$2:$S$544,0),MATCH($C25,Inputs!$F$2:$S$2,0))</f>
        <v>0.86302268375313274</v>
      </c>
      <c r="J25" s="177">
        <f>INDEX(Inputs!$F$2:$S$544,MATCH($B25&amp;J$2,Inputs!$S$2:$S$544,0),MATCH($C25,Inputs!$F$2:$S$2,0))</f>
        <v>0.92749609662689914</v>
      </c>
      <c r="K25" s="177">
        <f>Controls!$F$17</f>
        <v>0.84570312546446125</v>
      </c>
      <c r="L25" s="178">
        <f>INDEX(Inputs!$F$2:$S$544,MATCH($B25&amp;L$2,Inputs!$S$2:$S$544,0),MATCH($C25,Inputs!$F$2:$S$2,0))</f>
        <v>983.24900000000002</v>
      </c>
      <c r="M25" s="177">
        <f>INDEX('Modelled costs'!$AD$7:$AD$106, MATCH($A25, 'Modelled costs'!$A$7:$A$106, 0))</f>
        <v>28.20333946543073</v>
      </c>
    </row>
    <row r="26" spans="1:13" x14ac:dyDescent="0.3">
      <c r="A26" s="104" t="s">
        <v>83</v>
      </c>
      <c r="B26" s="17" t="s">
        <v>34</v>
      </c>
      <c r="C26" s="17" t="s">
        <v>49</v>
      </c>
      <c r="D26" s="88">
        <f t="shared" si="2"/>
        <v>28.460593196400115</v>
      </c>
      <c r="E26" s="88">
        <f t="shared" si="0"/>
        <v>0.69338179528152821</v>
      </c>
      <c r="F26" s="88">
        <f t="shared" si="1"/>
        <v>0.52823176895306867</v>
      </c>
      <c r="G26" s="120">
        <v>0</v>
      </c>
      <c r="H26" s="14"/>
      <c r="I26" s="177">
        <f>INDEX(Inputs!$F$2:$S$544,MATCH($B26&amp;I$2,Inputs!$S$2:$S$544,0),MATCH($C26,Inputs!$F$2:$S$2,0))</f>
        <v>0.52823176895306867</v>
      </c>
      <c r="J26" s="177">
        <f>INDEX(Inputs!$F$2:$S$544,MATCH($B26&amp;J$2,Inputs!$S$2:$S$544,0),MATCH($C26,Inputs!$F$2:$S$2,0))</f>
        <v>0.81988794223826722</v>
      </c>
      <c r="K26" s="177">
        <f>Controls!$F$17</f>
        <v>0.84570312546446125</v>
      </c>
      <c r="L26" s="178">
        <f>INDEX(Inputs!$F$2:$S$544,MATCH($B26&amp;L$2,Inputs!$S$2:$S$544,0),MATCH($C26,Inputs!$F$2:$S$2,0))</f>
        <v>992.06400000000008</v>
      </c>
      <c r="M26" s="177">
        <f>INDEX('Modelled costs'!$AD$7:$AD$106, MATCH($A26, 'Modelled costs'!$A$7:$A$106, 0))</f>
        <v>28.234729928793488</v>
      </c>
    </row>
    <row r="27" spans="1:13" x14ac:dyDescent="0.3">
      <c r="A27" s="104" t="s">
        <v>84</v>
      </c>
      <c r="B27" s="17" t="s">
        <v>34</v>
      </c>
      <c r="C27" s="17" t="s">
        <v>50</v>
      </c>
      <c r="D27" s="88">
        <f t="shared" si="2"/>
        <v>28.274485926783136</v>
      </c>
      <c r="E27" s="88">
        <f t="shared" si="0"/>
        <v>0.54356787104661697</v>
      </c>
      <c r="F27" s="88">
        <f t="shared" si="1"/>
        <v>0.44708551606965896</v>
      </c>
      <c r="G27" s="120">
        <v>0</v>
      </c>
      <c r="H27" s="14"/>
      <c r="I27" s="177">
        <f>INDEX(Inputs!$F$2:$S$544,MATCH($B27&amp;I$2,Inputs!$S$2:$S$544,0),MATCH($C27,Inputs!$F$2:$S$2,0))</f>
        <v>0.44708551606965896</v>
      </c>
      <c r="J27" s="177">
        <f>INDEX(Inputs!$F$2:$S$544,MATCH($B27&amp;J$2,Inputs!$S$2:$S$544,0),MATCH($C27,Inputs!$F$2:$S$2,0))</f>
        <v>0.64274076171598493</v>
      </c>
      <c r="K27" s="177">
        <f>Controls!$F$17</f>
        <v>0.84570312546446125</v>
      </c>
      <c r="L27" s="178">
        <f>INDEX(Inputs!$F$2:$S$544,MATCH($B27&amp;L$2,Inputs!$S$2:$S$544,0),MATCH($C27,Inputs!$F$2:$S$2,0))</f>
        <v>1001.0229999999999</v>
      </c>
      <c r="M27" s="177">
        <f>INDEX('Modelled costs'!$AD$7:$AD$106, MATCH($A27, 'Modelled costs'!$A$7:$A$106, 0))</f>
        <v>28.303410725886231</v>
      </c>
    </row>
    <row r="28" spans="1:13" x14ac:dyDescent="0.3">
      <c r="A28" s="104" t="s">
        <v>85</v>
      </c>
      <c r="B28" s="17" t="s">
        <v>34</v>
      </c>
      <c r="C28" s="17" t="s">
        <v>51</v>
      </c>
      <c r="D28" s="88">
        <f t="shared" si="2"/>
        <v>28.045202855141266</v>
      </c>
      <c r="E28" s="88">
        <f t="shared" si="0"/>
        <v>0.49395506538448641</v>
      </c>
      <c r="F28" s="88">
        <f t="shared" si="1"/>
        <v>0.66044871616933087</v>
      </c>
      <c r="G28" s="120">
        <v>0</v>
      </c>
      <c r="H28" s="14"/>
      <c r="I28" s="177">
        <f>INDEX(Inputs!$F$2:$S$544,MATCH($B28&amp;I$2,Inputs!$S$2:$S$544,0),MATCH($C28,Inputs!$F$2:$S$2,0))</f>
        <v>0.66044871616933087</v>
      </c>
      <c r="J28" s="177">
        <f>INDEX(Inputs!$F$2:$S$544,MATCH($B28&amp;J$2,Inputs!$S$2:$S$544,0),MATCH($C28,Inputs!$F$2:$S$2,0))</f>
        <v>0.58407619708536096</v>
      </c>
      <c r="K28" s="177">
        <f>Controls!$F$17</f>
        <v>0.84570312546446125</v>
      </c>
      <c r="L28" s="178">
        <f>INDEX(Inputs!$F$2:$S$544,MATCH($B28&amp;L$2,Inputs!$S$2:$S$544,0),MATCH($C28,Inputs!$F$2:$S$2,0))</f>
        <v>1009.764</v>
      </c>
      <c r="M28" s="177">
        <f>INDEX('Modelled costs'!$AD$7:$AD$106, MATCH($A28, 'Modelled costs'!$A$7:$A$106, 0))</f>
        <v>28.319036215818866</v>
      </c>
    </row>
    <row r="29" spans="1:13" x14ac:dyDescent="0.3">
      <c r="A29" s="104" t="s">
        <v>86</v>
      </c>
      <c r="B29" s="17" t="s">
        <v>24</v>
      </c>
      <c r="C29" s="17" t="s">
        <v>47</v>
      </c>
      <c r="D29" s="88">
        <f t="shared" si="2"/>
        <v>25.778460747272547</v>
      </c>
      <c r="E29" s="88">
        <f t="shared" si="0"/>
        <v>16.853398304437601</v>
      </c>
      <c r="F29" s="88">
        <f t="shared" si="1"/>
        <v>15.338390686315712</v>
      </c>
      <c r="G29" s="120">
        <v>0</v>
      </c>
      <c r="H29" s="14"/>
      <c r="I29" s="177">
        <f>INDEX(Inputs!$F$2:$S$544,MATCH($B29&amp;I$2,Inputs!$S$2:$S$544,0),MATCH($C29,Inputs!$F$2:$S$2,0))</f>
        <v>15.338390686315712</v>
      </c>
      <c r="J29" s="177">
        <f>INDEX(Inputs!$F$2:$S$544,MATCH($B29&amp;J$2,Inputs!$S$2:$S$544,0),MATCH($C29,Inputs!$F$2:$S$2,0))</f>
        <v>19.928267730099368</v>
      </c>
      <c r="K29" s="177">
        <f>Controls!$F$17</f>
        <v>0.84570312546446125</v>
      </c>
      <c r="L29" s="178">
        <f>INDEX(Inputs!$F$2:$S$544,MATCH($B29&amp;L$2,Inputs!$S$2:$S$544,0),MATCH($C29,Inputs!$F$2:$S$2,0))</f>
        <v>5573.0430000000006</v>
      </c>
      <c r="M29" s="177">
        <f>INDEX('Modelled costs'!$AD$7:$AD$106, MATCH($A29, 'Modelled costs'!$A$7:$A$106, 0))</f>
        <v>143.66447021836206</v>
      </c>
    </row>
    <row r="30" spans="1:13" x14ac:dyDescent="0.3">
      <c r="A30" s="104" t="s">
        <v>87</v>
      </c>
      <c r="B30" s="17" t="s">
        <v>24</v>
      </c>
      <c r="C30" s="17" t="s">
        <v>48</v>
      </c>
      <c r="D30" s="88">
        <f t="shared" si="2"/>
        <v>26.130249578300909</v>
      </c>
      <c r="E30" s="88">
        <f t="shared" si="0"/>
        <v>18.003884371351777</v>
      </c>
      <c r="F30" s="88">
        <f t="shared" si="1"/>
        <v>15.518367558859506</v>
      </c>
      <c r="G30" s="120">
        <v>0</v>
      </c>
      <c r="H30" s="14"/>
      <c r="I30" s="177">
        <f>INDEX(Inputs!$F$2:$S$544,MATCH($B30&amp;I$2,Inputs!$S$2:$S$544,0),MATCH($C30,Inputs!$F$2:$S$2,0))</f>
        <v>15.518367558859506</v>
      </c>
      <c r="J30" s="177">
        <f>INDEX(Inputs!$F$2:$S$544,MATCH($B30&amp;J$2,Inputs!$S$2:$S$544,0),MATCH($C30,Inputs!$F$2:$S$2,0))</f>
        <v>21.288657720714962</v>
      </c>
      <c r="K30" s="177">
        <f>Controls!$F$17</f>
        <v>0.84570312546446125</v>
      </c>
      <c r="L30" s="178">
        <f>INDEX(Inputs!$F$2:$S$544,MATCH($B30&amp;L$2,Inputs!$S$2:$S$544,0),MATCH($C30,Inputs!$F$2:$S$2,0))</f>
        <v>5646.0590000000002</v>
      </c>
      <c r="M30" s="177">
        <f>INDEX('Modelled costs'!$AD$7:$AD$106, MATCH($A30, 'Modelled costs'!$A$7:$A$106, 0))</f>
        <v>147.53293080381206</v>
      </c>
    </row>
    <row r="31" spans="1:13" x14ac:dyDescent="0.3">
      <c r="A31" s="104" t="s">
        <v>88</v>
      </c>
      <c r="B31" s="17" t="s">
        <v>24</v>
      </c>
      <c r="C31" s="17" t="s">
        <v>49</v>
      </c>
      <c r="D31" s="88">
        <f t="shared" si="2"/>
        <v>26.445853475440416</v>
      </c>
      <c r="E31" s="88">
        <f t="shared" si="0"/>
        <v>19.360730782309329</v>
      </c>
      <c r="F31" s="88">
        <f t="shared" si="1"/>
        <v>27.035321971199455</v>
      </c>
      <c r="G31" s="120">
        <v>0</v>
      </c>
      <c r="H31" s="14"/>
      <c r="I31" s="177">
        <f>INDEX(Inputs!$F$2:$S$544,MATCH($B31&amp;I$2,Inputs!$S$2:$S$544,0),MATCH($C31,Inputs!$F$2:$S$2,0))</f>
        <v>27.035321971199455</v>
      </c>
      <c r="J31" s="177">
        <f>INDEX(Inputs!$F$2:$S$544,MATCH($B31&amp;J$2,Inputs!$S$2:$S$544,0),MATCH($C31,Inputs!$F$2:$S$2,0))</f>
        <v>22.893058094915268</v>
      </c>
      <c r="K31" s="177">
        <f>Controls!$F$17</f>
        <v>0.84570312546446125</v>
      </c>
      <c r="L31" s="178">
        <f>INDEX(Inputs!$F$2:$S$544,MATCH($B31&amp;L$2,Inputs!$S$2:$S$544,0),MATCH($C31,Inputs!$F$2:$S$2,0))</f>
        <v>5714.2910000000002</v>
      </c>
      <c r="M31" s="177">
        <f>INDEX('Modelled costs'!$AD$7:$AD$106, MATCH($A31, 'Modelled costs'!$A$7:$A$106, 0))</f>
        <v>151.11930250202789</v>
      </c>
    </row>
    <row r="32" spans="1:13" x14ac:dyDescent="0.3">
      <c r="A32" s="104" t="s">
        <v>89</v>
      </c>
      <c r="B32" s="17" t="s">
        <v>24</v>
      </c>
      <c r="C32" s="17" t="s">
        <v>50</v>
      </c>
      <c r="D32" s="88">
        <f t="shared" si="2"/>
        <v>26.674409160355385</v>
      </c>
      <c r="E32" s="88">
        <f t="shared" si="0"/>
        <v>20.444279707837897</v>
      </c>
      <c r="F32" s="88">
        <f t="shared" si="1"/>
        <v>5.2663252072068243</v>
      </c>
      <c r="G32" s="120">
        <v>0</v>
      </c>
      <c r="H32" s="14"/>
      <c r="I32" s="177">
        <f>INDEX(Inputs!$F$2:$S$544,MATCH($B32&amp;I$2,Inputs!$S$2:$S$544,0),MATCH($C32,Inputs!$F$2:$S$2,0))</f>
        <v>5.2663252072068243</v>
      </c>
      <c r="J32" s="177">
        <f>INDEX(Inputs!$F$2:$S$544,MATCH($B32&amp;J$2,Inputs!$S$2:$S$544,0),MATCH($C32,Inputs!$F$2:$S$2,0))</f>
        <v>24.174298394143776</v>
      </c>
      <c r="K32" s="177">
        <f>Controls!$F$17</f>
        <v>0.84570312546446125</v>
      </c>
      <c r="L32" s="178">
        <f>INDEX(Inputs!$F$2:$S$544,MATCH($B32&amp;L$2,Inputs!$S$2:$S$544,0),MATCH($C32,Inputs!$F$2:$S$2,0))</f>
        <v>5783.6919999999991</v>
      </c>
      <c r="M32" s="177">
        <f>INDEX('Modelled costs'!$AD$7:$AD$106, MATCH($A32, 'Modelled costs'!$A$7:$A$106, 0))</f>
        <v>154.27656686547414</v>
      </c>
    </row>
    <row r="33" spans="1:13" x14ac:dyDescent="0.3">
      <c r="A33" s="104" t="s">
        <v>90</v>
      </c>
      <c r="B33" s="17" t="s">
        <v>24</v>
      </c>
      <c r="C33" s="17" t="s">
        <v>51</v>
      </c>
      <c r="D33" s="88">
        <f t="shared" si="2"/>
        <v>26.945746974849971</v>
      </c>
      <c r="E33" s="88">
        <f t="shared" si="0"/>
        <v>18.127030822453357</v>
      </c>
      <c r="F33" s="88">
        <f t="shared" si="1"/>
        <v>2.9467557697210491</v>
      </c>
      <c r="G33" s="120">
        <v>0</v>
      </c>
      <c r="H33" s="14"/>
      <c r="I33" s="177">
        <f>INDEX(Inputs!$F$2:$S$544,MATCH($B33&amp;I$2,Inputs!$S$2:$S$544,0),MATCH($C33,Inputs!$F$2:$S$2,0))</f>
        <v>2.9467557697210491</v>
      </c>
      <c r="J33" s="177">
        <f>INDEX(Inputs!$F$2:$S$544,MATCH($B33&amp;J$2,Inputs!$S$2:$S$544,0),MATCH($C33,Inputs!$F$2:$S$2,0))</f>
        <v>21.434271999997598</v>
      </c>
      <c r="K33" s="177">
        <f>Controls!$F$17</f>
        <v>0.84570312546446125</v>
      </c>
      <c r="L33" s="178">
        <f>INDEX(Inputs!$F$2:$S$544,MATCH($B33&amp;L$2,Inputs!$S$2:$S$544,0),MATCH($C33,Inputs!$F$2:$S$2,0))</f>
        <v>5841.9480000000003</v>
      </c>
      <c r="M33" s="177">
        <f>INDEX('Modelled costs'!$AD$7:$AD$106, MATCH($A33, 'Modelled costs'!$A$7:$A$106, 0))</f>
        <v>157.41565264823083</v>
      </c>
    </row>
    <row r="34" spans="1:13" x14ac:dyDescent="0.3">
      <c r="A34" s="104" t="s">
        <v>91</v>
      </c>
      <c r="B34" s="17" t="s">
        <v>40</v>
      </c>
      <c r="C34" s="17" t="s">
        <v>47</v>
      </c>
      <c r="D34" s="88">
        <f t="shared" si="2"/>
        <v>28.077661295568646</v>
      </c>
      <c r="E34" s="88">
        <f t="shared" si="0"/>
        <v>3.4433506464195274</v>
      </c>
      <c r="F34" s="88">
        <f t="shared" si="1"/>
        <v>8.2262980802625485</v>
      </c>
      <c r="G34" s="120">
        <v>0</v>
      </c>
      <c r="H34" s="14"/>
      <c r="I34" s="177">
        <f>INDEX(Inputs!$F$2:$S$544,MATCH($B34&amp;I$2,Inputs!$S$2:$S$544,0),MATCH($C34,Inputs!$F$2:$S$2,0))</f>
        <v>8.2262980802625485</v>
      </c>
      <c r="J34" s="177">
        <f>INDEX(Inputs!$F$2:$S$544,MATCH($B34&amp;J$2,Inputs!$S$2:$S$544,0),MATCH($C34,Inputs!$F$2:$S$2,0))</f>
        <v>4.0715832101583338</v>
      </c>
      <c r="K34" s="177">
        <f>Controls!$F$17</f>
        <v>0.84570312546446125</v>
      </c>
      <c r="L34" s="178">
        <f>INDEX(Inputs!$F$2:$S$544,MATCH($B34&amp;L$2,Inputs!$S$2:$S$544,0),MATCH($C34,Inputs!$F$2:$S$2,0))</f>
        <v>1425.0259999999998</v>
      </c>
      <c r="M34" s="165">
        <f>INDEX('Modelled costs'!$AD$7:$AD$106, MATCH($A34, 'Modelled costs'!$A$7:$A$106, 0)) + 'Final allowance'!$E$13/5</f>
        <v>40.011397365379004</v>
      </c>
    </row>
    <row r="35" spans="1:13" x14ac:dyDescent="0.3">
      <c r="A35" s="104" t="s">
        <v>92</v>
      </c>
      <c r="B35" s="17" t="s">
        <v>40</v>
      </c>
      <c r="C35" s="17" t="s">
        <v>48</v>
      </c>
      <c r="D35" s="88">
        <f t="shared" si="2"/>
        <v>28.174131046528899</v>
      </c>
      <c r="E35" s="88">
        <f t="shared" si="0"/>
        <v>3.5973313554126052</v>
      </c>
      <c r="F35" s="88">
        <f t="shared" si="1"/>
        <v>3.2646477116874988</v>
      </c>
      <c r="G35" s="120">
        <v>0</v>
      </c>
      <c r="H35" s="14"/>
      <c r="I35" s="177">
        <f>INDEX(Inputs!$F$2:$S$544,MATCH($B35&amp;I$2,Inputs!$S$2:$S$544,0),MATCH($C35,Inputs!$F$2:$S$2,0))</f>
        <v>3.2646477116874988</v>
      </c>
      <c r="J35" s="177">
        <f>INDEX(Inputs!$F$2:$S$544,MATCH($B35&amp;J$2,Inputs!$S$2:$S$544,0),MATCH($C35,Inputs!$F$2:$S$2,0))</f>
        <v>4.253657397135604</v>
      </c>
      <c r="K35" s="177">
        <f>Controls!$F$17</f>
        <v>0.84570312546446125</v>
      </c>
      <c r="L35" s="178">
        <f>INDEX(Inputs!$F$2:$S$544,MATCH($B35&amp;L$2,Inputs!$S$2:$S$544,0),MATCH($C35,Inputs!$F$2:$S$2,0))</f>
        <v>1436.252</v>
      </c>
      <c r="M35" s="165">
        <f>INDEX('Modelled costs'!$AD$7:$AD$106, MATCH($A35, 'Modelled costs'!$A$7:$A$106, 0)) + 'Final allowance'!$E$13/5</f>
        <v>40.465152063839227</v>
      </c>
    </row>
    <row r="36" spans="1:13" x14ac:dyDescent="0.3">
      <c r="A36" s="104" t="s">
        <v>93</v>
      </c>
      <c r="B36" s="17" t="s">
        <v>40</v>
      </c>
      <c r="C36" s="17" t="s">
        <v>49</v>
      </c>
      <c r="D36" s="88">
        <f t="shared" si="2"/>
        <v>28.269726769571797</v>
      </c>
      <c r="E36" s="88">
        <f t="shared" si="0"/>
        <v>3.6907948506028934</v>
      </c>
      <c r="F36" s="88">
        <f t="shared" si="1"/>
        <v>2.9833670622001471</v>
      </c>
      <c r="G36" s="120">
        <v>0</v>
      </c>
      <c r="H36" s="14"/>
      <c r="I36" s="177">
        <f>INDEX(Inputs!$F$2:$S$544,MATCH($B36&amp;I$2,Inputs!$S$2:$S$544,0),MATCH($C36,Inputs!$F$2:$S$2,0))</f>
        <v>2.9833670622001471</v>
      </c>
      <c r="J36" s="177">
        <f>INDEX(Inputs!$F$2:$S$544,MATCH($B36&amp;J$2,Inputs!$S$2:$S$544,0),MATCH($C36,Inputs!$F$2:$S$2,0))</f>
        <v>4.3641731234892909</v>
      </c>
      <c r="K36" s="177">
        <f>Controls!$F$17</f>
        <v>0.84570312546446125</v>
      </c>
      <c r="L36" s="178">
        <f>INDEX(Inputs!$F$2:$S$544,MATCH($B36&amp;L$2,Inputs!$S$2:$S$544,0),MATCH($C36,Inputs!$F$2:$S$2,0))</f>
        <v>1447.66</v>
      </c>
      <c r="M36" s="165">
        <f>INDEX('Modelled costs'!$AD$7:$AD$106, MATCH($A36, 'Modelled costs'!$A$7:$A$106, 0)) + 'Final allowance'!$E$13/5</f>
        <v>40.924952655238307</v>
      </c>
    </row>
    <row r="37" spans="1:13" x14ac:dyDescent="0.3">
      <c r="A37" s="104" t="s">
        <v>94</v>
      </c>
      <c r="B37" s="17" t="s">
        <v>40</v>
      </c>
      <c r="C37" s="17" t="s">
        <v>50</v>
      </c>
      <c r="D37" s="88">
        <f t="shared" si="2"/>
        <v>28.361797827735799</v>
      </c>
      <c r="E37" s="88">
        <f t="shared" si="0"/>
        <v>3.5700477696619948</v>
      </c>
      <c r="F37" s="88">
        <f t="shared" si="1"/>
        <v>2.7954865754334963</v>
      </c>
      <c r="G37" s="120">
        <v>0</v>
      </c>
      <c r="H37" s="14"/>
      <c r="I37" s="177">
        <f>INDEX(Inputs!$F$2:$S$544,MATCH($B37&amp;I$2,Inputs!$S$2:$S$544,0),MATCH($C37,Inputs!$F$2:$S$2,0))</f>
        <v>2.7954865754334963</v>
      </c>
      <c r="J37" s="177">
        <f>INDEX(Inputs!$F$2:$S$544,MATCH($B37&amp;J$2,Inputs!$S$2:$S$544,0),MATCH($C37,Inputs!$F$2:$S$2,0))</f>
        <v>4.2213959747415144</v>
      </c>
      <c r="K37" s="177">
        <f>Controls!$F$17</f>
        <v>0.84570312546446125</v>
      </c>
      <c r="L37" s="178">
        <f>INDEX(Inputs!$F$2:$S$544,MATCH($B37&amp;L$2,Inputs!$S$2:$S$544,0),MATCH($C37,Inputs!$F$2:$S$2,0))</f>
        <v>1459.134</v>
      </c>
      <c r="M37" s="165">
        <f>INDEX('Modelled costs'!$AD$7:$AD$106, MATCH($A37, 'Modelled costs'!$A$7:$A$106, 0)) + 'Final allowance'!$E$13/5</f>
        <v>41.383663511575449</v>
      </c>
    </row>
    <row r="38" spans="1:13" x14ac:dyDescent="0.3">
      <c r="A38" s="104" t="s">
        <v>95</v>
      </c>
      <c r="B38" s="17" t="s">
        <v>40</v>
      </c>
      <c r="C38" s="17" t="s">
        <v>51</v>
      </c>
      <c r="D38" s="88">
        <f t="shared" si="2"/>
        <v>28.449654382291744</v>
      </c>
      <c r="E38" s="88">
        <f t="shared" si="0"/>
        <v>3.7058449586980351</v>
      </c>
      <c r="F38" s="88">
        <f t="shared" si="1"/>
        <v>2.0917473581071531</v>
      </c>
      <c r="G38" s="120">
        <v>0</v>
      </c>
      <c r="H38" s="14"/>
      <c r="I38" s="177">
        <f>INDEX(Inputs!$F$2:$S$544,MATCH($B38&amp;I$2,Inputs!$S$2:$S$544,0),MATCH($C38,Inputs!$F$2:$S$2,0))</f>
        <v>2.0917473581071531</v>
      </c>
      <c r="J38" s="177">
        <f>INDEX(Inputs!$F$2:$S$544,MATCH($B38&amp;J$2,Inputs!$S$2:$S$544,0),MATCH($C38,Inputs!$F$2:$S$2,0))</f>
        <v>4.3819690942525256</v>
      </c>
      <c r="K38" s="177">
        <f>Controls!$F$17</f>
        <v>0.84570312546446125</v>
      </c>
      <c r="L38" s="178">
        <f>INDEX(Inputs!$F$2:$S$544,MATCH($B38&amp;L$2,Inputs!$S$2:$S$544,0),MATCH($C38,Inputs!$F$2:$S$2,0))</f>
        <v>1470.672</v>
      </c>
      <c r="M38" s="165">
        <f>INDEX('Modelled costs'!$AD$7:$AD$106, MATCH($A38, 'Modelled costs'!$A$7:$A$106, 0)) + 'Final allowance'!$E$13/5</f>
        <v>41.840110109713763</v>
      </c>
    </row>
    <row r="39" spans="1:13" x14ac:dyDescent="0.3">
      <c r="A39" s="104" t="s">
        <v>96</v>
      </c>
      <c r="B39" s="17" t="s">
        <v>25</v>
      </c>
      <c r="C39" s="17" t="s">
        <v>47</v>
      </c>
      <c r="D39" s="88">
        <f t="shared" si="2"/>
        <v>22.121554082041058</v>
      </c>
      <c r="E39" s="88">
        <f t="shared" si="0"/>
        <v>0.30077229329733168</v>
      </c>
      <c r="F39" s="88">
        <f t="shared" si="1"/>
        <v>1.2485300932891965</v>
      </c>
      <c r="G39" s="120">
        <v>0</v>
      </c>
      <c r="H39" s="14"/>
      <c r="I39" s="177">
        <f>INDEX(Inputs!$F$2:$S$544,MATCH($B39&amp;I$2,Inputs!$S$2:$S$544,0),MATCH($C39,Inputs!$F$2:$S$2,0))</f>
        <v>1.2485300932891965</v>
      </c>
      <c r="J39" s="177">
        <f>INDEX(Inputs!$F$2:$S$544,MATCH($B39&amp;J$2,Inputs!$S$2:$S$544,0),MATCH($C39,Inputs!$F$2:$S$2,0))</f>
        <v>0.35564760758350888</v>
      </c>
      <c r="K39" s="177">
        <f>Controls!$F$17</f>
        <v>0.84570312546446125</v>
      </c>
      <c r="L39" s="178">
        <f>INDEX(Inputs!$F$2:$S$544,MATCH($B39&amp;L$2,Inputs!$S$2:$S$544,0),MATCH($C39,Inputs!$F$2:$S$2,0))</f>
        <v>1233.1279999999999</v>
      </c>
      <c r="M39" s="177">
        <f>INDEX('Modelled costs'!$AD$7:$AD$106, MATCH($A39, 'Modelled costs'!$A$7:$A$106, 0))</f>
        <v>27.278707742079124</v>
      </c>
    </row>
    <row r="40" spans="1:13" x14ac:dyDescent="0.3">
      <c r="A40" s="104" t="s">
        <v>97</v>
      </c>
      <c r="B40" s="17" t="s">
        <v>25</v>
      </c>
      <c r="C40" s="17" t="s">
        <v>48</v>
      </c>
      <c r="D40" s="88">
        <f t="shared" si="2"/>
        <v>22.432033588374622</v>
      </c>
      <c r="E40" s="88">
        <f t="shared" si="0"/>
        <v>0.40174266800672576</v>
      </c>
      <c r="F40" s="88">
        <f t="shared" si="1"/>
        <v>1.2286467030535553</v>
      </c>
      <c r="G40" s="120">
        <v>0</v>
      </c>
      <c r="H40" s="14"/>
      <c r="I40" s="177">
        <f>INDEX(Inputs!$F$2:$S$544,MATCH($B40&amp;I$2,Inputs!$S$2:$S$544,0),MATCH($C40,Inputs!$F$2:$S$2,0))</f>
        <v>1.2286467030535553</v>
      </c>
      <c r="J40" s="177">
        <f>INDEX(Inputs!$F$2:$S$544,MATCH($B40&amp;J$2,Inputs!$S$2:$S$544,0),MATCH($C40,Inputs!$F$2:$S$2,0))</f>
        <v>0.47503982888331903</v>
      </c>
      <c r="K40" s="177">
        <f>Controls!$F$17</f>
        <v>0.84570312546446125</v>
      </c>
      <c r="L40" s="178">
        <f>INDEX(Inputs!$F$2:$S$544,MATCH($B40&amp;L$2,Inputs!$S$2:$S$544,0),MATCH($C40,Inputs!$F$2:$S$2,0))</f>
        <v>1246.037</v>
      </c>
      <c r="M40" s="177">
        <f>INDEX('Modelled costs'!$AD$7:$AD$106, MATCH($A40, 'Modelled costs'!$A$7:$A$106, 0))</f>
        <v>27.951143836357552</v>
      </c>
    </row>
    <row r="41" spans="1:13" x14ac:dyDescent="0.3">
      <c r="A41" s="104" t="s">
        <v>98</v>
      </c>
      <c r="B41" s="17" t="s">
        <v>25</v>
      </c>
      <c r="C41" s="17" t="s">
        <v>49</v>
      </c>
      <c r="D41" s="88">
        <f t="shared" si="2"/>
        <v>22.77046144868612</v>
      </c>
      <c r="E41" s="88">
        <f t="shared" si="0"/>
        <v>0.5231582649948</v>
      </c>
      <c r="F41" s="88">
        <f t="shared" si="1"/>
        <v>1.2028478449522781</v>
      </c>
      <c r="G41" s="120">
        <v>0</v>
      </c>
      <c r="H41" s="14"/>
      <c r="I41" s="177">
        <f>INDEX(Inputs!$F$2:$S$544,MATCH($B41&amp;I$2,Inputs!$S$2:$S$544,0),MATCH($C41,Inputs!$F$2:$S$2,0))</f>
        <v>1.2028478449522781</v>
      </c>
      <c r="J41" s="177">
        <f>INDEX(Inputs!$F$2:$S$544,MATCH($B41&amp;J$2,Inputs!$S$2:$S$544,0),MATCH($C41,Inputs!$F$2:$S$2,0))</f>
        <v>0.61860746311831449</v>
      </c>
      <c r="K41" s="177">
        <f>Controls!$F$17</f>
        <v>0.84570312546446125</v>
      </c>
      <c r="L41" s="178">
        <f>INDEX(Inputs!$F$2:$S$544,MATCH($B41&amp;L$2,Inputs!$S$2:$S$544,0),MATCH($C41,Inputs!$F$2:$S$2,0))</f>
        <v>1258.7070000000001</v>
      </c>
      <c r="M41" s="177">
        <f>INDEX('Modelled costs'!$AD$7:$AD$106, MATCH($A41, 'Modelled costs'!$A$7:$A$106, 0))</f>
        <v>28.661339218691364</v>
      </c>
    </row>
    <row r="42" spans="1:13" x14ac:dyDescent="0.3">
      <c r="A42" s="104" t="s">
        <v>99</v>
      </c>
      <c r="B42" s="17" t="s">
        <v>25</v>
      </c>
      <c r="C42" s="17" t="s">
        <v>50</v>
      </c>
      <c r="D42" s="88">
        <f t="shared" si="2"/>
        <v>23.041385054345302</v>
      </c>
      <c r="E42" s="88">
        <f t="shared" si="0"/>
        <v>0.6516029561470319</v>
      </c>
      <c r="F42" s="88">
        <f t="shared" si="1"/>
        <v>1.1792258064516132</v>
      </c>
      <c r="G42" s="120">
        <v>0</v>
      </c>
      <c r="H42" s="14"/>
      <c r="I42" s="177">
        <f>INDEX(Inputs!$F$2:$S$544,MATCH($B42&amp;I$2,Inputs!$S$2:$S$544,0),MATCH($C42,Inputs!$F$2:$S$2,0))</f>
        <v>1.1792258064516132</v>
      </c>
      <c r="J42" s="177">
        <f>INDEX(Inputs!$F$2:$S$544,MATCH($B42&amp;J$2,Inputs!$S$2:$S$544,0),MATCH($C42,Inputs!$F$2:$S$2,0))</f>
        <v>0.77048663594470068</v>
      </c>
      <c r="K42" s="177">
        <f>Controls!$F$17</f>
        <v>0.84570312546446125</v>
      </c>
      <c r="L42" s="178">
        <f>INDEX(Inputs!$F$2:$S$544,MATCH($B42&amp;L$2,Inputs!$S$2:$S$544,0),MATCH($C42,Inputs!$F$2:$S$2,0))</f>
        <v>1271.076</v>
      </c>
      <c r="M42" s="177">
        <f>INDEX('Modelled costs'!$AD$7:$AD$106, MATCH($A42, 'Modelled costs'!$A$7:$A$106, 0))</f>
        <v>29.287351549337007</v>
      </c>
    </row>
    <row r="43" spans="1:13" x14ac:dyDescent="0.3">
      <c r="A43" s="104" t="s">
        <v>100</v>
      </c>
      <c r="B43" s="17" t="s">
        <v>25</v>
      </c>
      <c r="C43" s="17" t="s">
        <v>51</v>
      </c>
      <c r="D43" s="88">
        <f t="shared" si="2"/>
        <v>23.330258996756978</v>
      </c>
      <c r="E43" s="88">
        <f t="shared" si="0"/>
        <v>0.76889602434412563</v>
      </c>
      <c r="F43" s="88">
        <f t="shared" si="1"/>
        <v>1.1560314150681159</v>
      </c>
      <c r="G43" s="120">
        <v>0</v>
      </c>
      <c r="H43" s="14"/>
      <c r="I43" s="177">
        <f>INDEX(Inputs!$F$2:$S$544,MATCH($B43&amp;I$2,Inputs!$S$2:$S$544,0),MATCH($C43,Inputs!$F$2:$S$2,0))</f>
        <v>1.1560314150681159</v>
      </c>
      <c r="J43" s="177">
        <f>INDEX(Inputs!$F$2:$S$544,MATCH($B43&amp;J$2,Inputs!$S$2:$S$544,0),MATCH($C43,Inputs!$F$2:$S$2,0))</f>
        <v>0.90917959410620242</v>
      </c>
      <c r="K43" s="177">
        <f>Controls!$F$17</f>
        <v>0.84570312546446125</v>
      </c>
      <c r="L43" s="178">
        <f>INDEX(Inputs!$F$2:$S$544,MATCH($B43&amp;L$2,Inputs!$S$2:$S$544,0),MATCH($C43,Inputs!$F$2:$S$2,0))</f>
        <v>1282.8720000000001</v>
      </c>
      <c r="M43" s="177">
        <f>INDEX('Modelled costs'!$AD$7:$AD$106, MATCH($A43, 'Modelled costs'!$A$7:$A$106, 0))</f>
        <v>29.929736019687617</v>
      </c>
    </row>
    <row r="44" spans="1:13" x14ac:dyDescent="0.3">
      <c r="A44" s="104" t="s">
        <v>101</v>
      </c>
      <c r="B44" s="17" t="s">
        <v>26</v>
      </c>
      <c r="C44" s="17" t="s">
        <v>47</v>
      </c>
      <c r="D44" s="88">
        <f t="shared" si="2"/>
        <v>28.152762734172676</v>
      </c>
      <c r="E44" s="88">
        <f t="shared" si="0"/>
        <v>1.9375093412197484</v>
      </c>
      <c r="F44" s="88">
        <f t="shared" si="1"/>
        <v>1.8221344009578802</v>
      </c>
      <c r="G44" s="120">
        <v>0</v>
      </c>
      <c r="H44" s="14"/>
      <c r="I44" s="177">
        <f>INDEX(Inputs!$F$2:$S$544,MATCH($B44&amp;I$2,Inputs!$S$2:$S$544,0),MATCH($C44,Inputs!$F$2:$S$2,0))</f>
        <v>1.8221344009578802</v>
      </c>
      <c r="J44" s="177">
        <f>INDEX(Inputs!$F$2:$S$544,MATCH($B44&amp;J$2,Inputs!$S$2:$S$544,0),MATCH($C44,Inputs!$F$2:$S$2,0))</f>
        <v>2.2910041158422652</v>
      </c>
      <c r="K44" s="177">
        <f>Controls!$F$17</f>
        <v>0.84570312546446125</v>
      </c>
      <c r="L44" s="178">
        <f>INDEX(Inputs!$F$2:$S$544,MATCH($B44&amp;L$2,Inputs!$S$2:$S$544,0),MATCH($C44,Inputs!$F$2:$S$2,0))</f>
        <v>2218.79</v>
      </c>
      <c r="M44" s="177">
        <f>INDEX('Modelled costs'!$AD$7:$AD$106, MATCH($A44, 'Modelled costs'!$A$7:$A$106, 0))</f>
        <v>62.465068426954993</v>
      </c>
    </row>
    <row r="45" spans="1:13" x14ac:dyDescent="0.3">
      <c r="A45" s="104" t="s">
        <v>102</v>
      </c>
      <c r="B45" s="17" t="s">
        <v>26</v>
      </c>
      <c r="C45" s="17" t="s">
        <v>48</v>
      </c>
      <c r="D45" s="88">
        <f t="shared" si="2"/>
        <v>28.32616377995901</v>
      </c>
      <c r="E45" s="88">
        <f t="shared" si="0"/>
        <v>1.6785291503344135</v>
      </c>
      <c r="F45" s="88">
        <f t="shared" si="1"/>
        <v>1.7856538263995945</v>
      </c>
      <c r="G45" s="120">
        <v>0</v>
      </c>
      <c r="H45" s="14"/>
      <c r="I45" s="177">
        <f>INDEX(Inputs!$F$2:$S$544,MATCH($B45&amp;I$2,Inputs!$S$2:$S$544,0),MATCH($C45,Inputs!$F$2:$S$2,0))</f>
        <v>1.7856538263995945</v>
      </c>
      <c r="J45" s="177">
        <f>INDEX(Inputs!$F$2:$S$544,MATCH($B45&amp;J$2,Inputs!$S$2:$S$544,0),MATCH($C45,Inputs!$F$2:$S$2,0))</f>
        <v>1.9847734976887583</v>
      </c>
      <c r="K45" s="177">
        <f>Controls!$F$17</f>
        <v>0.84570312546446125</v>
      </c>
      <c r="L45" s="178">
        <f>INDEX(Inputs!$F$2:$S$544,MATCH($B45&amp;L$2,Inputs!$S$2:$S$544,0),MATCH($C45,Inputs!$F$2:$S$2,0))</f>
        <v>2239.7139999999999</v>
      </c>
      <c r="M45" s="177">
        <f>INDEX('Modelled costs'!$AD$7:$AD$106, MATCH($A45, 'Modelled costs'!$A$7:$A$106, 0))</f>
        <v>63.442505584267117</v>
      </c>
    </row>
    <row r="46" spans="1:13" x14ac:dyDescent="0.3">
      <c r="A46" s="104" t="s">
        <v>103</v>
      </c>
      <c r="B46" s="17" t="s">
        <v>26</v>
      </c>
      <c r="C46" s="17" t="s">
        <v>49</v>
      </c>
      <c r="D46" s="88">
        <f t="shared" si="2"/>
        <v>28.484819166557813</v>
      </c>
      <c r="E46" s="88">
        <f t="shared" si="0"/>
        <v>1.64568547513903</v>
      </c>
      <c r="F46" s="88">
        <f t="shared" si="1"/>
        <v>1.7525133443637153</v>
      </c>
      <c r="G46" s="120">
        <v>0</v>
      </c>
      <c r="H46" s="14"/>
      <c r="I46" s="177">
        <f>INDEX(Inputs!$F$2:$S$544,MATCH($B46&amp;I$2,Inputs!$S$2:$S$544,0),MATCH($C46,Inputs!$F$2:$S$2,0))</f>
        <v>1.7525133443637153</v>
      </c>
      <c r="J46" s="177">
        <f>INDEX(Inputs!$F$2:$S$544,MATCH($B46&amp;J$2,Inputs!$S$2:$S$544,0),MATCH($C46,Inputs!$F$2:$S$2,0))</f>
        <v>1.945937558449033</v>
      </c>
      <c r="K46" s="177">
        <f>Controls!$F$17</f>
        <v>0.84570312546446125</v>
      </c>
      <c r="L46" s="178">
        <f>INDEX(Inputs!$F$2:$S$544,MATCH($B46&amp;L$2,Inputs!$S$2:$S$544,0),MATCH($C46,Inputs!$F$2:$S$2,0))</f>
        <v>2260.739</v>
      </c>
      <c r="M46" s="177">
        <f>INDEX('Modelled costs'!$AD$7:$AD$106, MATCH($A46, 'Modelled costs'!$A$7:$A$106, 0))</f>
        <v>64.396741597784739</v>
      </c>
    </row>
    <row r="47" spans="1:13" x14ac:dyDescent="0.3">
      <c r="A47" s="104" t="s">
        <v>104</v>
      </c>
      <c r="B47" s="17" t="s">
        <v>26</v>
      </c>
      <c r="C47" s="17" t="s">
        <v>50</v>
      </c>
      <c r="D47" s="88">
        <f t="shared" si="2"/>
        <v>28.63088960769683</v>
      </c>
      <c r="E47" s="88">
        <f t="shared" si="0"/>
        <v>1.0709863676902989</v>
      </c>
      <c r="F47" s="88">
        <f t="shared" si="1"/>
        <v>1.7170285593399675</v>
      </c>
      <c r="G47" s="120">
        <v>0</v>
      </c>
      <c r="H47" s="14"/>
      <c r="I47" s="177">
        <f>INDEX(Inputs!$F$2:$S$544,MATCH($B47&amp;I$2,Inputs!$S$2:$S$544,0),MATCH($C47,Inputs!$F$2:$S$2,0))</f>
        <v>1.7170285593399675</v>
      </c>
      <c r="J47" s="177">
        <f>INDEX(Inputs!$F$2:$S$544,MATCH($B47&amp;J$2,Inputs!$S$2:$S$544,0),MATCH($C47,Inputs!$F$2:$S$2,0))</f>
        <v>1.2663857273817118</v>
      </c>
      <c r="K47" s="177">
        <f>Controls!$F$17</f>
        <v>0.84570312546446125</v>
      </c>
      <c r="L47" s="178">
        <f>INDEX(Inputs!$F$2:$S$544,MATCH($B47&amp;L$2,Inputs!$S$2:$S$544,0),MATCH($C47,Inputs!$F$2:$S$2,0))</f>
        <v>2281.7280000000001</v>
      </c>
      <c r="M47" s="177">
        <f>INDEX('Modelled costs'!$AD$7:$AD$106, MATCH($A47, 'Modelled costs'!$A$7:$A$106, 0))</f>
        <v>65.327902482790876</v>
      </c>
    </row>
    <row r="48" spans="1:13" x14ac:dyDescent="0.3">
      <c r="A48" s="104" t="s">
        <v>105</v>
      </c>
      <c r="B48" s="17" t="s">
        <v>26</v>
      </c>
      <c r="C48" s="17" t="s">
        <v>51</v>
      </c>
      <c r="D48" s="88">
        <f t="shared" si="2"/>
        <v>28.766143085827768</v>
      </c>
      <c r="E48" s="88">
        <f t="shared" si="0"/>
        <v>0.71298860574445966</v>
      </c>
      <c r="F48" s="88">
        <f t="shared" si="1"/>
        <v>1.6835498859157902</v>
      </c>
      <c r="G48" s="120">
        <v>0</v>
      </c>
      <c r="H48" s="14"/>
      <c r="I48" s="177">
        <f>INDEX(Inputs!$F$2:$S$544,MATCH($B48&amp;I$2,Inputs!$S$2:$S$544,0),MATCH($C48,Inputs!$F$2:$S$2,0))</f>
        <v>1.6835498859157902</v>
      </c>
      <c r="J48" s="177">
        <f>INDEX(Inputs!$F$2:$S$544,MATCH($B48&amp;J$2,Inputs!$S$2:$S$544,0),MATCH($C48,Inputs!$F$2:$S$2,0))</f>
        <v>0.84307197676830792</v>
      </c>
      <c r="K48" s="177">
        <f>Controls!$F$17</f>
        <v>0.84570312546446125</v>
      </c>
      <c r="L48" s="178">
        <f>INDEX(Inputs!$F$2:$S$544,MATCH($B48&amp;L$2,Inputs!$S$2:$S$544,0),MATCH($C48,Inputs!$F$2:$S$2,0))</f>
        <v>2302.7640000000001</v>
      </c>
      <c r="M48" s="177">
        <f>INDEX('Modelled costs'!$AD$7:$AD$106, MATCH($A48, 'Modelled costs'!$A$7:$A$106, 0))</f>
        <v>66.241638716893092</v>
      </c>
    </row>
    <row r="49" spans="1:13" x14ac:dyDescent="0.3">
      <c r="A49" s="104" t="s">
        <v>190</v>
      </c>
      <c r="B49" s="17" t="s">
        <v>148</v>
      </c>
      <c r="C49" s="17" t="s">
        <v>47</v>
      </c>
      <c r="D49" s="88">
        <f t="shared" si="2"/>
        <v>23.383574592464953</v>
      </c>
      <c r="E49" s="88">
        <f t="shared" si="0"/>
        <v>5.5384761395975017</v>
      </c>
      <c r="F49" s="88">
        <f t="shared" si="1"/>
        <v>8.8674681796644066</v>
      </c>
      <c r="G49" s="120">
        <v>0</v>
      </c>
      <c r="H49" s="14"/>
      <c r="I49" s="177">
        <f>INDEX(Inputs!$F$2:$S$544,MATCH($B49&amp;I$2,Inputs!$S$2:$S$544,0),MATCH($C49,Inputs!$F$2:$S$2,0))</f>
        <v>8.8674681796644066</v>
      </c>
      <c r="J49" s="177">
        <f>INDEX(Inputs!$F$2:$S$544,MATCH($B49&amp;J$2,Inputs!$S$2:$S$544,0),MATCH($C49,Inputs!$F$2:$S$2,0))</f>
        <v>6.5489602353730971</v>
      </c>
      <c r="K49" s="177">
        <f>Controls!$F$17</f>
        <v>0.84570312546446125</v>
      </c>
      <c r="L49" s="178">
        <f>INDEX(Inputs!$F$2:$S$544,MATCH($B49&amp;L$2,Inputs!$S$2:$S$544,0),MATCH($C49,Inputs!$F$2:$S$2,0))</f>
        <v>4112.9695451171256</v>
      </c>
      <c r="M49" s="177">
        <f>INDEX('Modelled costs'!$AD$7:$AD$106, MATCH($A49, 'Modelled costs'!$A$7:$A$106, 0))</f>
        <v>96.175930154782947</v>
      </c>
    </row>
    <row r="50" spans="1:13" x14ac:dyDescent="0.3">
      <c r="A50" s="104" t="s">
        <v>191</v>
      </c>
      <c r="B50" s="17" t="s">
        <v>148</v>
      </c>
      <c r="C50" s="17" t="s">
        <v>48</v>
      </c>
      <c r="D50" s="88">
        <f t="shared" si="2"/>
        <v>23.531417118348173</v>
      </c>
      <c r="E50" s="88">
        <f t="shared" si="0"/>
        <v>6.5532801833026904</v>
      </c>
      <c r="F50" s="88">
        <f t="shared" si="1"/>
        <v>7.4883815713286745</v>
      </c>
      <c r="G50" s="120">
        <v>0</v>
      </c>
      <c r="H50" s="14"/>
      <c r="I50" s="177">
        <f>INDEX(Inputs!$F$2:$S$544,MATCH($B50&amp;I$2,Inputs!$S$2:$S$544,0),MATCH($C50,Inputs!$F$2:$S$2,0))</f>
        <v>7.4883815713286745</v>
      </c>
      <c r="J50" s="177">
        <f>INDEX(Inputs!$F$2:$S$544,MATCH($B50&amp;J$2,Inputs!$S$2:$S$544,0),MATCH($C50,Inputs!$F$2:$S$2,0))</f>
        <v>7.7489132840837271</v>
      </c>
      <c r="K50" s="177">
        <f>Controls!$F$17</f>
        <v>0.84570312546446125</v>
      </c>
      <c r="L50" s="178">
        <f>INDEX(Inputs!$F$2:$S$544,MATCH($B50&amp;L$2,Inputs!$S$2:$S$544,0),MATCH($C50,Inputs!$F$2:$S$2,0))</f>
        <v>4136.7720260177966</v>
      </c>
      <c r="M50" s="177">
        <f>INDEX('Modelled costs'!$AD$7:$AD$106, MATCH($A50, 'Modelled costs'!$A$7:$A$106, 0))</f>
        <v>97.344108067739029</v>
      </c>
    </row>
    <row r="51" spans="1:13" x14ac:dyDescent="0.3">
      <c r="A51" s="104" t="s">
        <v>192</v>
      </c>
      <c r="B51" s="17" t="s">
        <v>148</v>
      </c>
      <c r="C51" s="17" t="s">
        <v>49</v>
      </c>
      <c r="D51" s="88">
        <f t="shared" si="2"/>
        <v>23.661215115976869</v>
      </c>
      <c r="E51" s="88">
        <f t="shared" si="0"/>
        <v>7.3899593384412281</v>
      </c>
      <c r="F51" s="88">
        <f t="shared" si="1"/>
        <v>6.547370910693604</v>
      </c>
      <c r="G51" s="120">
        <v>0</v>
      </c>
      <c r="H51" s="14"/>
      <c r="I51" s="177">
        <f>INDEX(Inputs!$F$2:$S$544,MATCH($B51&amp;I$2,Inputs!$S$2:$S$544,0),MATCH($C51,Inputs!$F$2:$S$2,0))</f>
        <v>6.547370910693604</v>
      </c>
      <c r="J51" s="177">
        <f>INDEX(Inputs!$F$2:$S$544,MATCH($B51&amp;J$2,Inputs!$S$2:$S$544,0),MATCH($C51,Inputs!$F$2:$S$2,0))</f>
        <v>8.7382429080921895</v>
      </c>
      <c r="K51" s="177">
        <f>Controls!$F$17</f>
        <v>0.84570312546446125</v>
      </c>
      <c r="L51" s="178">
        <f>INDEX(Inputs!$F$2:$S$544,MATCH($B51&amp;L$2,Inputs!$S$2:$S$544,0),MATCH($C51,Inputs!$F$2:$S$2,0))</f>
        <v>4162.0403639944807</v>
      </c>
      <c r="M51" s="177">
        <f>INDEX('Modelled costs'!$AD$7:$AD$106, MATCH($A51, 'Modelled costs'!$A$7:$A$106, 0))</f>
        <v>98.478932373852075</v>
      </c>
    </row>
    <row r="52" spans="1:13" x14ac:dyDescent="0.3">
      <c r="A52" s="104" t="s">
        <v>193</v>
      </c>
      <c r="B52" s="17" t="s">
        <v>148</v>
      </c>
      <c r="C52" s="17" t="s">
        <v>50</v>
      </c>
      <c r="D52" s="88">
        <f t="shared" si="2"/>
        <v>23.779650494334589</v>
      </c>
      <c r="E52" s="88">
        <f t="shared" si="0"/>
        <v>5.8197336755032136</v>
      </c>
      <c r="F52" s="88">
        <f t="shared" si="1"/>
        <v>8.3183721271289421</v>
      </c>
      <c r="G52" s="120">
        <v>0</v>
      </c>
      <c r="H52" s="14"/>
      <c r="I52" s="177">
        <f>INDEX(Inputs!$F$2:$S$544,MATCH($B52&amp;I$2,Inputs!$S$2:$S$544,0),MATCH($C52,Inputs!$F$2:$S$2,0))</f>
        <v>8.3183721271289421</v>
      </c>
      <c r="J52" s="177">
        <f>INDEX(Inputs!$F$2:$S$544,MATCH($B52&amp;J$2,Inputs!$S$2:$S$544,0),MATCH($C52,Inputs!$F$2:$S$2,0))</f>
        <v>6.8815326563999735</v>
      </c>
      <c r="K52" s="177">
        <f>Controls!$F$17</f>
        <v>0.84570312546446125</v>
      </c>
      <c r="L52" s="178">
        <f>INDEX(Inputs!$F$2:$S$544,MATCH($B52&amp;L$2,Inputs!$S$2:$S$544,0),MATCH($C52,Inputs!$F$2:$S$2,0))</f>
        <v>4187.7381527726839</v>
      </c>
      <c r="M52" s="177">
        <f>INDEX('Modelled costs'!$AD$7:$AD$106, MATCH($A52, 'Modelled costs'!$A$7:$A$106, 0))</f>
        <v>99.58294963472477</v>
      </c>
    </row>
    <row r="53" spans="1:13" x14ac:dyDescent="0.3">
      <c r="A53" s="104" t="s">
        <v>194</v>
      </c>
      <c r="B53" s="17" t="s">
        <v>148</v>
      </c>
      <c r="C53" s="17" t="s">
        <v>51</v>
      </c>
      <c r="D53" s="88">
        <f t="shared" si="2"/>
        <v>23.888895775888258</v>
      </c>
      <c r="E53" s="88">
        <f t="shared" si="0"/>
        <v>5.5830583867916941</v>
      </c>
      <c r="F53" s="88">
        <f t="shared" si="1"/>
        <v>5.5389962380775</v>
      </c>
      <c r="G53" s="120">
        <v>0</v>
      </c>
      <c r="H53" s="14"/>
      <c r="I53" s="177">
        <f>INDEX(Inputs!$F$2:$S$544,MATCH($B53&amp;I$2,Inputs!$S$2:$S$544,0),MATCH($C53,Inputs!$F$2:$S$2,0))</f>
        <v>5.5389962380775</v>
      </c>
      <c r="J53" s="177">
        <f>INDEX(Inputs!$F$2:$S$544,MATCH($B53&amp;J$2,Inputs!$S$2:$S$544,0),MATCH($C53,Inputs!$F$2:$S$2,0))</f>
        <v>6.6016764260218039</v>
      </c>
      <c r="K53" s="177">
        <f>Controls!$F$17</f>
        <v>0.84570312546446125</v>
      </c>
      <c r="L53" s="178">
        <f>INDEX(Inputs!$F$2:$S$544,MATCH($B53&amp;L$2,Inputs!$S$2:$S$544,0),MATCH($C53,Inputs!$F$2:$S$2,0))</f>
        <v>4213.8639797621199</v>
      </c>
      <c r="M53" s="177">
        <f>INDEX('Modelled costs'!$AD$7:$AD$106, MATCH($A53, 'Modelled costs'!$A$7:$A$106, 0))</f>
        <v>100.66455742630698</v>
      </c>
    </row>
    <row r="54" spans="1:13" x14ac:dyDescent="0.3">
      <c r="A54" s="104" t="s">
        <v>195</v>
      </c>
      <c r="B54" s="17" t="s">
        <v>149</v>
      </c>
      <c r="C54" s="17" t="s">
        <v>47</v>
      </c>
      <c r="D54" s="88">
        <f t="shared" si="2"/>
        <v>29.691921933269622</v>
      </c>
      <c r="E54" s="88">
        <f t="shared" si="0"/>
        <v>0.63916598196717911</v>
      </c>
      <c r="F54" s="88">
        <f t="shared" si="1"/>
        <v>0.19834004723968643</v>
      </c>
      <c r="G54" s="120">
        <v>0</v>
      </c>
      <c r="H54" s="14"/>
      <c r="I54" s="177">
        <f>INDEX(Inputs!$F$2:$S$544,MATCH($B54&amp;I$2,Inputs!$S$2:$S$544,0),MATCH($C54,Inputs!$F$2:$S$2,0))</f>
        <v>0.19834004723968643</v>
      </c>
      <c r="J54" s="177">
        <f>INDEX(Inputs!$F$2:$S$544,MATCH($B54&amp;J$2,Inputs!$S$2:$S$544,0),MATCH($C54,Inputs!$F$2:$S$2,0))</f>
        <v>0.75578056024819384</v>
      </c>
      <c r="K54" s="177">
        <f>Controls!$F$17</f>
        <v>0.84570312546446125</v>
      </c>
      <c r="L54" s="178">
        <f>INDEX(Inputs!$F$2:$S$544,MATCH($B54&amp;L$2,Inputs!$S$2:$S$544,0),MATCH($C54,Inputs!$F$2:$S$2,0))</f>
        <v>95.024000000000001</v>
      </c>
      <c r="M54" s="177">
        <f>INDEX('Modelled costs'!$AD$7:$AD$106, MATCH($A54, 'Modelled costs'!$A$7:$A$106, 0))</f>
        <v>2.8214451897870125</v>
      </c>
    </row>
    <row r="55" spans="1:13" x14ac:dyDescent="0.3">
      <c r="A55" s="104" t="s">
        <v>196</v>
      </c>
      <c r="B55" s="17" t="s">
        <v>149</v>
      </c>
      <c r="C55" s="17" t="s">
        <v>48</v>
      </c>
      <c r="D55" s="88">
        <f t="shared" si="2"/>
        <v>29.901524526564486</v>
      </c>
      <c r="E55" s="88">
        <f t="shared" si="0"/>
        <v>0.62211904875758128</v>
      </c>
      <c r="F55" s="88">
        <f t="shared" si="1"/>
        <v>0.16769144729500393</v>
      </c>
      <c r="G55" s="120">
        <v>0</v>
      </c>
      <c r="H55" s="14"/>
      <c r="I55" s="177">
        <f>INDEX(Inputs!$F$2:$S$544,MATCH($B55&amp;I$2,Inputs!$S$2:$S$544,0),MATCH($C55,Inputs!$F$2:$S$2,0))</f>
        <v>0.16769144729500393</v>
      </c>
      <c r="J55" s="177">
        <f>INDEX(Inputs!$F$2:$S$544,MATCH($B55&amp;J$2,Inputs!$S$2:$S$544,0),MATCH($C55,Inputs!$F$2:$S$2,0))</f>
        <v>0.73562344754953191</v>
      </c>
      <c r="K55" s="177">
        <f>Controls!$F$17</f>
        <v>0.84570312546446125</v>
      </c>
      <c r="L55" s="178">
        <f>INDEX(Inputs!$F$2:$S$544,MATCH($B55&amp;L$2,Inputs!$S$2:$S$544,0),MATCH($C55,Inputs!$F$2:$S$2,0))</f>
        <v>95.504000000000005</v>
      </c>
      <c r="M55" s="177">
        <f>INDEX('Modelled costs'!$AD$7:$AD$106, MATCH($A55, 'Modelled costs'!$A$7:$A$106, 0))</f>
        <v>2.8557151983850151</v>
      </c>
    </row>
    <row r="56" spans="1:13" x14ac:dyDescent="0.3">
      <c r="A56" s="104" t="s">
        <v>197</v>
      </c>
      <c r="B56" s="17" t="s">
        <v>149</v>
      </c>
      <c r="C56" s="17" t="s">
        <v>49</v>
      </c>
      <c r="D56" s="88">
        <f t="shared" si="2"/>
        <v>30.095701146183011</v>
      </c>
      <c r="E56" s="88">
        <f t="shared" si="0"/>
        <v>0.52510006533404663</v>
      </c>
      <c r="F56" s="88">
        <f t="shared" si="1"/>
        <v>0.1695310131981663</v>
      </c>
      <c r="G56" s="120">
        <v>0</v>
      </c>
      <c r="H56" s="14"/>
      <c r="I56" s="177">
        <f>INDEX(Inputs!$F$2:$S$544,MATCH($B56&amp;I$2,Inputs!$S$2:$S$544,0),MATCH($C56,Inputs!$F$2:$S$2,0))</f>
        <v>0.1695310131981663</v>
      </c>
      <c r="J56" s="177">
        <f>INDEX(Inputs!$F$2:$S$544,MATCH($B56&amp;J$2,Inputs!$S$2:$S$544,0),MATCH($C56,Inputs!$F$2:$S$2,0))</f>
        <v>0.62090354111634738</v>
      </c>
      <c r="K56" s="177">
        <f>Controls!$F$17</f>
        <v>0.84570312546446125</v>
      </c>
      <c r="L56" s="178">
        <f>INDEX(Inputs!$F$2:$S$544,MATCH($B56&amp;L$2,Inputs!$S$2:$S$544,0),MATCH($C56,Inputs!$F$2:$S$2,0))</f>
        <v>95.994</v>
      </c>
      <c r="M56" s="177">
        <f>INDEX('Modelled costs'!$AD$7:$AD$106, MATCH($A56, 'Modelled costs'!$A$7:$A$106, 0))</f>
        <v>2.8890067358266918</v>
      </c>
    </row>
    <row r="57" spans="1:13" x14ac:dyDescent="0.3">
      <c r="A57" s="104" t="s">
        <v>198</v>
      </c>
      <c r="B57" s="17" t="s">
        <v>149</v>
      </c>
      <c r="C57" s="17" t="s">
        <v>50</v>
      </c>
      <c r="D57" s="88">
        <f t="shared" si="2"/>
        <v>30.27759707304951</v>
      </c>
      <c r="E57" s="88">
        <f t="shared" si="0"/>
        <v>0.50765591833452395</v>
      </c>
      <c r="F57" s="88">
        <f t="shared" si="1"/>
        <v>0.18640683258482724</v>
      </c>
      <c r="G57" s="120">
        <v>0</v>
      </c>
      <c r="H57" s="14"/>
      <c r="I57" s="177">
        <f>INDEX(Inputs!$F$2:$S$544,MATCH($B57&amp;I$2,Inputs!$S$2:$S$544,0),MATCH($C57,Inputs!$F$2:$S$2,0))</f>
        <v>0.18640683258482724</v>
      </c>
      <c r="J57" s="177">
        <f>INDEX(Inputs!$F$2:$S$544,MATCH($B57&amp;J$2,Inputs!$S$2:$S$544,0),MATCH($C57,Inputs!$F$2:$S$2,0))</f>
        <v>0.60027674375179663</v>
      </c>
      <c r="K57" s="177">
        <f>Controls!$F$17</f>
        <v>0.84570312546446125</v>
      </c>
      <c r="L57" s="178">
        <f>INDEX(Inputs!$F$2:$S$544,MATCH($B57&amp;L$2,Inputs!$S$2:$S$544,0),MATCH($C57,Inputs!$F$2:$S$2,0))</f>
        <v>96.486999999999995</v>
      </c>
      <c r="M57" s="177">
        <f>INDEX('Modelled costs'!$AD$7:$AD$106, MATCH($A57, 'Modelled costs'!$A$7:$A$106, 0))</f>
        <v>2.9213945087873281</v>
      </c>
    </row>
    <row r="58" spans="1:13" x14ac:dyDescent="0.3">
      <c r="A58" s="104" t="s">
        <v>199</v>
      </c>
      <c r="B58" s="17" t="s">
        <v>149</v>
      </c>
      <c r="C58" s="17" t="s">
        <v>51</v>
      </c>
      <c r="D58" s="88">
        <f t="shared" si="2"/>
        <v>30.449608914963029</v>
      </c>
      <c r="E58" s="88">
        <f t="shared" si="0"/>
        <v>0.51822167373028605</v>
      </c>
      <c r="F58" s="88">
        <f t="shared" si="1"/>
        <v>0.12414808306159791</v>
      </c>
      <c r="G58" s="120">
        <v>0</v>
      </c>
      <c r="H58" s="14"/>
      <c r="I58" s="177">
        <f>INDEX(Inputs!$F$2:$S$544,MATCH($B58&amp;I$2,Inputs!$S$2:$S$544,0),MATCH($C58,Inputs!$F$2:$S$2,0))</f>
        <v>0.12414808306159791</v>
      </c>
      <c r="J58" s="177">
        <f>INDEX(Inputs!$F$2:$S$544,MATCH($B58&amp;J$2,Inputs!$S$2:$S$544,0),MATCH($C58,Inputs!$F$2:$S$2,0))</f>
        <v>0.61277020047156383</v>
      </c>
      <c r="K58" s="177">
        <f>Controls!$F$17</f>
        <v>0.84570312546446125</v>
      </c>
      <c r="L58" s="178">
        <f>INDEX(Inputs!$F$2:$S$544,MATCH($B58&amp;L$2,Inputs!$S$2:$S$544,0),MATCH($C58,Inputs!$F$2:$S$2,0))</f>
        <v>96.983999999999995</v>
      </c>
      <c r="M58" s="177">
        <f>INDEX('Modelled costs'!$AD$7:$AD$106, MATCH($A58, 'Modelled costs'!$A$7:$A$106, 0))</f>
        <v>2.9531248710087743</v>
      </c>
    </row>
    <row r="59" spans="1:13" x14ac:dyDescent="0.3">
      <c r="A59" s="104" t="s">
        <v>106</v>
      </c>
      <c r="B59" s="17" t="s">
        <v>27</v>
      </c>
      <c r="C59" s="17" t="s">
        <v>47</v>
      </c>
      <c r="D59" s="88">
        <f t="shared" si="2"/>
        <v>19.183141068980792</v>
      </c>
      <c r="E59" s="88">
        <f t="shared" si="0"/>
        <v>0.67156564958451848</v>
      </c>
      <c r="F59" s="88">
        <f t="shared" si="1"/>
        <v>0.76398374962383397</v>
      </c>
      <c r="G59" s="120">
        <v>0</v>
      </c>
      <c r="H59" s="14"/>
      <c r="I59" s="177">
        <f>INDEX(Inputs!$F$2:$S$544,MATCH($B59&amp;I$2,Inputs!$S$2:$S$544,0),MATCH($C59,Inputs!$F$2:$S$2,0))</f>
        <v>0.76398374962383397</v>
      </c>
      <c r="J59" s="177">
        <f>INDEX(Inputs!$F$2:$S$544,MATCH($B59&amp;J$2,Inputs!$S$2:$S$544,0),MATCH($C59,Inputs!$F$2:$S$2,0))</f>
        <v>0.79409148359915749</v>
      </c>
      <c r="K59" s="177">
        <f>Controls!$F$17</f>
        <v>0.84570312546446125</v>
      </c>
      <c r="L59" s="178">
        <f>INDEX(Inputs!$F$2:$S$544,MATCH($B59&amp;L$2,Inputs!$S$2:$S$544,0),MATCH($C59,Inputs!$F$2:$S$2,0))</f>
        <v>1408.6079999999999</v>
      </c>
      <c r="M59" s="177">
        <f>INDEX('Modelled costs'!$AD$7:$AD$106, MATCH($A59, 'Modelled costs'!$A$7:$A$106, 0))</f>
        <v>27.021525974894892</v>
      </c>
    </row>
    <row r="60" spans="1:13" x14ac:dyDescent="0.3">
      <c r="A60" s="104" t="s">
        <v>107</v>
      </c>
      <c r="B60" s="17" t="s">
        <v>27</v>
      </c>
      <c r="C60" s="17" t="s">
        <v>48</v>
      </c>
      <c r="D60" s="88">
        <f t="shared" si="2"/>
        <v>19.39225841657526</v>
      </c>
      <c r="E60" s="88">
        <f t="shared" si="0"/>
        <v>0.70919992829272849</v>
      </c>
      <c r="F60" s="88">
        <f t="shared" si="1"/>
        <v>0.33765092947772218</v>
      </c>
      <c r="G60" s="120">
        <v>0</v>
      </c>
      <c r="H60" s="14"/>
      <c r="I60" s="177">
        <f>INDEX(Inputs!$F$2:$S$544,MATCH($B60&amp;I$2,Inputs!$S$2:$S$544,0),MATCH($C60,Inputs!$F$2:$S$2,0))</f>
        <v>0.33765092947772218</v>
      </c>
      <c r="J60" s="177">
        <f>INDEX(Inputs!$F$2:$S$544,MATCH($B60&amp;J$2,Inputs!$S$2:$S$544,0),MATCH($C60,Inputs!$F$2:$S$2,0))</f>
        <v>0.83859206255532637</v>
      </c>
      <c r="K60" s="177">
        <f>Controls!$F$17</f>
        <v>0.84570312546446125</v>
      </c>
      <c r="L60" s="178">
        <f>INDEX(Inputs!$F$2:$S$544,MATCH($B60&amp;L$2,Inputs!$S$2:$S$544,0),MATCH($C60,Inputs!$F$2:$S$2,0))</f>
        <v>1428.6849999999999</v>
      </c>
      <c r="M60" s="177">
        <f>INDEX('Modelled costs'!$AD$7:$AD$106, MATCH($A60, 'Modelled costs'!$A$7:$A$106, 0))</f>
        <v>27.705428715884825</v>
      </c>
    </row>
    <row r="61" spans="1:13" x14ac:dyDescent="0.3">
      <c r="A61" s="104" t="s">
        <v>108</v>
      </c>
      <c r="B61" s="17" t="s">
        <v>27</v>
      </c>
      <c r="C61" s="17" t="s">
        <v>49</v>
      </c>
      <c r="D61" s="88">
        <f t="shared" si="2"/>
        <v>19.65738095374908</v>
      </c>
      <c r="E61" s="88">
        <f t="shared" si="0"/>
        <v>0.7419057266739123</v>
      </c>
      <c r="F61" s="88">
        <f t="shared" si="1"/>
        <v>0.33100925658085251</v>
      </c>
      <c r="G61" s="120">
        <v>0</v>
      </c>
      <c r="H61" s="14"/>
      <c r="I61" s="177">
        <f>INDEX(Inputs!$F$2:$S$544,MATCH($B61&amp;I$2,Inputs!$S$2:$S$544,0),MATCH($C61,Inputs!$F$2:$S$2,0))</f>
        <v>0.33100925658085251</v>
      </c>
      <c r="J61" s="177">
        <f>INDEX(Inputs!$F$2:$S$544,MATCH($B61&amp;J$2,Inputs!$S$2:$S$544,0),MATCH($C61,Inputs!$F$2:$S$2,0))</f>
        <v>0.87726496962684952</v>
      </c>
      <c r="K61" s="177">
        <f>Controls!$F$17</f>
        <v>0.84570312546446125</v>
      </c>
      <c r="L61" s="178">
        <f>INDEX(Inputs!$F$2:$S$544,MATCH($B61&amp;L$2,Inputs!$S$2:$S$544,0),MATCH($C61,Inputs!$F$2:$S$2,0))</f>
        <v>1445.4079999999999</v>
      </c>
      <c r="M61" s="177">
        <f>INDEX('Modelled costs'!$AD$7:$AD$106, MATCH($A61, 'Modelled costs'!$A$7:$A$106, 0))</f>
        <v>28.412935689596551</v>
      </c>
    </row>
    <row r="62" spans="1:13" x14ac:dyDescent="0.3">
      <c r="A62" s="104" t="s">
        <v>109</v>
      </c>
      <c r="B62" s="17" t="s">
        <v>27</v>
      </c>
      <c r="C62" s="17" t="s">
        <v>50</v>
      </c>
      <c r="D62" s="88">
        <f t="shared" si="2"/>
        <v>19.941548216378919</v>
      </c>
      <c r="E62" s="88">
        <f t="shared" si="0"/>
        <v>0.76263198120665121</v>
      </c>
      <c r="F62" s="88">
        <f t="shared" si="1"/>
        <v>0.32453176403857253</v>
      </c>
      <c r="G62" s="120">
        <v>0</v>
      </c>
      <c r="H62" s="14"/>
      <c r="I62" s="177">
        <f>INDEX(Inputs!$F$2:$S$544,MATCH($B62&amp;I$2,Inputs!$S$2:$S$544,0),MATCH($C62,Inputs!$F$2:$S$2,0))</f>
        <v>0.32453176403857253</v>
      </c>
      <c r="J62" s="177">
        <f>INDEX(Inputs!$F$2:$S$544,MATCH($B62&amp;J$2,Inputs!$S$2:$S$544,0),MATCH($C62,Inputs!$F$2:$S$2,0))</f>
        <v>0.90177268859898418</v>
      </c>
      <c r="K62" s="177">
        <f>Controls!$F$17</f>
        <v>0.84570312546446125</v>
      </c>
      <c r="L62" s="178">
        <f>INDEX(Inputs!$F$2:$S$544,MATCH($B62&amp;L$2,Inputs!$S$2:$S$544,0),MATCH($C62,Inputs!$F$2:$S$2,0))</f>
        <v>1462.1320000000001</v>
      </c>
      <c r="M62" s="177">
        <f>INDEX('Modelled costs'!$AD$7:$AD$106, MATCH($A62, 'Modelled costs'!$A$7:$A$106, 0))</f>
        <v>29.157175776710542</v>
      </c>
    </row>
    <row r="63" spans="1:13" x14ac:dyDescent="0.3">
      <c r="A63" s="104" t="s">
        <v>110</v>
      </c>
      <c r="B63" s="17" t="s">
        <v>27</v>
      </c>
      <c r="C63" s="17" t="s">
        <v>51</v>
      </c>
      <c r="D63" s="88">
        <f t="shared" si="2"/>
        <v>20.22403583827116</v>
      </c>
      <c r="E63" s="88">
        <f t="shared" si="0"/>
        <v>0.31976077494234667</v>
      </c>
      <c r="F63" s="88">
        <f t="shared" si="1"/>
        <v>0.31812593828190255</v>
      </c>
      <c r="G63" s="120">
        <v>0</v>
      </c>
      <c r="H63" s="14"/>
      <c r="I63" s="177">
        <f>INDEX(Inputs!$F$2:$S$544,MATCH($B63&amp;I$2,Inputs!$S$2:$S$544,0),MATCH($C63,Inputs!$F$2:$S$2,0))</f>
        <v>0.31812593828190255</v>
      </c>
      <c r="J63" s="177">
        <f>INDEX(Inputs!$F$2:$S$544,MATCH($B63&amp;J$2,Inputs!$S$2:$S$544,0),MATCH($C63,Inputs!$F$2:$S$2,0))</f>
        <v>0.37810050041701532</v>
      </c>
      <c r="K63" s="177">
        <f>Controls!$F$17</f>
        <v>0.84570312546446125</v>
      </c>
      <c r="L63" s="178">
        <f>INDEX(Inputs!$F$2:$S$544,MATCH($B63&amp;L$2,Inputs!$S$2:$S$544,0),MATCH($C63,Inputs!$F$2:$S$2,0))</f>
        <v>1478.8559999999998</v>
      </c>
      <c r="M63" s="177">
        <f>INDEX('Modelled costs'!$AD$7:$AD$106, MATCH($A63, 'Modelled costs'!$A$7:$A$106, 0))</f>
        <v>29.90843674364233</v>
      </c>
    </row>
    <row r="64" spans="1:13" x14ac:dyDescent="0.3">
      <c r="A64" s="104" t="s">
        <v>111</v>
      </c>
      <c r="B64" s="17" t="s">
        <v>28</v>
      </c>
      <c r="C64" s="17" t="s">
        <v>47</v>
      </c>
      <c r="D64" s="88">
        <f t="shared" si="2"/>
        <v>19.402059187053741</v>
      </c>
      <c r="E64" s="88">
        <f t="shared" si="0"/>
        <v>0.37539315058060346</v>
      </c>
      <c r="F64" s="88">
        <f t="shared" si="1"/>
        <v>1.1554149208741591</v>
      </c>
      <c r="G64" s="120">
        <v>0</v>
      </c>
      <c r="H64" s="14"/>
      <c r="I64" s="177">
        <f>INDEX(Inputs!$F$2:$S$544,MATCH($B64&amp;I$2,Inputs!$S$2:$S$544,0),MATCH($C64,Inputs!$F$2:$S$2,0))</f>
        <v>1.1554149208741591</v>
      </c>
      <c r="J64" s="177">
        <f>INDEX(Inputs!$F$2:$S$544,MATCH($B64&amp;J$2,Inputs!$S$2:$S$544,0),MATCH($C64,Inputs!$F$2:$S$2,0))</f>
        <v>0.44388289374529277</v>
      </c>
      <c r="K64" s="177">
        <f>Controls!$F$17</f>
        <v>0.84570312546446125</v>
      </c>
      <c r="L64" s="178">
        <f>INDEX(Inputs!$F$2:$S$544,MATCH($B64&amp;L$2,Inputs!$S$2:$S$544,0),MATCH($C64,Inputs!$F$2:$S$2,0))</f>
        <v>508.06900000000002</v>
      </c>
      <c r="M64" s="177">
        <f>INDEX('Modelled costs'!$AD$7:$AD$106, MATCH($A64, 'Modelled costs'!$A$7:$A$106, 0))</f>
        <v>9.8575848091072071</v>
      </c>
    </row>
    <row r="65" spans="1:13" x14ac:dyDescent="0.3">
      <c r="A65" s="104" t="s">
        <v>112</v>
      </c>
      <c r="B65" s="17" t="s">
        <v>28</v>
      </c>
      <c r="C65" s="17" t="s">
        <v>48</v>
      </c>
      <c r="D65" s="88">
        <f t="shared" si="2"/>
        <v>19.489781041073339</v>
      </c>
      <c r="E65" s="88">
        <f t="shared" si="0"/>
        <v>0.39845942796778422</v>
      </c>
      <c r="F65" s="88">
        <f t="shared" si="1"/>
        <v>0.19585373420994431</v>
      </c>
      <c r="G65" s="120">
        <v>0</v>
      </c>
      <c r="H65" s="14"/>
      <c r="I65" s="177">
        <f>INDEX(Inputs!$F$2:$S$544,MATCH($B65&amp;I$2,Inputs!$S$2:$S$544,0),MATCH($C65,Inputs!$F$2:$S$2,0))</f>
        <v>0.19585373420994431</v>
      </c>
      <c r="J65" s="177">
        <f>INDEX(Inputs!$F$2:$S$544,MATCH($B65&amp;J$2,Inputs!$S$2:$S$544,0),MATCH($C65,Inputs!$F$2:$S$2,0))</f>
        <v>0.47115756814656418</v>
      </c>
      <c r="K65" s="177">
        <f>Controls!$F$17</f>
        <v>0.84570312546446125</v>
      </c>
      <c r="L65" s="178">
        <f>INDEX(Inputs!$F$2:$S$544,MATCH($B65&amp;L$2,Inputs!$S$2:$S$544,0),MATCH($C65,Inputs!$F$2:$S$2,0))</f>
        <v>514.02</v>
      </c>
      <c r="M65" s="177">
        <f>INDEX('Modelled costs'!$AD$7:$AD$106, MATCH($A65, 'Modelled costs'!$A$7:$A$106, 0))</f>
        <v>10.018137250732519</v>
      </c>
    </row>
    <row r="66" spans="1:13" x14ac:dyDescent="0.3">
      <c r="A66" s="104" t="s">
        <v>113</v>
      </c>
      <c r="B66" s="17" t="s">
        <v>28</v>
      </c>
      <c r="C66" s="17" t="s">
        <v>49</v>
      </c>
      <c r="D66" s="88">
        <f t="shared" si="2"/>
        <v>19.566635024715268</v>
      </c>
      <c r="E66" s="88">
        <f t="shared" si="0"/>
        <v>0.40822663712087964</v>
      </c>
      <c r="F66" s="88">
        <f t="shared" si="1"/>
        <v>0.19380722717068641</v>
      </c>
      <c r="G66" s="120">
        <v>0</v>
      </c>
      <c r="H66" s="14"/>
      <c r="I66" s="177">
        <f>INDEX(Inputs!$F$2:$S$544,MATCH($B66&amp;I$2,Inputs!$S$2:$S$544,0),MATCH($C66,Inputs!$F$2:$S$2,0))</f>
        <v>0.19380722717068641</v>
      </c>
      <c r="J66" s="177">
        <f>INDEX(Inputs!$F$2:$S$544,MATCH($B66&amp;J$2,Inputs!$S$2:$S$544,0),MATCH($C66,Inputs!$F$2:$S$2,0))</f>
        <v>0.48270678542979373</v>
      </c>
      <c r="K66" s="177">
        <f>Controls!$F$17</f>
        <v>0.84570312546446125</v>
      </c>
      <c r="L66" s="178">
        <f>INDEX(Inputs!$F$2:$S$544,MATCH($B66&amp;L$2,Inputs!$S$2:$S$544,0),MATCH($C66,Inputs!$F$2:$S$2,0))</f>
        <v>519.48599999999999</v>
      </c>
      <c r="M66" s="177">
        <f>INDEX('Modelled costs'!$AD$7:$AD$106, MATCH($A66, 'Modelled costs'!$A$7:$A$106, 0))</f>
        <v>10.164592962449234</v>
      </c>
    </row>
    <row r="67" spans="1:13" x14ac:dyDescent="0.3">
      <c r="A67" s="104" t="s">
        <v>114</v>
      </c>
      <c r="B67" s="17" t="s">
        <v>28</v>
      </c>
      <c r="C67" s="17" t="s">
        <v>50</v>
      </c>
      <c r="D67" s="88">
        <f t="shared" si="2"/>
        <v>19.655366194534139</v>
      </c>
      <c r="E67" s="88">
        <f t="shared" si="0"/>
        <v>0.39118878834002124</v>
      </c>
      <c r="F67" s="88">
        <f t="shared" si="1"/>
        <v>0.18999602442141247</v>
      </c>
      <c r="G67" s="120">
        <v>0</v>
      </c>
      <c r="H67" s="14"/>
      <c r="I67" s="177">
        <f>INDEX(Inputs!$F$2:$S$544,MATCH($B67&amp;I$2,Inputs!$S$2:$S$544,0),MATCH($C67,Inputs!$F$2:$S$2,0))</f>
        <v>0.18999602442141247</v>
      </c>
      <c r="J67" s="177">
        <f>INDEX(Inputs!$F$2:$S$544,MATCH($B67&amp;J$2,Inputs!$S$2:$S$544,0),MATCH($C67,Inputs!$F$2:$S$2,0))</f>
        <v>0.46256041459605562</v>
      </c>
      <c r="K67" s="177">
        <f>Controls!$F$17</f>
        <v>0.84570312546446125</v>
      </c>
      <c r="L67" s="178">
        <f>INDEX(Inputs!$F$2:$S$544,MATCH($B67&amp;L$2,Inputs!$S$2:$S$544,0),MATCH($C67,Inputs!$F$2:$S$2,0))</f>
        <v>524.86</v>
      </c>
      <c r="M67" s="177">
        <f>INDEX('Modelled costs'!$AD$7:$AD$106, MATCH($A67, 'Modelled costs'!$A$7:$A$106, 0))</f>
        <v>10.316315500863189</v>
      </c>
    </row>
    <row r="68" spans="1:13" x14ac:dyDescent="0.3">
      <c r="A68" s="104" t="s">
        <v>115</v>
      </c>
      <c r="B68" s="17" t="s">
        <v>28</v>
      </c>
      <c r="C68" s="17" t="s">
        <v>51</v>
      </c>
      <c r="D68" s="88">
        <f t="shared" si="2"/>
        <v>19.730802866691505</v>
      </c>
      <c r="E68" s="88">
        <f t="shared" si="0"/>
        <v>0.35632464366812905</v>
      </c>
      <c r="F68" s="88">
        <f t="shared" si="1"/>
        <v>0.18716344145900052</v>
      </c>
      <c r="G68" s="120">
        <v>0</v>
      </c>
      <c r="H68" s="14"/>
      <c r="I68" s="177">
        <f>INDEX(Inputs!$F$2:$S$544,MATCH($B68&amp;I$2,Inputs!$S$2:$S$544,0),MATCH($C68,Inputs!$F$2:$S$2,0))</f>
        <v>0.18716344145900052</v>
      </c>
      <c r="J68" s="177">
        <f>INDEX(Inputs!$F$2:$S$544,MATCH($B68&amp;J$2,Inputs!$S$2:$S$544,0),MATCH($C68,Inputs!$F$2:$S$2,0))</f>
        <v>0.42133537519142439</v>
      </c>
      <c r="K68" s="177">
        <f>Controls!$F$17</f>
        <v>0.84570312546446125</v>
      </c>
      <c r="L68" s="178">
        <f>INDEX(Inputs!$F$2:$S$544,MATCH($B68&amp;L$2,Inputs!$S$2:$S$544,0),MATCH($C68,Inputs!$F$2:$S$2,0))</f>
        <v>530.11</v>
      </c>
      <c r="M68" s="177">
        <f>INDEX('Modelled costs'!$AD$7:$AD$106, MATCH($A68, 'Modelled costs'!$A$7:$A$106, 0))</f>
        <v>10.459495907661834</v>
      </c>
    </row>
    <row r="69" spans="1:13" x14ac:dyDescent="0.3">
      <c r="A69" s="104" t="s">
        <v>121</v>
      </c>
      <c r="B69" s="17" t="s">
        <v>30</v>
      </c>
      <c r="C69" s="17" t="s">
        <v>47</v>
      </c>
      <c r="D69" s="88">
        <f t="shared" ref="D69:D88" si="3">(M69*1000)/L69</f>
        <v>13.813227172095816</v>
      </c>
      <c r="E69" s="88">
        <f t="shared" ref="E69:E88" si="4">J69*K69</f>
        <v>1.1156949209299681E-2</v>
      </c>
      <c r="F69" s="88">
        <f t="shared" ref="F69:F88" si="5">I69</f>
        <v>4.9943083730993515E-2</v>
      </c>
      <c r="G69" s="120">
        <v>0</v>
      </c>
      <c r="H69" s="14"/>
      <c r="I69" s="177">
        <f>INDEX(Inputs!$F$2:$S$544,MATCH($B69&amp;I$2,Inputs!$S$2:$S$544,0),MATCH($C69,Inputs!$F$2:$S$2,0))</f>
        <v>4.9943083730993515E-2</v>
      </c>
      <c r="J69" s="177">
        <f>INDEX(Inputs!$F$2:$S$544,MATCH($B69&amp;J$2,Inputs!$S$2:$S$544,0),MATCH($C69,Inputs!$F$2:$S$2,0))</f>
        <v>1.3192512683658666E-2</v>
      </c>
      <c r="K69" s="177">
        <f>Controls!$F$17</f>
        <v>0.84570312546446125</v>
      </c>
      <c r="L69" s="178">
        <f>INDEX(Inputs!$F$2:$S$544,MATCH($B69&amp;L$2,Inputs!$S$2:$S$544,0),MATCH($C69,Inputs!$F$2:$S$2,0))</f>
        <v>300.21699999999998</v>
      </c>
      <c r="M69" s="177">
        <f>INDEX('Modelled costs'!$AD$7:$AD$106, MATCH($A69, 'Modelled costs'!$A$7:$A$106, 0))</f>
        <v>4.146965621925089</v>
      </c>
    </row>
    <row r="70" spans="1:13" x14ac:dyDescent="0.3">
      <c r="A70" s="104" t="s">
        <v>122</v>
      </c>
      <c r="B70" s="17" t="s">
        <v>30</v>
      </c>
      <c r="C70" s="17" t="s">
        <v>48</v>
      </c>
      <c r="D70" s="88">
        <f t="shared" si="3"/>
        <v>13.915886320008102</v>
      </c>
      <c r="E70" s="88">
        <f t="shared" si="4"/>
        <v>1.7969876177443462E-2</v>
      </c>
      <c r="F70" s="88">
        <f t="shared" si="5"/>
        <v>4.9887653005431923E-2</v>
      </c>
      <c r="G70" s="120">
        <v>0</v>
      </c>
      <c r="H70" s="14"/>
      <c r="I70" s="177">
        <f>INDEX(Inputs!$F$2:$S$544,MATCH($B70&amp;I$2,Inputs!$S$2:$S$544,0),MATCH($C70,Inputs!$F$2:$S$2,0))</f>
        <v>4.9887653005431923E-2</v>
      </c>
      <c r="J70" s="177">
        <f>INDEX(Inputs!$F$2:$S$544,MATCH($B70&amp;J$2,Inputs!$S$2:$S$544,0),MATCH($C70,Inputs!$F$2:$S$2,0))</f>
        <v>2.1248444798609892E-2</v>
      </c>
      <c r="K70" s="177">
        <f>Controls!$F$17</f>
        <v>0.84570312546446125</v>
      </c>
      <c r="L70" s="178">
        <f>INDEX(Inputs!$F$2:$S$544,MATCH($B70&amp;L$2,Inputs!$S$2:$S$544,0),MATCH($C70,Inputs!$F$2:$S$2,0))</f>
        <v>302.077</v>
      </c>
      <c r="M70" s="177">
        <f>INDEX('Modelled costs'!$AD$7:$AD$106, MATCH($A70, 'Modelled costs'!$A$7:$A$106, 0))</f>
        <v>4.2036691918890874</v>
      </c>
    </row>
    <row r="71" spans="1:13" x14ac:dyDescent="0.3">
      <c r="A71" s="104" t="s">
        <v>123</v>
      </c>
      <c r="B71" s="17" t="s">
        <v>30</v>
      </c>
      <c r="C71" s="17" t="s">
        <v>49</v>
      </c>
      <c r="D71" s="88">
        <f t="shared" si="3"/>
        <v>14.025993206601699</v>
      </c>
      <c r="E71" s="88">
        <f t="shared" si="4"/>
        <v>1.9149484417565494E-2</v>
      </c>
      <c r="F71" s="88">
        <f t="shared" si="5"/>
        <v>4.9815194540645535E-2</v>
      </c>
      <c r="G71" s="120">
        <v>0</v>
      </c>
      <c r="H71" s="14"/>
      <c r="I71" s="177">
        <f>INDEX(Inputs!$F$2:$S$544,MATCH($B71&amp;I$2,Inputs!$S$2:$S$544,0),MATCH($C71,Inputs!$F$2:$S$2,0))</f>
        <v>4.9815194540645535E-2</v>
      </c>
      <c r="J71" s="177">
        <f>INDEX(Inputs!$F$2:$S$544,MATCH($B71&amp;J$2,Inputs!$S$2:$S$544,0),MATCH($C71,Inputs!$F$2:$S$2,0))</f>
        <v>2.2643270245747967E-2</v>
      </c>
      <c r="K71" s="177">
        <f>Controls!$F$17</f>
        <v>0.84570312546446125</v>
      </c>
      <c r="L71" s="178">
        <f>INDEX(Inputs!$F$2:$S$544,MATCH($B71&amp;L$2,Inputs!$S$2:$S$544,0),MATCH($C71,Inputs!$F$2:$S$2,0))</f>
        <v>303.95</v>
      </c>
      <c r="M71" s="177">
        <f>INDEX('Modelled costs'!$AD$7:$AD$106, MATCH($A71, 'Modelled costs'!$A$7:$A$106, 0))</f>
        <v>4.2632006351465863</v>
      </c>
    </row>
    <row r="72" spans="1:13" x14ac:dyDescent="0.3">
      <c r="A72" s="104" t="s">
        <v>124</v>
      </c>
      <c r="B72" s="17" t="s">
        <v>30</v>
      </c>
      <c r="C72" s="17" t="s">
        <v>50</v>
      </c>
      <c r="D72" s="88">
        <f t="shared" si="3"/>
        <v>14.139527342311993</v>
      </c>
      <c r="E72" s="88">
        <f t="shared" si="4"/>
        <v>2.3279765370373778E-2</v>
      </c>
      <c r="F72" s="88">
        <f t="shared" si="5"/>
        <v>4.9726397402426993E-2</v>
      </c>
      <c r="G72" s="120">
        <v>0</v>
      </c>
      <c r="H72" s="14"/>
      <c r="I72" s="177">
        <f>INDEX(Inputs!$F$2:$S$544,MATCH($B72&amp;I$2,Inputs!$S$2:$S$544,0),MATCH($C72,Inputs!$F$2:$S$2,0))</f>
        <v>4.9726397402426993E-2</v>
      </c>
      <c r="J72" s="177">
        <f>INDEX(Inputs!$F$2:$S$544,MATCH($B72&amp;J$2,Inputs!$S$2:$S$544,0),MATCH($C72,Inputs!$F$2:$S$2,0))</f>
        <v>2.7527112847772085E-2</v>
      </c>
      <c r="K72" s="177">
        <f>Controls!$F$17</f>
        <v>0.84570312546446125</v>
      </c>
      <c r="L72" s="178">
        <f>INDEX(Inputs!$F$2:$S$544,MATCH($B72&amp;L$2,Inputs!$S$2:$S$544,0),MATCH($C72,Inputs!$F$2:$S$2,0))</f>
        <v>305.86</v>
      </c>
      <c r="M72" s="177">
        <f>INDEX('Modelled costs'!$AD$7:$AD$106, MATCH($A72, 'Modelled costs'!$A$7:$A$106, 0))</f>
        <v>4.3247158329195461</v>
      </c>
    </row>
    <row r="73" spans="1:13" x14ac:dyDescent="0.3">
      <c r="A73" s="104" t="s">
        <v>125</v>
      </c>
      <c r="B73" s="17" t="s">
        <v>30</v>
      </c>
      <c r="C73" s="17" t="s">
        <v>51</v>
      </c>
      <c r="D73" s="88">
        <f t="shared" si="3"/>
        <v>14.265059444389427</v>
      </c>
      <c r="E73" s="88">
        <f t="shared" si="4"/>
        <v>2.9449418558347675E-2</v>
      </c>
      <c r="F73" s="88">
        <f t="shared" si="5"/>
        <v>5.0492490359607359E-2</v>
      </c>
      <c r="G73" s="120">
        <v>0</v>
      </c>
      <c r="H73" s="14"/>
      <c r="I73" s="177">
        <f>INDEX(Inputs!$F$2:$S$544,MATCH($B73&amp;I$2,Inputs!$S$2:$S$544,0),MATCH($C73,Inputs!$F$2:$S$2,0))</f>
        <v>5.0492490359607359E-2</v>
      </c>
      <c r="J73" s="177">
        <f>INDEX(Inputs!$F$2:$S$544,MATCH($B73&amp;J$2,Inputs!$S$2:$S$544,0),MATCH($C73,Inputs!$F$2:$S$2,0))</f>
        <v>3.4822407144556804E-2</v>
      </c>
      <c r="K73" s="177">
        <f>Controls!$F$17</f>
        <v>0.84570312546446125</v>
      </c>
      <c r="L73" s="178">
        <f>INDEX(Inputs!$F$2:$S$544,MATCH($B73&amp;L$2,Inputs!$S$2:$S$544,0),MATCH($C73,Inputs!$F$2:$S$2,0))</f>
        <v>307.834</v>
      </c>
      <c r="M73" s="177">
        <f>INDEX('Modelled costs'!$AD$7:$AD$106, MATCH($A73, 'Modelled costs'!$A$7:$A$106, 0))</f>
        <v>4.3912703090041747</v>
      </c>
    </row>
    <row r="74" spans="1:13" x14ac:dyDescent="0.3">
      <c r="A74" s="104" t="s">
        <v>126</v>
      </c>
      <c r="B74" s="17" t="s">
        <v>31</v>
      </c>
      <c r="C74" s="17" t="s">
        <v>47</v>
      </c>
      <c r="D74" s="88">
        <f t="shared" si="3"/>
        <v>18.833334024738914</v>
      </c>
      <c r="E74" s="88">
        <f t="shared" si="4"/>
        <v>0.31659089863487644</v>
      </c>
      <c r="F74" s="88">
        <f t="shared" si="5"/>
        <v>0.16178038507821951</v>
      </c>
      <c r="G74" s="120">
        <v>0</v>
      </c>
      <c r="H74" s="14"/>
      <c r="I74" s="177">
        <f>INDEX(Inputs!$F$2:$S$544,MATCH($B74&amp;I$2,Inputs!$S$2:$S$544,0),MATCH($C74,Inputs!$F$2:$S$2,0))</f>
        <v>0.16178038507821951</v>
      </c>
      <c r="J74" s="177">
        <f>INDEX(Inputs!$F$2:$S$544,MATCH($B74&amp;J$2,Inputs!$S$2:$S$544,0),MATCH($C74,Inputs!$F$2:$S$2,0))</f>
        <v>0.37435228640192658</v>
      </c>
      <c r="K74" s="177">
        <f>Controls!$F$17</f>
        <v>0.84570312546446125</v>
      </c>
      <c r="L74" s="178">
        <f>INDEX(Inputs!$F$2:$S$544,MATCH($B74&amp;L$2,Inputs!$S$2:$S$544,0),MATCH($C74,Inputs!$F$2:$S$2,0))</f>
        <v>276.642</v>
      </c>
      <c r="M74" s="177">
        <f>INDEX('Modelled costs'!$AD$7:$AD$106, MATCH($A74, 'Modelled costs'!$A$7:$A$106, 0))</f>
        <v>5.2100911912718226</v>
      </c>
    </row>
    <row r="75" spans="1:13" x14ac:dyDescent="0.3">
      <c r="A75" s="104" t="s">
        <v>127</v>
      </c>
      <c r="B75" s="17" t="s">
        <v>31</v>
      </c>
      <c r="C75" s="17" t="s">
        <v>48</v>
      </c>
      <c r="D75" s="88">
        <f t="shared" si="3"/>
        <v>19.301506901045094</v>
      </c>
      <c r="E75" s="88">
        <f t="shared" si="4"/>
        <v>0.33070634466908855</v>
      </c>
      <c r="F75" s="88">
        <f t="shared" si="5"/>
        <v>0.16047522123893856</v>
      </c>
      <c r="G75" s="120">
        <v>0</v>
      </c>
      <c r="H75" s="14"/>
      <c r="I75" s="177">
        <f>INDEX(Inputs!$F$2:$S$544,MATCH($B75&amp;I$2,Inputs!$S$2:$S$544,0),MATCH($C75,Inputs!$F$2:$S$2,0))</f>
        <v>0.16047522123893856</v>
      </c>
      <c r="J75" s="177">
        <f>INDEX(Inputs!$F$2:$S$544,MATCH($B75&amp;J$2,Inputs!$S$2:$S$544,0),MATCH($C75,Inputs!$F$2:$S$2,0))</f>
        <v>0.39104306784660892</v>
      </c>
      <c r="K75" s="177">
        <f>Controls!$F$17</f>
        <v>0.84570312546446125</v>
      </c>
      <c r="L75" s="178">
        <f>INDEX(Inputs!$F$2:$S$544,MATCH($B75&amp;L$2,Inputs!$S$2:$S$544,0),MATCH($C75,Inputs!$F$2:$S$2,0))</f>
        <v>279.09100000000001</v>
      </c>
      <c r="M75" s="177">
        <f>INDEX('Modelled costs'!$AD$7:$AD$106, MATCH($A75, 'Modelled costs'!$A$7:$A$106, 0))</f>
        <v>5.3868768625195766</v>
      </c>
    </row>
    <row r="76" spans="1:13" x14ac:dyDescent="0.3">
      <c r="A76" s="104" t="s">
        <v>128</v>
      </c>
      <c r="B76" s="17" t="s">
        <v>31</v>
      </c>
      <c r="C76" s="17" t="s">
        <v>49</v>
      </c>
      <c r="D76" s="88">
        <f t="shared" si="3"/>
        <v>19.733745298361999</v>
      </c>
      <c r="E76" s="88">
        <f t="shared" si="4"/>
        <v>0.34255427650392078</v>
      </c>
      <c r="F76" s="88">
        <f t="shared" si="5"/>
        <v>0.16003195488721805</v>
      </c>
      <c r="G76" s="120">
        <v>0</v>
      </c>
      <c r="H76" s="14"/>
      <c r="I76" s="177">
        <f>INDEX(Inputs!$F$2:$S$544,MATCH($B76&amp;I$2,Inputs!$S$2:$S$544,0),MATCH($C76,Inputs!$F$2:$S$2,0))</f>
        <v>0.16003195488721805</v>
      </c>
      <c r="J76" s="177">
        <f>INDEX(Inputs!$F$2:$S$544,MATCH($B76&amp;J$2,Inputs!$S$2:$S$544,0),MATCH($C76,Inputs!$F$2:$S$2,0))</f>
        <v>0.40505263157894744</v>
      </c>
      <c r="K76" s="177">
        <f>Controls!$F$17</f>
        <v>0.84570312546446125</v>
      </c>
      <c r="L76" s="178">
        <f>INDEX(Inputs!$F$2:$S$544,MATCH($B76&amp;L$2,Inputs!$S$2:$S$544,0),MATCH($C76,Inputs!$F$2:$S$2,0))</f>
        <v>281.63099999999997</v>
      </c>
      <c r="M76" s="177">
        <f>INDEX('Modelled costs'!$AD$7:$AD$106, MATCH($A76, 'Modelled costs'!$A$7:$A$106, 0))</f>
        <v>5.5576344221229874</v>
      </c>
    </row>
    <row r="77" spans="1:13" x14ac:dyDescent="0.3">
      <c r="A77" s="104" t="s">
        <v>129</v>
      </c>
      <c r="B77" s="17" t="s">
        <v>31</v>
      </c>
      <c r="C77" s="17" t="s">
        <v>50</v>
      </c>
      <c r="D77" s="88">
        <f t="shared" si="3"/>
        <v>20.163337710591144</v>
      </c>
      <c r="E77" s="88">
        <f t="shared" si="4"/>
        <v>0.35159585920261294</v>
      </c>
      <c r="F77" s="88">
        <f t="shared" si="5"/>
        <v>0.11346526793308766</v>
      </c>
      <c r="G77" s="120">
        <v>0</v>
      </c>
      <c r="H77" s="14"/>
      <c r="I77" s="177">
        <f>INDEX(Inputs!$F$2:$S$544,MATCH($B77&amp;I$2,Inputs!$S$2:$S$544,0),MATCH($C77,Inputs!$F$2:$S$2,0))</f>
        <v>0.11346526793308766</v>
      </c>
      <c r="J77" s="177">
        <f>INDEX(Inputs!$F$2:$S$544,MATCH($B77&amp;J$2,Inputs!$S$2:$S$544,0),MATCH($C77,Inputs!$F$2:$S$2,0))</f>
        <v>0.415743833286079</v>
      </c>
      <c r="K77" s="177">
        <f>Controls!$F$17</f>
        <v>0.84570312546446125</v>
      </c>
      <c r="L77" s="178">
        <f>INDEX(Inputs!$F$2:$S$544,MATCH($B77&amp;L$2,Inputs!$S$2:$S$544,0),MATCH($C77,Inputs!$F$2:$S$2,0))</f>
        <v>284.25099999999998</v>
      </c>
      <c r="M77" s="177">
        <f>INDEX('Modelled costs'!$AD$7:$AD$106, MATCH($A77, 'Modelled costs'!$A$7:$A$106, 0))</f>
        <v>5.7314489075732427</v>
      </c>
    </row>
    <row r="78" spans="1:13" x14ac:dyDescent="0.3">
      <c r="A78" s="104" t="s">
        <v>130</v>
      </c>
      <c r="B78" s="17" t="s">
        <v>31</v>
      </c>
      <c r="C78" s="17" t="s">
        <v>51</v>
      </c>
      <c r="D78" s="88">
        <f t="shared" si="3"/>
        <v>20.535603581535863</v>
      </c>
      <c r="E78" s="88">
        <f t="shared" si="4"/>
        <v>0.35862043385801862</v>
      </c>
      <c r="F78" s="88">
        <f t="shared" si="5"/>
        <v>0.11035728182323579</v>
      </c>
      <c r="G78" s="120">
        <v>0</v>
      </c>
      <c r="H78" s="14"/>
      <c r="I78" s="177">
        <f>INDEX(Inputs!$F$2:$S$544,MATCH($B78&amp;I$2,Inputs!$S$2:$S$544,0),MATCH($C78,Inputs!$F$2:$S$2,0))</f>
        <v>0.11035728182323579</v>
      </c>
      <c r="J78" s="177">
        <f>INDEX(Inputs!$F$2:$S$544,MATCH($B78&amp;J$2,Inputs!$S$2:$S$544,0),MATCH($C78,Inputs!$F$2:$S$2,0))</f>
        <v>0.42405002779322093</v>
      </c>
      <c r="K78" s="177">
        <f>Controls!$F$17</f>
        <v>0.84570312546446125</v>
      </c>
      <c r="L78" s="178">
        <f>INDEX(Inputs!$F$2:$S$544,MATCH($B78&amp;L$2,Inputs!$S$2:$S$544,0),MATCH($C78,Inputs!$F$2:$S$2,0))</f>
        <v>286.86200000000002</v>
      </c>
      <c r="M78" s="177">
        <f>INDEX('Modelled costs'!$AD$7:$AD$106, MATCH($A78, 'Modelled costs'!$A$7:$A$106, 0))</f>
        <v>5.8908843146065406</v>
      </c>
    </row>
    <row r="79" spans="1:13" x14ac:dyDescent="0.3">
      <c r="A79" s="104" t="s">
        <v>131</v>
      </c>
      <c r="B79" s="17" t="s">
        <v>32</v>
      </c>
      <c r="C79" s="17" t="s">
        <v>47</v>
      </c>
      <c r="D79" s="88">
        <f t="shared" si="3"/>
        <v>19.670638404298842</v>
      </c>
      <c r="E79" s="88">
        <f t="shared" si="4"/>
        <v>9.2155620162098495E-2</v>
      </c>
      <c r="F79" s="88">
        <f t="shared" si="5"/>
        <v>0.5126291701158926</v>
      </c>
      <c r="G79" s="120">
        <v>0</v>
      </c>
      <c r="H79" s="14"/>
      <c r="I79" s="177">
        <f>INDEX(Inputs!$F$2:$S$544,MATCH($B79&amp;I$2,Inputs!$S$2:$S$544,0),MATCH($C79,Inputs!$F$2:$S$2,0))</f>
        <v>0.5126291701158926</v>
      </c>
      <c r="J79" s="177">
        <f>INDEX(Inputs!$F$2:$S$544,MATCH($B79&amp;J$2,Inputs!$S$2:$S$544,0),MATCH($C79,Inputs!$F$2:$S$2,0))</f>
        <v>0.1089692320948755</v>
      </c>
      <c r="K79" s="177">
        <f>Controls!$F$17</f>
        <v>0.84570312546446125</v>
      </c>
      <c r="L79" s="178">
        <f>INDEX(Inputs!$F$2:$S$544,MATCH($B79&amp;L$2,Inputs!$S$2:$S$544,0),MATCH($C79,Inputs!$F$2:$S$2,0))</f>
        <v>879.05399999999997</v>
      </c>
      <c r="M79" s="177">
        <f>INDEX('Modelled costs'!$AD$7:$AD$106, MATCH($A79, 'Modelled costs'!$A$7:$A$106, 0))</f>
        <v>17.291553371852515</v>
      </c>
    </row>
    <row r="80" spans="1:13" x14ac:dyDescent="0.3">
      <c r="A80" s="104" t="s">
        <v>132</v>
      </c>
      <c r="B80" s="17" t="s">
        <v>32</v>
      </c>
      <c r="C80" s="17" t="s">
        <v>48</v>
      </c>
      <c r="D80" s="88">
        <f t="shared" si="3"/>
        <v>19.675078526873193</v>
      </c>
      <c r="E80" s="88">
        <f t="shared" si="4"/>
        <v>9.4388289201355835E-2</v>
      </c>
      <c r="F80" s="88">
        <f t="shared" si="5"/>
        <v>0.493870918931056</v>
      </c>
      <c r="G80" s="120">
        <v>0</v>
      </c>
      <c r="H80" s="14"/>
      <c r="I80" s="177">
        <f>INDEX(Inputs!$F$2:$S$544,MATCH($B80&amp;I$2,Inputs!$S$2:$S$544,0),MATCH($C80,Inputs!$F$2:$S$2,0))</f>
        <v>0.493870918931056</v>
      </c>
      <c r="J80" s="177">
        <f>INDEX(Inputs!$F$2:$S$544,MATCH($B80&amp;J$2,Inputs!$S$2:$S$544,0),MATCH($C80,Inputs!$F$2:$S$2,0))</f>
        <v>0.11160924721605785</v>
      </c>
      <c r="K80" s="177">
        <f>Controls!$F$17</f>
        <v>0.84570312546446125</v>
      </c>
      <c r="L80" s="178">
        <f>INDEX(Inputs!$F$2:$S$544,MATCH($B80&amp;L$2,Inputs!$S$2:$S$544,0),MATCH($C80,Inputs!$F$2:$S$2,0))</f>
        <v>887.64100000000008</v>
      </c>
      <c r="M80" s="177">
        <f>INDEX('Modelled costs'!$AD$7:$AD$106, MATCH($A80, 'Modelled costs'!$A$7:$A$106, 0))</f>
        <v>17.464406378672251</v>
      </c>
    </row>
    <row r="81" spans="1:13" x14ac:dyDescent="0.3">
      <c r="A81" s="104" t="s">
        <v>133</v>
      </c>
      <c r="B81" s="17" t="s">
        <v>32</v>
      </c>
      <c r="C81" s="17" t="s">
        <v>49</v>
      </c>
      <c r="D81" s="88">
        <f t="shared" si="3"/>
        <v>19.678530067992241</v>
      </c>
      <c r="E81" s="88">
        <f t="shared" si="4"/>
        <v>9.3386724496376278E-2</v>
      </c>
      <c r="F81" s="88">
        <f t="shared" si="5"/>
        <v>0.50284418923620944</v>
      </c>
      <c r="G81" s="120">
        <v>0</v>
      </c>
      <c r="H81" s="14"/>
      <c r="I81" s="177">
        <f>INDEX(Inputs!$F$2:$S$544,MATCH($B81&amp;I$2,Inputs!$S$2:$S$544,0),MATCH($C81,Inputs!$F$2:$S$2,0))</f>
        <v>0.50284418923620944</v>
      </c>
      <c r="J81" s="177">
        <f>INDEX(Inputs!$F$2:$S$544,MATCH($B81&amp;J$2,Inputs!$S$2:$S$544,0),MATCH($C81,Inputs!$F$2:$S$2,0))</f>
        <v>0.11042494899742528</v>
      </c>
      <c r="K81" s="177">
        <f>Controls!$F$17</f>
        <v>0.84570312546446125</v>
      </c>
      <c r="L81" s="178">
        <f>INDEX(Inputs!$F$2:$S$544,MATCH($B81&amp;L$2,Inputs!$S$2:$S$544,0),MATCH($C81,Inputs!$F$2:$S$2,0))</f>
        <v>896.35699999999997</v>
      </c>
      <c r="M81" s="177">
        <f>INDEX('Modelled costs'!$AD$7:$AD$106, MATCH($A81, 'Modelled costs'!$A$7:$A$106, 0))</f>
        <v>17.638988176155323</v>
      </c>
    </row>
    <row r="82" spans="1:13" x14ac:dyDescent="0.3">
      <c r="A82" s="104" t="s">
        <v>134</v>
      </c>
      <c r="B82" s="17" t="s">
        <v>32</v>
      </c>
      <c r="C82" s="17" t="s">
        <v>50</v>
      </c>
      <c r="D82" s="88">
        <f t="shared" si="3"/>
        <v>19.681024949174553</v>
      </c>
      <c r="E82" s="88">
        <f t="shared" si="4"/>
        <v>9.4614846189246024E-2</v>
      </c>
      <c r="F82" s="88">
        <f t="shared" si="5"/>
        <v>0.45824876167782036</v>
      </c>
      <c r="G82" s="120">
        <v>0</v>
      </c>
      <c r="H82" s="14"/>
      <c r="I82" s="177">
        <f>INDEX(Inputs!$F$2:$S$544,MATCH($B82&amp;I$2,Inputs!$S$2:$S$544,0),MATCH($C82,Inputs!$F$2:$S$2,0))</f>
        <v>0.45824876167782036</v>
      </c>
      <c r="J82" s="177">
        <f>INDEX(Inputs!$F$2:$S$544,MATCH($B82&amp;J$2,Inputs!$S$2:$S$544,0),MATCH($C82,Inputs!$F$2:$S$2,0))</f>
        <v>0.11187713908149911</v>
      </c>
      <c r="K82" s="177">
        <f>Controls!$F$17</f>
        <v>0.84570312546446125</v>
      </c>
      <c r="L82" s="178">
        <f>INDEX(Inputs!$F$2:$S$544,MATCH($B82&amp;L$2,Inputs!$S$2:$S$544,0),MATCH($C82,Inputs!$F$2:$S$2,0))</f>
        <v>905.202</v>
      </c>
      <c r="M82" s="177">
        <f>INDEX('Modelled costs'!$AD$7:$AD$106, MATCH($A82, 'Modelled costs'!$A$7:$A$106, 0))</f>
        <v>17.815303146042705</v>
      </c>
    </row>
    <row r="83" spans="1:13" x14ac:dyDescent="0.3">
      <c r="A83" s="104" t="s">
        <v>135</v>
      </c>
      <c r="B83" s="17" t="s">
        <v>32</v>
      </c>
      <c r="C83" s="17" t="s">
        <v>51</v>
      </c>
      <c r="D83" s="88">
        <f t="shared" si="3"/>
        <v>19.672690630317724</v>
      </c>
      <c r="E83" s="88">
        <f t="shared" si="4"/>
        <v>9.4254682130095982E-2</v>
      </c>
      <c r="F83" s="88">
        <f t="shared" si="5"/>
        <v>0.44053964115038813</v>
      </c>
      <c r="G83" s="120">
        <v>0</v>
      </c>
      <c r="H83" s="14"/>
      <c r="I83" s="177">
        <f>INDEX(Inputs!$F$2:$S$544,MATCH($B83&amp;I$2,Inputs!$S$2:$S$544,0),MATCH($C83,Inputs!$F$2:$S$2,0))</f>
        <v>0.44053964115038813</v>
      </c>
      <c r="J83" s="177">
        <f>INDEX(Inputs!$F$2:$S$544,MATCH($B83&amp;J$2,Inputs!$S$2:$S$544,0),MATCH($C83,Inputs!$F$2:$S$2,0))</f>
        <v>0.11145126379701055</v>
      </c>
      <c r="K83" s="177">
        <f>Controls!$F$17</f>
        <v>0.84570312546446125</v>
      </c>
      <c r="L83" s="178">
        <f>INDEX(Inputs!$F$2:$S$544,MATCH($B83&amp;L$2,Inputs!$S$2:$S$544,0),MATCH($C83,Inputs!$F$2:$S$2,0))</f>
        <v>914.18200000000002</v>
      </c>
      <c r="M83" s="177">
        <f>INDEX('Modelled costs'!$AD$7:$AD$106, MATCH($A83, 'Modelled costs'!$A$7:$A$106, 0))</f>
        <v>17.98441966580512</v>
      </c>
    </row>
    <row r="84" spans="1:13" x14ac:dyDescent="0.3">
      <c r="A84" s="104" t="s">
        <v>136</v>
      </c>
      <c r="B84" s="17" t="s">
        <v>33</v>
      </c>
      <c r="C84" s="17" t="s">
        <v>47</v>
      </c>
      <c r="D84" s="88">
        <f t="shared" si="3"/>
        <v>17.527570422385377</v>
      </c>
      <c r="E84" s="88">
        <f t="shared" si="4"/>
        <v>0.62591688589153904</v>
      </c>
      <c r="F84" s="88">
        <f t="shared" si="5"/>
        <v>0.38893801180413995</v>
      </c>
      <c r="G84" s="120">
        <v>2.76120668E-6</v>
      </c>
      <c r="H84" s="14"/>
      <c r="I84" s="177">
        <f>INDEX(Inputs!$F$2:$S$544,MATCH($B84&amp;I$2,Inputs!$S$2:$S$544,0),MATCH($C84,Inputs!$F$2:$S$2,0))</f>
        <v>0.38893801180413995</v>
      </c>
      <c r="J84" s="177">
        <f>INDEX(Inputs!$F$2:$S$544,MATCH($B84&amp;J$2,Inputs!$S$2:$S$544,0),MATCH($C84,Inputs!$F$2:$S$2,0))</f>
        <v>0.74011419261077538</v>
      </c>
      <c r="K84" s="177">
        <f>Controls!$F$17</f>
        <v>0.84570312546446125</v>
      </c>
      <c r="L84" s="178">
        <f>INDEX(Inputs!$F$2:$S$544,MATCH($B84&amp;L$2,Inputs!$S$2:$S$544,0),MATCH($C84,Inputs!$F$2:$S$2,0))</f>
        <v>697.763939836845</v>
      </c>
      <c r="M84" s="177">
        <f>INDEX('Modelled costs'!$AD$7:$AD$106, MATCH($A84, 'Modelled costs'!$A$7:$A$106, 0))</f>
        <v>12.230106593691374</v>
      </c>
    </row>
    <row r="85" spans="1:13" x14ac:dyDescent="0.3">
      <c r="A85" s="104" t="s">
        <v>137</v>
      </c>
      <c r="B85" s="17" t="s">
        <v>33</v>
      </c>
      <c r="C85" s="17" t="s">
        <v>48</v>
      </c>
      <c r="D85" s="88">
        <f t="shared" si="3"/>
        <v>17.48046374480349</v>
      </c>
      <c r="E85" s="88">
        <f t="shared" si="4"/>
        <v>0.61250475160469342</v>
      </c>
      <c r="F85" s="88">
        <f t="shared" si="5"/>
        <v>0.41235437139302589</v>
      </c>
      <c r="G85" s="120">
        <v>2.8176263236765898E-6</v>
      </c>
      <c r="H85" s="14"/>
      <c r="I85" s="177">
        <f>INDEX(Inputs!$F$2:$S$544,MATCH($B85&amp;I$2,Inputs!$S$2:$S$544,0),MATCH($C85,Inputs!$F$2:$S$2,0))</f>
        <v>0.41235437139302589</v>
      </c>
      <c r="J85" s="177">
        <f>INDEX(Inputs!$F$2:$S$544,MATCH($B85&amp;J$2,Inputs!$S$2:$S$544,0),MATCH($C85,Inputs!$F$2:$S$2,0))</f>
        <v>0.72425504076067482</v>
      </c>
      <c r="K85" s="177">
        <f>Controls!$F$17</f>
        <v>0.84570312546446125</v>
      </c>
      <c r="L85" s="178">
        <f>INDEX(Inputs!$F$2:$S$544,MATCH($B85&amp;L$2,Inputs!$S$2:$S$544,0),MATCH($C85,Inputs!$F$2:$S$2,0))</f>
        <v>706.45158898644104</v>
      </c>
      <c r="M85" s="177">
        <f>INDEX('Modelled costs'!$AD$7:$AD$106, MATCH($A85, 'Modelled costs'!$A$7:$A$106, 0))</f>
        <v>12.349101388736299</v>
      </c>
    </row>
    <row r="86" spans="1:13" x14ac:dyDescent="0.3">
      <c r="A86" s="104" t="s">
        <v>138</v>
      </c>
      <c r="B86" s="17" t="s">
        <v>33</v>
      </c>
      <c r="C86" s="17" t="s">
        <v>49</v>
      </c>
      <c r="D86" s="88">
        <f t="shared" si="3"/>
        <v>17.432818821977587</v>
      </c>
      <c r="E86" s="88">
        <f t="shared" si="4"/>
        <v>0.45324338730758695</v>
      </c>
      <c r="F86" s="88">
        <f t="shared" si="5"/>
        <v>0.41964892263169196</v>
      </c>
      <c r="G86" s="120">
        <v>2.84327254931547E-6</v>
      </c>
      <c r="H86" s="14"/>
      <c r="I86" s="177">
        <f>INDEX(Inputs!$F$2:$S$544,MATCH($B86&amp;I$2,Inputs!$S$2:$S$544,0),MATCH($C86,Inputs!$F$2:$S$2,0))</f>
        <v>0.41964892263169196</v>
      </c>
      <c r="J86" s="177">
        <f>INDEX(Inputs!$F$2:$S$544,MATCH($B86&amp;J$2,Inputs!$S$2:$S$544,0),MATCH($C86,Inputs!$F$2:$S$2,0))</f>
        <v>0.535936753288768</v>
      </c>
      <c r="K86" s="177">
        <f>Controls!$F$17</f>
        <v>0.84570312546446125</v>
      </c>
      <c r="L86" s="178">
        <f>INDEX(Inputs!$F$2:$S$544,MATCH($B86&amp;L$2,Inputs!$S$2:$S$544,0),MATCH($C86,Inputs!$F$2:$S$2,0))</f>
        <v>714.77319526440601</v>
      </c>
      <c r="M86" s="177">
        <f>INDEX('Modelled costs'!$AD$7:$AD$106, MATCH($A86, 'Modelled costs'!$A$7:$A$106, 0))</f>
        <v>12.4605116118504</v>
      </c>
    </row>
    <row r="87" spans="1:13" x14ac:dyDescent="0.3">
      <c r="A87" s="104" t="s">
        <v>139</v>
      </c>
      <c r="B87" s="17" t="s">
        <v>33</v>
      </c>
      <c r="C87" s="17" t="s">
        <v>50</v>
      </c>
      <c r="D87" s="88">
        <f t="shared" si="3"/>
        <v>17.384162564485997</v>
      </c>
      <c r="E87" s="88">
        <f t="shared" si="4"/>
        <v>0.47069156545087926</v>
      </c>
      <c r="F87" s="88">
        <f t="shared" si="5"/>
        <v>0.44530068586643928</v>
      </c>
      <c r="G87" s="120">
        <v>2.8678880431185601E-6</v>
      </c>
      <c r="H87" s="14"/>
      <c r="I87" s="177">
        <f>INDEX(Inputs!$F$2:$S$544,MATCH($B87&amp;I$2,Inputs!$S$2:$S$544,0),MATCH($C87,Inputs!$F$2:$S$2,0))</f>
        <v>0.44530068586643928</v>
      </c>
      <c r="J87" s="177">
        <f>INDEX(Inputs!$F$2:$S$544,MATCH($B87&amp;J$2,Inputs!$S$2:$S$544,0),MATCH($C87,Inputs!$F$2:$S$2,0))</f>
        <v>0.55656831727135314</v>
      </c>
      <c r="K87" s="177">
        <f>Controls!$F$17</f>
        <v>0.84570312546446125</v>
      </c>
      <c r="L87" s="178">
        <f>INDEX(Inputs!$F$2:$S$544,MATCH($B87&amp;L$2,Inputs!$S$2:$S$544,0),MATCH($C87,Inputs!$F$2:$S$2,0))</f>
        <v>723.6010861031059</v>
      </c>
      <c r="M87" s="177">
        <f>INDEX('Modelled costs'!$AD$7:$AD$106, MATCH($A87, 'Modelled costs'!$A$7:$A$106, 0))</f>
        <v>12.579198912655023</v>
      </c>
    </row>
    <row r="88" spans="1:13" x14ac:dyDescent="0.3">
      <c r="A88" s="104" t="s">
        <v>140</v>
      </c>
      <c r="B88" s="17" t="s">
        <v>33</v>
      </c>
      <c r="C88" s="17" t="s">
        <v>51</v>
      </c>
      <c r="D88" s="88">
        <f t="shared" si="3"/>
        <v>17.334400325893188</v>
      </c>
      <c r="E88" s="88">
        <f t="shared" si="4"/>
        <v>0.42125105331515</v>
      </c>
      <c r="F88" s="88">
        <f t="shared" si="5"/>
        <v>0.47463215765016104</v>
      </c>
      <c r="G88" s="120">
        <v>2.8961479915836301E-6</v>
      </c>
      <c r="H88" s="14"/>
      <c r="I88" s="177">
        <f>INDEX(Inputs!$F$2:$S$544,MATCH($B88&amp;I$2,Inputs!$S$2:$S$544,0),MATCH($C88,Inputs!$F$2:$S$2,0))</f>
        <v>0.47463215765016104</v>
      </c>
      <c r="J88" s="177">
        <f>INDEX(Inputs!$F$2:$S$544,MATCH($B88&amp;J$2,Inputs!$S$2:$S$544,0),MATCH($C88,Inputs!$F$2:$S$2,0))</f>
        <v>0.49810748078269002</v>
      </c>
      <c r="K88" s="177">
        <f>Controls!$F$17</f>
        <v>0.84570312546446125</v>
      </c>
      <c r="L88" s="178">
        <f>INDEX(Inputs!$F$2:$S$544,MATCH($B88&amp;L$2,Inputs!$S$2:$S$544,0),MATCH($C88,Inputs!$F$2:$S$2,0))</f>
        <v>732.25126722597599</v>
      </c>
      <c r="M88" s="177">
        <f>INDEX('Modelled costs'!$AD$7:$AD$106, MATCH($A88, 'Modelled costs'!$A$7:$A$106, 0))</f>
        <v>12.69313660523766</v>
      </c>
    </row>
    <row r="89" spans="1:13" x14ac:dyDescent="0.3">
      <c r="H89" s="14"/>
    </row>
    <row r="90" spans="1:13" x14ac:dyDescent="0.3">
      <c r="G90" s="121"/>
      <c r="H90" s="14"/>
      <c r="J90" s="123"/>
      <c r="L90" s="123"/>
    </row>
    <row r="91" spans="1:13" x14ac:dyDescent="0.3">
      <c r="H91" s="14"/>
    </row>
    <row r="92" spans="1:13" x14ac:dyDescent="0.3">
      <c r="H92" s="14"/>
    </row>
    <row r="93" spans="1:13" x14ac:dyDescent="0.3">
      <c r="H93" s="14"/>
    </row>
    <row r="94" spans="1:13" x14ac:dyDescent="0.3">
      <c r="H94" s="14"/>
    </row>
    <row r="95" spans="1:13" x14ac:dyDescent="0.3">
      <c r="H95" s="14"/>
    </row>
    <row r="96" spans="1:13" x14ac:dyDescent="0.3">
      <c r="H96" s="14"/>
    </row>
    <row r="97" spans="8:8" x14ac:dyDescent="0.3">
      <c r="H97" s="14"/>
    </row>
  </sheetData>
  <mergeCells count="2">
    <mergeCell ref="I1:M1"/>
    <mergeCell ref="D1:F1"/>
  </mergeCells>
  <conditionalFormatting sqref="B1">
    <cfRule type="expression" dxfId="1" priority="3">
      <formula>B1="error"</formula>
    </cfRule>
    <cfRule type="expression" dxfId="0" priority="4">
      <formula>B1="OK"</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
  <sheetViews>
    <sheetView showGridLines="0" workbookViewId="0"/>
  </sheetViews>
  <sheetFormatPr defaultRowHeight="14" x14ac:dyDescent="0.3"/>
  <sheetData>
    <row r="1" spans="1:1" x14ac:dyDescent="0.3">
      <c r="A1"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467"/>
  <sheetViews>
    <sheetView zoomScale="85" zoomScaleNormal="85" workbookViewId="0"/>
  </sheetViews>
  <sheetFormatPr defaultRowHeight="14" x14ac:dyDescent="0.3"/>
  <cols>
    <col min="2" max="2" width="23.5" bestFit="1" customWidth="1"/>
    <col min="3" max="3" width="37.58203125" bestFit="1" customWidth="1"/>
    <col min="5" max="5" width="16.25" bestFit="1" customWidth="1"/>
  </cols>
  <sheetData>
    <row r="1" spans="1:19" x14ac:dyDescent="0.3">
      <c r="A1" t="s">
        <v>293</v>
      </c>
      <c r="B1" t="s">
        <v>293</v>
      </c>
      <c r="C1" s="175" t="s">
        <v>332</v>
      </c>
      <c r="D1" t="s">
        <v>293</v>
      </c>
      <c r="E1" t="s">
        <v>293</v>
      </c>
      <c r="F1" t="s">
        <v>293</v>
      </c>
      <c r="G1" t="s">
        <v>293</v>
      </c>
      <c r="H1" t="s">
        <v>293</v>
      </c>
      <c r="I1" t="s">
        <v>293</v>
      </c>
      <c r="J1" t="s">
        <v>293</v>
      </c>
      <c r="K1" t="s">
        <v>293</v>
      </c>
      <c r="L1" t="s">
        <v>293</v>
      </c>
      <c r="M1" t="s">
        <v>293</v>
      </c>
      <c r="N1" t="s">
        <v>293</v>
      </c>
      <c r="O1" t="s">
        <v>293</v>
      </c>
      <c r="P1" t="s">
        <v>293</v>
      </c>
      <c r="Q1" t="s">
        <v>293</v>
      </c>
    </row>
    <row r="2" spans="1:19" x14ac:dyDescent="0.3">
      <c r="A2" t="s">
        <v>52</v>
      </c>
      <c r="B2" t="s">
        <v>53</v>
      </c>
      <c r="C2" t="s">
        <v>54</v>
      </c>
      <c r="D2" t="s">
        <v>55</v>
      </c>
      <c r="E2" t="s">
        <v>39</v>
      </c>
      <c r="F2" t="s">
        <v>237</v>
      </c>
      <c r="G2" t="s">
        <v>238</v>
      </c>
      <c r="H2" t="s">
        <v>239</v>
      </c>
      <c r="I2" t="s">
        <v>240</v>
      </c>
      <c r="J2" t="s">
        <v>241</v>
      </c>
      <c r="K2" t="s">
        <v>242</v>
      </c>
      <c r="L2" t="s">
        <v>243</v>
      </c>
      <c r="M2" t="s">
        <v>47</v>
      </c>
      <c r="N2" t="s">
        <v>48</v>
      </c>
      <c r="O2" t="s">
        <v>49</v>
      </c>
      <c r="P2" t="s">
        <v>50</v>
      </c>
      <c r="Q2" t="s">
        <v>51</v>
      </c>
      <c r="S2" t="s">
        <v>272</v>
      </c>
    </row>
    <row r="3" spans="1:19" x14ac:dyDescent="0.3">
      <c r="A3" t="s">
        <v>293</v>
      </c>
      <c r="B3" t="s">
        <v>293</v>
      </c>
      <c r="C3" t="s">
        <v>293</v>
      </c>
      <c r="D3" t="s">
        <v>293</v>
      </c>
      <c r="E3" t="s">
        <v>293</v>
      </c>
      <c r="F3" t="s">
        <v>293</v>
      </c>
      <c r="G3" t="s">
        <v>293</v>
      </c>
      <c r="H3" t="s">
        <v>293</v>
      </c>
      <c r="I3" t="s">
        <v>293</v>
      </c>
      <c r="J3" t="s">
        <v>293</v>
      </c>
      <c r="K3" t="s">
        <v>293</v>
      </c>
      <c r="L3" t="s">
        <v>293</v>
      </c>
      <c r="M3" t="s">
        <v>293</v>
      </c>
      <c r="N3" t="s">
        <v>293</v>
      </c>
      <c r="O3" t="s">
        <v>293</v>
      </c>
      <c r="P3" t="s">
        <v>293</v>
      </c>
      <c r="Q3" t="s">
        <v>293</v>
      </c>
    </row>
    <row r="4" spans="1:19" x14ac:dyDescent="0.3">
      <c r="A4" t="s">
        <v>19</v>
      </c>
      <c r="B4" t="s">
        <v>244</v>
      </c>
      <c r="C4" t="s">
        <v>245</v>
      </c>
      <c r="D4" t="s">
        <v>15</v>
      </c>
      <c r="E4" t="s">
        <v>147</v>
      </c>
      <c r="F4">
        <v>1.9183899594320482</v>
      </c>
      <c r="G4">
        <v>1.5581554274254203</v>
      </c>
      <c r="H4">
        <v>1.6782178036605655</v>
      </c>
      <c r="I4">
        <v>1.364010997127616</v>
      </c>
      <c r="J4" s="121">
        <v>1.3929999999999998</v>
      </c>
      <c r="K4">
        <v>2.2693356168540553</v>
      </c>
      <c r="L4">
        <v>2.2184409501392763</v>
      </c>
      <c r="M4">
        <v>2.6040541400203652</v>
      </c>
      <c r="N4">
        <v>2.6412504481061196</v>
      </c>
      <c r="O4">
        <v>2.2712990892990859</v>
      </c>
      <c r="P4">
        <v>1.7672728674907423</v>
      </c>
      <c r="Q4">
        <v>1.2414225583893299</v>
      </c>
      <c r="S4" t="str">
        <f>A4&amp;B4</f>
        <v>ANHC_DEP_PR19CA009</v>
      </c>
    </row>
    <row r="5" spans="1:19" x14ac:dyDescent="0.3">
      <c r="A5" t="s">
        <v>19</v>
      </c>
      <c r="B5" t="s">
        <v>246</v>
      </c>
      <c r="C5" t="s">
        <v>247</v>
      </c>
      <c r="D5" t="s">
        <v>15</v>
      </c>
      <c r="E5" t="s">
        <v>147</v>
      </c>
      <c r="F5">
        <v>72.830539936990647</v>
      </c>
      <c r="G5">
        <v>73.042813529295131</v>
      </c>
      <c r="H5">
        <v>72.448101602168805</v>
      </c>
      <c r="I5">
        <v>76.056483870719546</v>
      </c>
      <c r="J5">
        <v>80.282851634083286</v>
      </c>
      <c r="K5">
        <v>78.542363691709326</v>
      </c>
      <c r="L5">
        <v>79.195491748948129</v>
      </c>
      <c r="M5">
        <v>72.554880674493944</v>
      </c>
      <c r="N5">
        <v>73.289587974432564</v>
      </c>
      <c r="O5">
        <v>73.609376810398402</v>
      </c>
      <c r="P5">
        <v>73.802773003965399</v>
      </c>
      <c r="Q5">
        <v>73.893205083169363</v>
      </c>
      <c r="S5" t="str">
        <f t="shared" ref="S5:S68" si="0">A5&amp;B5</f>
        <v>ANHC_STC_TR_PR19CA009</v>
      </c>
    </row>
    <row r="6" spans="1:19" x14ac:dyDescent="0.3">
      <c r="A6" t="s">
        <v>19</v>
      </c>
      <c r="B6" t="s">
        <v>248</v>
      </c>
      <c r="C6" t="s">
        <v>249</v>
      </c>
      <c r="D6" t="s">
        <v>15</v>
      </c>
      <c r="E6" t="s">
        <v>147</v>
      </c>
      <c r="F6">
        <v>32.348812418397017</v>
      </c>
      <c r="G6">
        <v>32.797257750904556</v>
      </c>
      <c r="H6">
        <v>32.548239797836843</v>
      </c>
      <c r="I6">
        <v>39.304698795644299</v>
      </c>
      <c r="J6">
        <v>43.443851634083288</v>
      </c>
      <c r="K6">
        <v>43.39298364159972</v>
      </c>
      <c r="L6">
        <v>44.975104952571456</v>
      </c>
      <c r="M6">
        <v>44.374341172427265</v>
      </c>
      <c r="N6">
        <v>45.039098171130881</v>
      </c>
      <c r="O6">
        <v>44.832670135659505</v>
      </c>
      <c r="P6">
        <v>44.253092867457809</v>
      </c>
      <c r="Q6">
        <v>43.843889520980618</v>
      </c>
      <c r="S6" t="str">
        <f t="shared" si="0"/>
        <v>ANHC_SOC_TR_PR19CA009</v>
      </c>
    </row>
    <row r="7" spans="1:19" x14ac:dyDescent="0.3">
      <c r="A7" t="s">
        <v>19</v>
      </c>
      <c r="B7" t="s">
        <v>250</v>
      </c>
      <c r="C7" t="s">
        <v>251</v>
      </c>
      <c r="D7" t="s">
        <v>15</v>
      </c>
      <c r="E7" t="s">
        <v>147</v>
      </c>
      <c r="F7">
        <v>40.48172751859363</v>
      </c>
      <c r="G7">
        <v>40.245555778390575</v>
      </c>
      <c r="H7">
        <v>39.899861804331962</v>
      </c>
      <c r="I7">
        <v>36.751785075075247</v>
      </c>
      <c r="J7">
        <v>36.838999999999999</v>
      </c>
      <c r="K7">
        <v>35.149380050109606</v>
      </c>
      <c r="L7">
        <v>34.220386796376673</v>
      </c>
      <c r="M7">
        <v>28.180539502066679</v>
      </c>
      <c r="N7">
        <v>28.250489803301683</v>
      </c>
      <c r="O7">
        <v>28.776706674738897</v>
      </c>
      <c r="P7">
        <v>29.549680136507586</v>
      </c>
      <c r="Q7">
        <v>30.049315562188745</v>
      </c>
      <c r="S7" t="str">
        <f t="shared" si="0"/>
        <v>ANHC_DC_T_PR19CA009</v>
      </c>
    </row>
    <row r="8" spans="1:19" x14ac:dyDescent="0.3">
      <c r="A8" t="s">
        <v>19</v>
      </c>
      <c r="B8" t="s">
        <v>252</v>
      </c>
      <c r="C8" t="s">
        <v>253</v>
      </c>
      <c r="D8" t="s">
        <v>13</v>
      </c>
      <c r="E8" t="s">
        <v>147</v>
      </c>
      <c r="F8">
        <v>2715.6630000000005</v>
      </c>
      <c r="G8">
        <v>2735.3609999999999</v>
      </c>
      <c r="H8">
        <v>2730.6835473329561</v>
      </c>
      <c r="I8">
        <v>2758.2917859726649</v>
      </c>
      <c r="J8">
        <v>2773.3249999999998</v>
      </c>
      <c r="K8">
        <v>2804.676187</v>
      </c>
      <c r="L8">
        <v>2871.192</v>
      </c>
      <c r="M8">
        <v>2917.2750000000001</v>
      </c>
      <c r="N8">
        <v>2961.9449999999997</v>
      </c>
      <c r="O8">
        <v>3002.6620000000003</v>
      </c>
      <c r="P8">
        <v>3041.4850000000001</v>
      </c>
      <c r="Q8">
        <v>3078.306</v>
      </c>
      <c r="S8" t="str">
        <f t="shared" si="0"/>
        <v>ANHC_HH_T_PR19CA009</v>
      </c>
    </row>
    <row r="9" spans="1:19" x14ac:dyDescent="0.3">
      <c r="A9" t="s">
        <v>19</v>
      </c>
      <c r="B9" t="s">
        <v>254</v>
      </c>
      <c r="C9" t="s">
        <v>255</v>
      </c>
      <c r="D9" t="s">
        <v>12</v>
      </c>
      <c r="E9" t="s">
        <v>147</v>
      </c>
      <c r="F9">
        <v>0.71387760557919</v>
      </c>
      <c r="G9">
        <v>0.73287255320230127</v>
      </c>
      <c r="H9">
        <v>0.74656059860368373</v>
      </c>
      <c r="I9">
        <v>0.76117107109365578</v>
      </c>
      <c r="J9">
        <v>0.77441626927965534</v>
      </c>
      <c r="K9">
        <v>0.78803758888262687</v>
      </c>
      <c r="L9">
        <v>0.7967443486886282</v>
      </c>
      <c r="M9">
        <v>0.80656845857863924</v>
      </c>
      <c r="N9">
        <v>0.81596282172693979</v>
      </c>
      <c r="O9">
        <v>0.82502526091847828</v>
      </c>
      <c r="P9">
        <v>0.83354118136370881</v>
      </c>
      <c r="Q9">
        <v>0.84134195885659191</v>
      </c>
      <c r="S9" t="str">
        <f t="shared" si="0"/>
        <v>ANHC_HHM_HH_PR19CA009</v>
      </c>
    </row>
    <row r="10" spans="1:19" x14ac:dyDescent="0.3">
      <c r="A10" t="s">
        <v>19</v>
      </c>
      <c r="B10" t="s">
        <v>256</v>
      </c>
      <c r="C10" t="s">
        <v>257</v>
      </c>
      <c r="D10" t="s">
        <v>12</v>
      </c>
      <c r="E10" t="s">
        <v>147</v>
      </c>
      <c r="F10">
        <v>0.6202503771638822</v>
      </c>
      <c r="G10">
        <v>0.62153149072462466</v>
      </c>
      <c r="H10">
        <v>0.62128306823543333</v>
      </c>
      <c r="I10">
        <v>0.62262492415092174</v>
      </c>
      <c r="J10">
        <v>0.62247807234997699</v>
      </c>
      <c r="K10">
        <v>0.62520080611359363</v>
      </c>
      <c r="L10">
        <v>0.60362734362592252</v>
      </c>
      <c r="M10">
        <v>0.60258700328217252</v>
      </c>
      <c r="N10">
        <v>0.60496194223727995</v>
      </c>
      <c r="O10">
        <v>0.61032976738640576</v>
      </c>
      <c r="P10">
        <v>0.61639692452864303</v>
      </c>
      <c r="Q10">
        <v>0.62157563283182371</v>
      </c>
      <c r="S10" t="str">
        <f t="shared" si="0"/>
        <v>ANHC_HHDU_HH_PR19CA009</v>
      </c>
    </row>
    <row r="11" spans="1:19" x14ac:dyDescent="0.3">
      <c r="A11" t="s">
        <v>19</v>
      </c>
      <c r="B11" t="s">
        <v>258</v>
      </c>
      <c r="C11" t="s">
        <v>259</v>
      </c>
      <c r="D11" t="s">
        <v>228</v>
      </c>
      <c r="E11" t="s">
        <v>147</v>
      </c>
      <c r="F11">
        <v>374.62141353750809</v>
      </c>
      <c r="G11">
        <v>380.40797967159915</v>
      </c>
      <c r="H11">
        <v>346.27171276096834</v>
      </c>
      <c r="I11">
        <v>352.01525068609919</v>
      </c>
      <c r="J11">
        <v>351.72653763983669</v>
      </c>
      <c r="K11">
        <v>346.8059307831341</v>
      </c>
      <c r="L11">
        <v>347.51409919583728</v>
      </c>
      <c r="M11">
        <v>349.49051484818369</v>
      </c>
      <c r="N11">
        <v>345.68618325257404</v>
      </c>
      <c r="O11">
        <v>346.76635728669748</v>
      </c>
      <c r="P11">
        <v>347.98025079461087</v>
      </c>
      <c r="Q11">
        <v>347.28886947276226</v>
      </c>
      <c r="S11" t="str">
        <f t="shared" si="0"/>
        <v>ANHC_REV_HH_PR19CA009</v>
      </c>
    </row>
    <row r="12" spans="1:19" x14ac:dyDescent="0.3">
      <c r="A12" t="s">
        <v>19</v>
      </c>
      <c r="B12" t="s">
        <v>260</v>
      </c>
      <c r="C12" t="s">
        <v>261</v>
      </c>
      <c r="D12" t="s">
        <v>15</v>
      </c>
      <c r="E12" t="s">
        <v>147</v>
      </c>
      <c r="F12">
        <v>69.115000000000009</v>
      </c>
      <c r="G12">
        <v>69.761999999999986</v>
      </c>
      <c r="H12">
        <v>69.614761123971519</v>
      </c>
      <c r="I12">
        <v>73.779993027619767</v>
      </c>
      <c r="J12">
        <v>79.978999999999999</v>
      </c>
      <c r="K12">
        <v>80.797603910000007</v>
      </c>
      <c r="L12">
        <v>82.571128343000012</v>
      </c>
      <c r="M12">
        <v>77.373546324000003</v>
      </c>
      <c r="N12">
        <v>79.720189504000004</v>
      </c>
      <c r="O12">
        <v>81.669398114999979</v>
      </c>
      <c r="P12">
        <v>83.52165006499996</v>
      </c>
      <c r="Q12">
        <v>85.296470705000047</v>
      </c>
      <c r="S12" t="str">
        <f t="shared" si="0"/>
        <v>ANHC_TC_TRN_PR19CA009</v>
      </c>
    </row>
    <row r="13" spans="1:19" x14ac:dyDescent="0.3">
      <c r="A13" t="s">
        <v>19</v>
      </c>
      <c r="B13" t="s">
        <v>262</v>
      </c>
      <c r="C13" t="s">
        <v>263</v>
      </c>
      <c r="D13" t="s">
        <v>15</v>
      </c>
      <c r="E13" t="s">
        <v>147</v>
      </c>
      <c r="F13">
        <v>73.052078262339407</v>
      </c>
      <c r="G13">
        <v>72.904117322637248</v>
      </c>
      <c r="H13">
        <v>72.429467771746062</v>
      </c>
      <c r="I13">
        <v>75.723643233763866</v>
      </c>
      <c r="J13">
        <v>79.978999999999999</v>
      </c>
      <c r="K13">
        <v>79.114847674480103</v>
      </c>
      <c r="L13">
        <v>79.195491748948157</v>
      </c>
      <c r="M13">
        <v>72.554880674493958</v>
      </c>
      <c r="N13">
        <v>73.289587974432578</v>
      </c>
      <c r="O13">
        <v>73.609376810398388</v>
      </c>
      <c r="P13">
        <v>73.802773003965413</v>
      </c>
      <c r="Q13">
        <v>73.893205083169377</v>
      </c>
      <c r="S13" t="str">
        <f t="shared" si="0"/>
        <v>ANHC_TC_TRR_PR19CA009</v>
      </c>
    </row>
    <row r="14" spans="1:19" x14ac:dyDescent="0.3">
      <c r="A14" t="s">
        <v>19</v>
      </c>
      <c r="B14" t="s">
        <v>264</v>
      </c>
      <c r="C14" t="s">
        <v>265</v>
      </c>
      <c r="D14" t="s">
        <v>15</v>
      </c>
      <c r="E14" t="s">
        <v>147</v>
      </c>
      <c r="F14">
        <v>32.570350743745777</v>
      </c>
      <c r="G14">
        <v>32.658561544246673</v>
      </c>
      <c r="H14">
        <v>32.529605967414099</v>
      </c>
      <c r="I14">
        <v>38.971858158688619</v>
      </c>
      <c r="J14">
        <v>43.14</v>
      </c>
      <c r="K14">
        <v>43.965467624370497</v>
      </c>
      <c r="L14">
        <v>44.975104952571478</v>
      </c>
      <c r="M14">
        <v>44.374341172427279</v>
      </c>
      <c r="N14">
        <v>45.039098171130888</v>
      </c>
      <c r="O14">
        <v>44.832670135659484</v>
      </c>
      <c r="P14">
        <v>44.253092867457823</v>
      </c>
      <c r="Q14">
        <v>43.843889520980625</v>
      </c>
      <c r="S14" t="str">
        <f t="shared" si="0"/>
        <v>ANHC_OC_TR_PR19CA009</v>
      </c>
    </row>
    <row r="15" spans="1:19" x14ac:dyDescent="0.3">
      <c r="A15" t="s">
        <v>19</v>
      </c>
      <c r="B15" t="s">
        <v>266</v>
      </c>
      <c r="C15" t="s">
        <v>267</v>
      </c>
      <c r="D15" t="s">
        <v>16</v>
      </c>
      <c r="E15" t="s">
        <v>147</v>
      </c>
      <c r="F15">
        <v>1.0569641649763351</v>
      </c>
      <c r="G15">
        <v>1.0450405281189941</v>
      </c>
      <c r="H15">
        <v>1.0404326123128118</v>
      </c>
      <c r="I15">
        <v>1.0263438654082888</v>
      </c>
      <c r="J15">
        <v>1</v>
      </c>
      <c r="K15">
        <v>0.97917319135609127</v>
      </c>
      <c r="L15">
        <v>0.95911843931659158</v>
      </c>
      <c r="M15">
        <v>0.93772205258205443</v>
      </c>
      <c r="N15">
        <v>0.91933534566868069</v>
      </c>
      <c r="O15">
        <v>0.90130916242027215</v>
      </c>
      <c r="P15">
        <v>0.88363643374537115</v>
      </c>
      <c r="Q15">
        <v>0.86631022916212852</v>
      </c>
      <c r="S15" t="str">
        <f t="shared" si="0"/>
        <v>ANHC_CD0014R_PR19</v>
      </c>
    </row>
    <row r="16" spans="1:19" x14ac:dyDescent="0.3">
      <c r="A16" t="s">
        <v>19</v>
      </c>
      <c r="B16" t="s">
        <v>268</v>
      </c>
      <c r="C16" t="s">
        <v>269</v>
      </c>
      <c r="D16" t="s">
        <v>15</v>
      </c>
      <c r="E16" t="s">
        <v>147</v>
      </c>
      <c r="F16">
        <v>73.052078262339407</v>
      </c>
      <c r="G16">
        <v>72.904117322637248</v>
      </c>
      <c r="H16">
        <v>72.429467771746062</v>
      </c>
      <c r="I16">
        <v>75.723643233763866</v>
      </c>
      <c r="J16">
        <v>79.978999999999999</v>
      </c>
      <c r="K16">
        <v>79.114847674480103</v>
      </c>
      <c r="L16">
        <v>80.453855141331516</v>
      </c>
      <c r="M16">
        <v>73.821743167532304</v>
      </c>
      <c r="N16">
        <v>74.568383440257719</v>
      </c>
      <c r="O16">
        <v>74.900952840146644</v>
      </c>
      <c r="P16">
        <v>75.10702038017358</v>
      </c>
      <c r="Q16">
        <v>75.209996631495798</v>
      </c>
      <c r="S16" t="str">
        <f t="shared" si="0"/>
        <v>ANHC_BPTOTEX_PR19CA009</v>
      </c>
    </row>
    <row r="17" spans="1:19" x14ac:dyDescent="0.3">
      <c r="A17" t="s">
        <v>19</v>
      </c>
      <c r="B17" t="s">
        <v>273</v>
      </c>
      <c r="C17" t="s">
        <v>274</v>
      </c>
      <c r="D17" t="s">
        <v>12</v>
      </c>
      <c r="E17" t="s">
        <v>147</v>
      </c>
      <c r="F17">
        <v>0.24966086284779607</v>
      </c>
      <c r="G17">
        <v>0.24899028703011417</v>
      </c>
      <c r="H17">
        <v>0.24472401784372028</v>
      </c>
      <c r="I17">
        <v>0.23514680701189339</v>
      </c>
      <c r="J17">
        <v>0.23554283758539796</v>
      </c>
      <c r="K17">
        <v>0.22659856132002898</v>
      </c>
      <c r="L17" t="s">
        <v>293</v>
      </c>
      <c r="M17" t="s">
        <v>293</v>
      </c>
      <c r="N17" t="s">
        <v>293</v>
      </c>
      <c r="O17" t="s">
        <v>293</v>
      </c>
      <c r="P17" t="s">
        <v>293</v>
      </c>
      <c r="Q17" t="s">
        <v>293</v>
      </c>
      <c r="S17" t="str">
        <f t="shared" si="0"/>
        <v>ANHC_CD0018_PR19RR1</v>
      </c>
    </row>
    <row r="18" spans="1:19" x14ac:dyDescent="0.3">
      <c r="A18" t="s">
        <v>19</v>
      </c>
      <c r="B18" t="s">
        <v>275</v>
      </c>
      <c r="C18" t="s">
        <v>154</v>
      </c>
      <c r="D18" t="s">
        <v>12</v>
      </c>
      <c r="E18" t="s">
        <v>147</v>
      </c>
      <c r="F18">
        <v>0.11930408248096348</v>
      </c>
      <c r="G18">
        <v>0.11930408248096348</v>
      </c>
      <c r="H18">
        <v>0.11930408248096348</v>
      </c>
      <c r="I18">
        <v>0.11930408248096348</v>
      </c>
      <c r="J18">
        <v>0.12126834690666324</v>
      </c>
      <c r="K18">
        <v>0.12126834690666324</v>
      </c>
      <c r="L18" t="s">
        <v>293</v>
      </c>
      <c r="M18" t="s">
        <v>293</v>
      </c>
      <c r="N18" t="s">
        <v>293</v>
      </c>
      <c r="O18" t="s">
        <v>293</v>
      </c>
      <c r="P18" t="s">
        <v>293</v>
      </c>
      <c r="Q18" t="s">
        <v>293</v>
      </c>
      <c r="S18" t="str">
        <f t="shared" si="0"/>
        <v>ANHC_CD0019_PR19RR1</v>
      </c>
    </row>
    <row r="19" spans="1:19" x14ac:dyDescent="0.3">
      <c r="A19" t="s">
        <v>19</v>
      </c>
      <c r="B19" t="s">
        <v>276</v>
      </c>
      <c r="C19" t="s">
        <v>153</v>
      </c>
      <c r="D19" t="s">
        <v>12</v>
      </c>
      <c r="E19" t="s">
        <v>147</v>
      </c>
      <c r="F19" t="s">
        <v>293</v>
      </c>
      <c r="G19" t="s">
        <v>293</v>
      </c>
      <c r="H19" t="s">
        <v>293</v>
      </c>
      <c r="I19" t="s">
        <v>293</v>
      </c>
      <c r="J19" t="s">
        <v>293</v>
      </c>
      <c r="K19" t="s">
        <v>293</v>
      </c>
      <c r="L19" t="s">
        <v>293</v>
      </c>
      <c r="M19" t="s">
        <v>293</v>
      </c>
      <c r="N19" t="s">
        <v>293</v>
      </c>
      <c r="O19" t="s">
        <v>293</v>
      </c>
      <c r="P19" t="s">
        <v>293</v>
      </c>
      <c r="Q19" t="s">
        <v>293</v>
      </c>
      <c r="S19" t="str">
        <f t="shared" si="0"/>
        <v>ANHC_CD0020_PR19RR1</v>
      </c>
    </row>
    <row r="20" spans="1:19" x14ac:dyDescent="0.3">
      <c r="A20" t="s">
        <v>19</v>
      </c>
      <c r="B20" t="s">
        <v>277</v>
      </c>
      <c r="C20" t="s">
        <v>278</v>
      </c>
      <c r="D20" t="s">
        <v>12</v>
      </c>
      <c r="E20" t="s">
        <v>147</v>
      </c>
      <c r="F20">
        <v>0.12712606529699844</v>
      </c>
      <c r="G20">
        <v>0.12709566553558876</v>
      </c>
      <c r="H20">
        <v>0.12708669348397295</v>
      </c>
      <c r="I20">
        <v>0.12701471452046997</v>
      </c>
      <c r="J20">
        <v>0.12695937044631347</v>
      </c>
      <c r="K20">
        <v>0.12695937044631347</v>
      </c>
      <c r="L20" t="s">
        <v>293</v>
      </c>
      <c r="M20" t="s">
        <v>293</v>
      </c>
      <c r="N20" t="s">
        <v>293</v>
      </c>
      <c r="O20" t="s">
        <v>293</v>
      </c>
      <c r="P20" t="s">
        <v>293</v>
      </c>
      <c r="Q20" t="s">
        <v>293</v>
      </c>
      <c r="S20" t="str">
        <f t="shared" si="0"/>
        <v>ANHC_CD0021_PR19RR1</v>
      </c>
    </row>
    <row r="21" spans="1:19" x14ac:dyDescent="0.3">
      <c r="A21" t="s">
        <v>19</v>
      </c>
      <c r="B21" t="s">
        <v>279</v>
      </c>
      <c r="C21" t="s">
        <v>280</v>
      </c>
      <c r="D21" t="s">
        <v>15</v>
      </c>
      <c r="E21" t="s">
        <v>147</v>
      </c>
      <c r="F21">
        <v>1017.34551175151</v>
      </c>
      <c r="G21">
        <v>1040.5531516824849</v>
      </c>
      <c r="H21">
        <v>945.55846894317938</v>
      </c>
      <c r="I21">
        <v>970.96077450457585</v>
      </c>
      <c r="J21">
        <v>975.452</v>
      </c>
      <c r="K21">
        <v>972.67833557782637</v>
      </c>
      <c r="L21">
        <v>997.77970149829434</v>
      </c>
      <c r="M21">
        <v>1019.5599417037351</v>
      </c>
      <c r="N21">
        <v>1023.9034620540451</v>
      </c>
      <c r="O21">
        <v>1041.2221639031898</v>
      </c>
      <c r="P21">
        <v>1058.3767130880472</v>
      </c>
      <c r="Q21">
        <v>1069.061410631221</v>
      </c>
      <c r="S21" t="str">
        <f t="shared" si="0"/>
        <v>ANHC_CD0022_PR19RR1</v>
      </c>
    </row>
    <row r="22" spans="1:19" x14ac:dyDescent="0.3">
      <c r="A22" t="s">
        <v>19</v>
      </c>
      <c r="B22" t="s">
        <v>286</v>
      </c>
      <c r="C22" t="s">
        <v>287</v>
      </c>
      <c r="D22" t="s">
        <v>15</v>
      </c>
      <c r="E22" t="s">
        <v>147</v>
      </c>
      <c r="F22" t="s">
        <v>293</v>
      </c>
      <c r="G22" t="s">
        <v>293</v>
      </c>
      <c r="H22" t="s">
        <v>293</v>
      </c>
      <c r="I22" t="s">
        <v>293</v>
      </c>
      <c r="J22">
        <v>5.6669999999999998</v>
      </c>
      <c r="K22">
        <v>3.8334630441590973</v>
      </c>
      <c r="L22">
        <v>1.8472621141237553</v>
      </c>
      <c r="M22">
        <v>0.78299791390601536</v>
      </c>
      <c r="N22">
        <v>0.78419304985538463</v>
      </c>
      <c r="O22">
        <v>0.78233635298079618</v>
      </c>
      <c r="P22">
        <v>0.78201824386465346</v>
      </c>
      <c r="Q22">
        <v>0.78227813693340209</v>
      </c>
      <c r="S22" t="str">
        <f t="shared" si="0"/>
        <v>ANHC_BM4017_PR19CA009</v>
      </c>
    </row>
    <row r="23" spans="1:19" x14ac:dyDescent="0.3">
      <c r="A23" t="s">
        <v>19</v>
      </c>
      <c r="B23" t="s">
        <v>289</v>
      </c>
      <c r="C23" t="s">
        <v>290</v>
      </c>
      <c r="D23" t="s">
        <v>146</v>
      </c>
      <c r="E23" t="s">
        <v>147</v>
      </c>
      <c r="F23" t="s">
        <v>314</v>
      </c>
      <c r="G23" t="s">
        <v>314</v>
      </c>
      <c r="H23" t="s">
        <v>314</v>
      </c>
      <c r="I23" t="s">
        <v>314</v>
      </c>
      <c r="J23" t="s">
        <v>314</v>
      </c>
      <c r="K23" t="s">
        <v>314</v>
      </c>
      <c r="L23" t="s">
        <v>314</v>
      </c>
      <c r="M23" t="s">
        <v>314</v>
      </c>
      <c r="N23" t="s">
        <v>314</v>
      </c>
      <c r="O23" t="s">
        <v>314</v>
      </c>
      <c r="P23" t="s">
        <v>314</v>
      </c>
      <c r="Q23" t="s">
        <v>314</v>
      </c>
      <c r="S23" t="str">
        <f t="shared" si="0"/>
        <v>ANHPR19QA_CA009_OUT_1</v>
      </c>
    </row>
    <row r="24" spans="1:19" x14ac:dyDescent="0.3">
      <c r="A24" t="s">
        <v>19</v>
      </c>
      <c r="B24" t="s">
        <v>291</v>
      </c>
      <c r="C24" t="s">
        <v>292</v>
      </c>
      <c r="D24" t="s">
        <v>146</v>
      </c>
      <c r="E24" t="s">
        <v>147</v>
      </c>
      <c r="F24" t="s">
        <v>315</v>
      </c>
      <c r="G24" t="s">
        <v>315</v>
      </c>
      <c r="H24" t="s">
        <v>315</v>
      </c>
      <c r="I24" t="s">
        <v>315</v>
      </c>
      <c r="J24" t="s">
        <v>315</v>
      </c>
      <c r="K24" t="s">
        <v>315</v>
      </c>
      <c r="L24" t="s">
        <v>315</v>
      </c>
      <c r="M24" t="s">
        <v>315</v>
      </c>
      <c r="N24" t="s">
        <v>315</v>
      </c>
      <c r="O24" t="s">
        <v>315</v>
      </c>
      <c r="P24" t="s">
        <v>315</v>
      </c>
      <c r="Q24" t="s">
        <v>315</v>
      </c>
      <c r="S24" t="str">
        <f t="shared" si="0"/>
        <v>ANHPR19QA_CA009_OUT_2</v>
      </c>
    </row>
    <row r="25" spans="1:19" x14ac:dyDescent="0.3">
      <c r="A25" t="s">
        <v>20</v>
      </c>
      <c r="B25" t="s">
        <v>244</v>
      </c>
      <c r="C25" t="s">
        <v>245</v>
      </c>
      <c r="D25" t="s">
        <v>15</v>
      </c>
      <c r="E25" t="s">
        <v>147</v>
      </c>
      <c r="F25">
        <v>2.8855121703853945</v>
      </c>
      <c r="G25">
        <v>2.8853568981365427</v>
      </c>
      <c r="H25">
        <v>2.8851196339434271</v>
      </c>
      <c r="I25">
        <v>1.9808436602379973</v>
      </c>
      <c r="J25">
        <v>2.4319999999999999</v>
      </c>
      <c r="K25">
        <v>3.5465652990917627</v>
      </c>
      <c r="L25">
        <v>2.4312954545454697</v>
      </c>
      <c r="M25">
        <v>2.4471535913266229</v>
      </c>
      <c r="N25">
        <v>2.4603934740883067</v>
      </c>
      <c r="O25">
        <v>2.4753155304675136</v>
      </c>
      <c r="P25">
        <v>2.4907295302965879</v>
      </c>
      <c r="Q25">
        <v>2.5034616401196503</v>
      </c>
      <c r="S25" t="str">
        <f t="shared" si="0"/>
        <v>NESC_DEP_PR19CA009</v>
      </c>
    </row>
    <row r="26" spans="1:19" x14ac:dyDescent="0.3">
      <c r="A26" t="s">
        <v>20</v>
      </c>
      <c r="B26" t="s">
        <v>246</v>
      </c>
      <c r="C26" t="s">
        <v>247</v>
      </c>
      <c r="D26" t="s">
        <v>15</v>
      </c>
      <c r="E26" t="s">
        <v>147</v>
      </c>
      <c r="F26">
        <v>54.454780610975313</v>
      </c>
      <c r="G26">
        <v>54.812251243958436</v>
      </c>
      <c r="H26">
        <v>46.918950414514384</v>
      </c>
      <c r="I26">
        <v>48.590354814785563</v>
      </c>
      <c r="J26">
        <v>53.263232943632531</v>
      </c>
      <c r="K26">
        <v>58.410749542442403</v>
      </c>
      <c r="L26">
        <v>54.626369318182157</v>
      </c>
      <c r="M26">
        <v>51.264054359283556</v>
      </c>
      <c r="N26">
        <v>50.981383877159615</v>
      </c>
      <c r="O26">
        <v>50.611378347083665</v>
      </c>
      <c r="P26">
        <v>50.257367248474694</v>
      </c>
      <c r="Q26">
        <v>49.902219378173761</v>
      </c>
      <c r="S26" t="str">
        <f t="shared" si="0"/>
        <v>NESC_STC_TR_PR19CA009</v>
      </c>
    </row>
    <row r="27" spans="1:19" x14ac:dyDescent="0.3">
      <c r="A27" t="s">
        <v>20</v>
      </c>
      <c r="B27" t="s">
        <v>248</v>
      </c>
      <c r="C27" t="s">
        <v>249</v>
      </c>
      <c r="D27" t="s">
        <v>15</v>
      </c>
      <c r="E27" t="s">
        <v>147</v>
      </c>
      <c r="F27">
        <v>30.355997649514872</v>
      </c>
      <c r="G27">
        <v>30.044790727538274</v>
      </c>
      <c r="H27">
        <v>20.561671046793926</v>
      </c>
      <c r="I27">
        <v>29.034398803296025</v>
      </c>
      <c r="J27">
        <v>33.324232943632531</v>
      </c>
      <c r="K27">
        <v>36.453769899473414</v>
      </c>
      <c r="L27">
        <v>30.780085227272917</v>
      </c>
      <c r="M27">
        <v>30.148291974100474</v>
      </c>
      <c r="N27">
        <v>30.412863723608627</v>
      </c>
      <c r="O27">
        <v>30.616078158923234</v>
      </c>
      <c r="P27">
        <v>30.809800766283626</v>
      </c>
      <c r="Q27">
        <v>30.985339500591401</v>
      </c>
      <c r="S27" t="str">
        <f t="shared" si="0"/>
        <v>NESC_SOC_TR_PR19CA009</v>
      </c>
    </row>
    <row r="28" spans="1:19" x14ac:dyDescent="0.3">
      <c r="A28" t="s">
        <v>20</v>
      </c>
      <c r="B28" t="s">
        <v>250</v>
      </c>
      <c r="C28" t="s">
        <v>251</v>
      </c>
      <c r="D28" t="s">
        <v>15</v>
      </c>
      <c r="E28" t="s">
        <v>147</v>
      </c>
      <c r="F28">
        <v>24.09878296146044</v>
      </c>
      <c r="G28">
        <v>24.767460516420162</v>
      </c>
      <c r="H28">
        <v>26.357279367720459</v>
      </c>
      <c r="I28">
        <v>19.555956011489538</v>
      </c>
      <c r="J28">
        <v>19.939</v>
      </c>
      <c r="K28">
        <v>21.956979642968989</v>
      </c>
      <c r="L28">
        <v>23.84628409090924</v>
      </c>
      <c r="M28">
        <v>21.115762385183082</v>
      </c>
      <c r="N28">
        <v>20.568520153550988</v>
      </c>
      <c r="O28">
        <v>19.995300188160432</v>
      </c>
      <c r="P28">
        <v>19.447566482191068</v>
      </c>
      <c r="Q28">
        <v>18.91687987758236</v>
      </c>
      <c r="S28" t="str">
        <f t="shared" si="0"/>
        <v>NESC_DC_T_PR19CA009</v>
      </c>
    </row>
    <row r="29" spans="1:19" x14ac:dyDescent="0.3">
      <c r="A29" t="s">
        <v>20</v>
      </c>
      <c r="B29" t="s">
        <v>252</v>
      </c>
      <c r="C29" t="s">
        <v>253</v>
      </c>
      <c r="D29" t="s">
        <v>13</v>
      </c>
      <c r="E29" t="s">
        <v>147</v>
      </c>
      <c r="F29">
        <v>1843.8420000000001</v>
      </c>
      <c r="G29">
        <v>1852.55</v>
      </c>
      <c r="H29">
        <v>1860.6630000000002</v>
      </c>
      <c r="I29">
        <v>1869.0800000000002</v>
      </c>
      <c r="J29">
        <v>1878.4920000000002</v>
      </c>
      <c r="K29">
        <v>1888.3319999999999</v>
      </c>
      <c r="L29">
        <v>1930.6909999999998</v>
      </c>
      <c r="M29">
        <v>1954.1489999999999</v>
      </c>
      <c r="N29">
        <v>1973.0339999999999</v>
      </c>
      <c r="O29">
        <v>1991.3530000000001</v>
      </c>
      <c r="P29">
        <v>2009.0309999999999</v>
      </c>
      <c r="Q29">
        <v>2026.6569999999999</v>
      </c>
      <c r="S29" t="str">
        <f t="shared" si="0"/>
        <v>NESC_HH_T_PR19CA009</v>
      </c>
    </row>
    <row r="30" spans="1:19" x14ac:dyDescent="0.3">
      <c r="A30" t="s">
        <v>20</v>
      </c>
      <c r="B30" t="s">
        <v>254</v>
      </c>
      <c r="C30" t="s">
        <v>255</v>
      </c>
      <c r="D30" t="s">
        <v>12</v>
      </c>
      <c r="E30" t="s">
        <v>147</v>
      </c>
      <c r="F30">
        <v>0.39436242367838453</v>
      </c>
      <c r="G30">
        <v>0.41221883349977056</v>
      </c>
      <c r="H30">
        <v>0.42816995877275998</v>
      </c>
      <c r="I30">
        <v>0.44460964752712562</v>
      </c>
      <c r="J30">
        <v>0.46219254593578252</v>
      </c>
      <c r="K30">
        <v>0.47967942077982051</v>
      </c>
      <c r="L30">
        <v>0.50151785034477292</v>
      </c>
      <c r="M30">
        <v>0.51907761383599715</v>
      </c>
      <c r="N30">
        <v>0.53796386681628405</v>
      </c>
      <c r="O30">
        <v>0.5561962143326673</v>
      </c>
      <c r="P30">
        <v>0.5738234004353342</v>
      </c>
      <c r="Q30">
        <v>0.59092189748931367</v>
      </c>
      <c r="S30" t="str">
        <f t="shared" si="0"/>
        <v>NESC_HHM_HH_PR19CA009</v>
      </c>
    </row>
    <row r="31" spans="1:19" x14ac:dyDescent="0.3">
      <c r="A31" t="s">
        <v>20</v>
      </c>
      <c r="B31" t="s">
        <v>256</v>
      </c>
      <c r="C31" t="s">
        <v>257</v>
      </c>
      <c r="D31" t="s">
        <v>12</v>
      </c>
      <c r="E31" t="s">
        <v>147</v>
      </c>
      <c r="F31">
        <v>0.57115848321060048</v>
      </c>
      <c r="G31">
        <v>0.57101238832959977</v>
      </c>
      <c r="H31">
        <v>0.57055683914819599</v>
      </c>
      <c r="I31">
        <v>0.57019924240802955</v>
      </c>
      <c r="J31">
        <v>0.57033833521782362</v>
      </c>
      <c r="K31">
        <v>0.57037162956513998</v>
      </c>
      <c r="L31">
        <v>0.56104420645250852</v>
      </c>
      <c r="M31">
        <v>0.55982578605827904</v>
      </c>
      <c r="N31">
        <v>0.55846680797188497</v>
      </c>
      <c r="O31">
        <v>0.55702429453743252</v>
      </c>
      <c r="P31">
        <v>0.5556499625939072</v>
      </c>
      <c r="Q31">
        <v>0.55425659102650326</v>
      </c>
      <c r="S31" t="str">
        <f t="shared" si="0"/>
        <v>NESC_HHDU_HH_PR19CA009</v>
      </c>
    </row>
    <row r="32" spans="1:19" x14ac:dyDescent="0.3">
      <c r="A32" t="s">
        <v>20</v>
      </c>
      <c r="B32" t="s">
        <v>258</v>
      </c>
      <c r="C32" t="s">
        <v>259</v>
      </c>
      <c r="D32" t="s">
        <v>228</v>
      </c>
      <c r="E32" t="s">
        <v>147</v>
      </c>
      <c r="F32">
        <v>322.66514502492396</v>
      </c>
      <c r="G32">
        <v>330.6929477438099</v>
      </c>
      <c r="H32">
        <v>325.97384608391724</v>
      </c>
      <c r="I32">
        <v>325.1344554988064</v>
      </c>
      <c r="J32">
        <v>326.74240827216721</v>
      </c>
      <c r="K32">
        <v>330.09861538020834</v>
      </c>
      <c r="L32">
        <v>322.29459732763803</v>
      </c>
      <c r="M32">
        <v>276.08678538644824</v>
      </c>
      <c r="N32">
        <v>273.69810386024392</v>
      </c>
      <c r="O32">
        <v>271.50654019073278</v>
      </c>
      <c r="P32">
        <v>269.26570393105567</v>
      </c>
      <c r="Q32">
        <v>267.03965024127331</v>
      </c>
      <c r="S32" t="str">
        <f t="shared" si="0"/>
        <v>NESC_REV_HH_PR19CA009</v>
      </c>
    </row>
    <row r="33" spans="1:19" x14ac:dyDescent="0.3">
      <c r="A33" t="s">
        <v>20</v>
      </c>
      <c r="B33" t="s">
        <v>260</v>
      </c>
      <c r="C33" t="s">
        <v>261</v>
      </c>
      <c r="D33" t="s">
        <v>15</v>
      </c>
      <c r="E33" t="s">
        <v>147</v>
      </c>
      <c r="F33">
        <v>51.629999999999995</v>
      </c>
      <c r="G33">
        <v>52.561</v>
      </c>
      <c r="H33">
        <v>45.207000000000008</v>
      </c>
      <c r="I33">
        <v>46.574999999999989</v>
      </c>
      <c r="J33">
        <v>52.926000000000016</v>
      </c>
      <c r="K33">
        <v>60.446999999999996</v>
      </c>
      <c r="L33">
        <v>56.888999999999989</v>
      </c>
      <c r="M33">
        <v>54.445</v>
      </c>
      <c r="N33">
        <v>55.221000000000004</v>
      </c>
      <c r="O33">
        <v>55.920999999999992</v>
      </c>
      <c r="P33">
        <v>56.63900000000001</v>
      </c>
      <c r="Q33">
        <v>57.368000000000002</v>
      </c>
      <c r="S33" t="str">
        <f t="shared" si="0"/>
        <v>NESC_TC_TRN_PR19CA009</v>
      </c>
    </row>
    <row r="34" spans="1:19" x14ac:dyDescent="0.3">
      <c r="A34" t="s">
        <v>20</v>
      </c>
      <c r="B34" t="s">
        <v>262</v>
      </c>
      <c r="C34" t="s">
        <v>263</v>
      </c>
      <c r="D34" t="s">
        <v>15</v>
      </c>
      <c r="E34" t="s">
        <v>147</v>
      </c>
      <c r="F34">
        <v>54.571059837728171</v>
      </c>
      <c r="G34">
        <v>54.928375198462447</v>
      </c>
      <c r="H34">
        <v>47.034837104825293</v>
      </c>
      <c r="I34">
        <v>47.801965531391041</v>
      </c>
      <c r="J34">
        <v>52.926000000000016</v>
      </c>
      <c r="K34">
        <v>59.188081897901647</v>
      </c>
      <c r="L34">
        <v>54.626369318182149</v>
      </c>
      <c r="M34">
        <v>51.264054359283556</v>
      </c>
      <c r="N34">
        <v>50.981383877159622</v>
      </c>
      <c r="O34">
        <v>50.611378347083665</v>
      </c>
      <c r="P34">
        <v>50.257367248474701</v>
      </c>
      <c r="Q34">
        <v>49.902219378173768</v>
      </c>
      <c r="S34" t="str">
        <f t="shared" si="0"/>
        <v>NESC_TC_TRR_PR19CA009</v>
      </c>
    </row>
    <row r="35" spans="1:19" x14ac:dyDescent="0.3">
      <c r="A35" t="s">
        <v>20</v>
      </c>
      <c r="B35" t="s">
        <v>264</v>
      </c>
      <c r="C35" t="s">
        <v>265</v>
      </c>
      <c r="D35" t="s">
        <v>15</v>
      </c>
      <c r="E35" t="s">
        <v>147</v>
      </c>
      <c r="F35">
        <v>30.472276876267735</v>
      </c>
      <c r="G35">
        <v>30.160914682042286</v>
      </c>
      <c r="H35">
        <v>20.677557737104831</v>
      </c>
      <c r="I35">
        <v>28.246009519901502</v>
      </c>
      <c r="J35">
        <v>32.987000000000016</v>
      </c>
      <c r="K35">
        <v>37.231102254932651</v>
      </c>
      <c r="L35">
        <v>30.780085227272913</v>
      </c>
      <c r="M35">
        <v>30.148291974100477</v>
      </c>
      <c r="N35">
        <v>30.412863723608638</v>
      </c>
      <c r="O35">
        <v>30.616078158923226</v>
      </c>
      <c r="P35">
        <v>30.80980076628363</v>
      </c>
      <c r="Q35">
        <v>30.985339500591405</v>
      </c>
      <c r="S35" t="str">
        <f t="shared" si="0"/>
        <v>NESC_OC_TR_PR19CA009</v>
      </c>
    </row>
    <row r="36" spans="1:19" x14ac:dyDescent="0.3">
      <c r="A36" t="s">
        <v>20</v>
      </c>
      <c r="B36" t="s">
        <v>266</v>
      </c>
      <c r="C36" t="s">
        <v>267</v>
      </c>
      <c r="D36" t="s">
        <v>16</v>
      </c>
      <c r="E36" t="s">
        <v>147</v>
      </c>
      <c r="F36">
        <v>1.0569641649763351</v>
      </c>
      <c r="G36">
        <v>1.0450405281189941</v>
      </c>
      <c r="H36">
        <v>1.0404326123128118</v>
      </c>
      <c r="I36">
        <v>1.0263438654082888</v>
      </c>
      <c r="J36">
        <v>1</v>
      </c>
      <c r="K36">
        <v>0.97917319135609127</v>
      </c>
      <c r="L36">
        <v>0.9602272727272787</v>
      </c>
      <c r="M36">
        <v>0.9415750639963919</v>
      </c>
      <c r="N36">
        <v>0.92322456813820142</v>
      </c>
      <c r="O36">
        <v>0.90505138225503245</v>
      </c>
      <c r="P36">
        <v>0.88732794096779055</v>
      </c>
      <c r="Q36">
        <v>0.86986158447520856</v>
      </c>
      <c r="S36" t="str">
        <f t="shared" si="0"/>
        <v>NESC_CD0014R_PR19</v>
      </c>
    </row>
    <row r="37" spans="1:19" x14ac:dyDescent="0.3">
      <c r="A37" t="s">
        <v>20</v>
      </c>
      <c r="B37" t="s">
        <v>268</v>
      </c>
      <c r="C37" t="s">
        <v>269</v>
      </c>
      <c r="D37" t="s">
        <v>15</v>
      </c>
      <c r="E37" t="s">
        <v>147</v>
      </c>
      <c r="F37">
        <v>55.416631169709241</v>
      </c>
      <c r="G37">
        <v>55.659903568145744</v>
      </c>
      <c r="H37">
        <v>47.091020465890189</v>
      </c>
      <c r="I37">
        <v>47.801965531391041</v>
      </c>
      <c r="J37">
        <v>52.926000000000016</v>
      </c>
      <c r="K37">
        <v>59.188081897901647</v>
      </c>
      <c r="L37">
        <v>56.908829545454893</v>
      </c>
      <c r="M37">
        <v>53.435326456859229</v>
      </c>
      <c r="N37">
        <v>53.563642994242173</v>
      </c>
      <c r="O37">
        <v>53.168148501954136</v>
      </c>
      <c r="P37">
        <v>52.787139208173869</v>
      </c>
      <c r="Q37">
        <v>52.406550879877891</v>
      </c>
      <c r="S37" t="str">
        <f t="shared" si="0"/>
        <v>NESC_BPTOTEX_PR19CA009</v>
      </c>
    </row>
    <row r="38" spans="1:19" x14ac:dyDescent="0.3">
      <c r="A38" t="s">
        <v>20</v>
      </c>
      <c r="B38" t="s">
        <v>273</v>
      </c>
      <c r="C38" t="s">
        <v>274</v>
      </c>
      <c r="D38" t="s">
        <v>12</v>
      </c>
      <c r="E38" t="s">
        <v>147</v>
      </c>
      <c r="F38">
        <v>0.28811433152830651</v>
      </c>
      <c r="G38">
        <v>0.28905563496304842</v>
      </c>
      <c r="H38">
        <v>0.28765588840246753</v>
      </c>
      <c r="I38">
        <v>0.27998233805106243</v>
      </c>
      <c r="J38">
        <v>0.28050755846246195</v>
      </c>
      <c r="K38">
        <v>0.27238465680452728</v>
      </c>
      <c r="L38" t="s">
        <v>293</v>
      </c>
      <c r="M38" t="s">
        <v>293</v>
      </c>
      <c r="N38" t="s">
        <v>293</v>
      </c>
      <c r="O38" t="s">
        <v>293</v>
      </c>
      <c r="P38" t="s">
        <v>293</v>
      </c>
      <c r="Q38" t="s">
        <v>293</v>
      </c>
      <c r="S38" t="str">
        <f t="shared" si="0"/>
        <v>NESC_CD0018_PR19RR1</v>
      </c>
    </row>
    <row r="39" spans="1:19" x14ac:dyDescent="0.3">
      <c r="A39" t="s">
        <v>20</v>
      </c>
      <c r="B39" t="s">
        <v>275</v>
      </c>
      <c r="C39" t="s">
        <v>154</v>
      </c>
      <c r="D39" t="s">
        <v>12</v>
      </c>
      <c r="E39" t="s">
        <v>147</v>
      </c>
      <c r="F39">
        <v>9.6672483697440262E-2</v>
      </c>
      <c r="G39">
        <v>9.6672483697440262E-2</v>
      </c>
      <c r="H39">
        <v>9.6672483697440262E-2</v>
      </c>
      <c r="I39">
        <v>9.6672483697440262E-2</v>
      </c>
      <c r="J39">
        <v>9.8266630152918727E-2</v>
      </c>
      <c r="K39">
        <v>9.8266630152918727E-2</v>
      </c>
      <c r="L39" t="s">
        <v>293</v>
      </c>
      <c r="M39" t="s">
        <v>293</v>
      </c>
      <c r="N39" t="s">
        <v>293</v>
      </c>
      <c r="O39" t="s">
        <v>293</v>
      </c>
      <c r="P39" t="s">
        <v>293</v>
      </c>
      <c r="Q39" t="s">
        <v>293</v>
      </c>
      <c r="S39" t="str">
        <f t="shared" si="0"/>
        <v>NESC_CD0019_PR19RR1</v>
      </c>
    </row>
    <row r="40" spans="1:19" x14ac:dyDescent="0.3">
      <c r="A40" t="s">
        <v>20</v>
      </c>
      <c r="B40" t="s">
        <v>276</v>
      </c>
      <c r="C40" t="s">
        <v>153</v>
      </c>
      <c r="D40" t="s">
        <v>12</v>
      </c>
      <c r="E40" t="s">
        <v>147</v>
      </c>
      <c r="F40" t="s">
        <v>293</v>
      </c>
      <c r="G40" t="s">
        <v>293</v>
      </c>
      <c r="H40" t="s">
        <v>293</v>
      </c>
      <c r="I40" t="s">
        <v>293</v>
      </c>
      <c r="J40" t="s">
        <v>293</v>
      </c>
      <c r="K40" t="s">
        <v>293</v>
      </c>
      <c r="L40" t="s">
        <v>293</v>
      </c>
      <c r="M40" t="s">
        <v>293</v>
      </c>
      <c r="N40" t="s">
        <v>293</v>
      </c>
      <c r="O40" t="s">
        <v>293</v>
      </c>
      <c r="P40" t="s">
        <v>293</v>
      </c>
      <c r="Q40" t="s">
        <v>293</v>
      </c>
      <c r="S40" t="str">
        <f t="shared" si="0"/>
        <v>NESC_CD0020_PR19RR1</v>
      </c>
    </row>
    <row r="41" spans="1:19" x14ac:dyDescent="0.3">
      <c r="A41" t="s">
        <v>20</v>
      </c>
      <c r="B41" t="s">
        <v>277</v>
      </c>
      <c r="C41" t="s">
        <v>278</v>
      </c>
      <c r="D41" t="s">
        <v>12</v>
      </c>
      <c r="E41" t="s">
        <v>147</v>
      </c>
      <c r="F41">
        <v>0.17398328297211765</v>
      </c>
      <c r="G41">
        <v>0.17397904553773483</v>
      </c>
      <c r="H41">
        <v>0.17398069274740141</v>
      </c>
      <c r="I41">
        <v>0.17393574078757187</v>
      </c>
      <c r="J41">
        <v>0.1739017807303129</v>
      </c>
      <c r="K41">
        <v>0.1739017807303129</v>
      </c>
      <c r="L41" t="s">
        <v>293</v>
      </c>
      <c r="M41" t="s">
        <v>293</v>
      </c>
      <c r="N41" t="s">
        <v>293</v>
      </c>
      <c r="O41" t="s">
        <v>293</v>
      </c>
      <c r="P41" t="s">
        <v>293</v>
      </c>
      <c r="Q41" t="s">
        <v>293</v>
      </c>
      <c r="S41" t="str">
        <f t="shared" si="0"/>
        <v>NESC_CD0021_PR19RR1</v>
      </c>
    </row>
    <row r="42" spans="1:19" x14ac:dyDescent="0.3">
      <c r="A42" t="s">
        <v>20</v>
      </c>
      <c r="B42" t="s">
        <v>279</v>
      </c>
      <c r="C42" t="s">
        <v>280</v>
      </c>
      <c r="D42" t="s">
        <v>15</v>
      </c>
      <c r="E42" t="s">
        <v>147</v>
      </c>
      <c r="F42">
        <v>594.94354633304579</v>
      </c>
      <c r="G42">
        <v>612.62522034279493</v>
      </c>
      <c r="H42">
        <v>606.52747437603978</v>
      </c>
      <c r="I42">
        <v>607.70230808370923</v>
      </c>
      <c r="J42">
        <v>613.78300000000002</v>
      </c>
      <c r="K42">
        <v>623.33577857813953</v>
      </c>
      <c r="L42">
        <v>622.25127840909477</v>
      </c>
      <c r="M42">
        <v>539.51471557614252</v>
      </c>
      <c r="N42">
        <v>540.01566465179246</v>
      </c>
      <c r="O42">
        <v>540.66536332843634</v>
      </c>
      <c r="P42">
        <v>540.96314643431276</v>
      </c>
      <c r="Q42">
        <v>541.19777643902819</v>
      </c>
      <c r="S42" t="str">
        <f t="shared" si="0"/>
        <v>NESC_CD0022_PR19RR1</v>
      </c>
    </row>
    <row r="43" spans="1:19" x14ac:dyDescent="0.3">
      <c r="A43" t="s">
        <v>20</v>
      </c>
      <c r="B43" t="s">
        <v>286</v>
      </c>
      <c r="C43" t="s">
        <v>287</v>
      </c>
      <c r="D43" t="s">
        <v>15</v>
      </c>
      <c r="E43" t="s">
        <v>147</v>
      </c>
      <c r="F43" t="s">
        <v>293</v>
      </c>
      <c r="G43" t="s">
        <v>293</v>
      </c>
      <c r="H43" t="s">
        <v>293</v>
      </c>
      <c r="I43" t="s">
        <v>293</v>
      </c>
      <c r="J43">
        <v>10.27</v>
      </c>
      <c r="K43">
        <v>2.5732671468838078</v>
      </c>
      <c r="L43">
        <v>3.2810965909091112</v>
      </c>
      <c r="M43">
        <v>2.0008470109923326</v>
      </c>
      <c r="N43">
        <v>1.9997044145873442</v>
      </c>
      <c r="O43">
        <v>2.0010686061658767</v>
      </c>
      <c r="P43">
        <v>1.9991498510004322</v>
      </c>
      <c r="Q43">
        <v>2.0006816442929796</v>
      </c>
      <c r="S43" t="str">
        <f t="shared" si="0"/>
        <v>NESC_BM4017_PR19CA009</v>
      </c>
    </row>
    <row r="44" spans="1:19" x14ac:dyDescent="0.3">
      <c r="A44" t="s">
        <v>20</v>
      </c>
      <c r="B44" t="s">
        <v>289</v>
      </c>
      <c r="C44" t="s">
        <v>290</v>
      </c>
      <c r="D44" t="s">
        <v>146</v>
      </c>
      <c r="E44" t="s">
        <v>147</v>
      </c>
      <c r="F44" t="s">
        <v>314</v>
      </c>
      <c r="G44" t="s">
        <v>314</v>
      </c>
      <c r="H44" t="s">
        <v>314</v>
      </c>
      <c r="I44" t="s">
        <v>314</v>
      </c>
      <c r="J44" t="s">
        <v>314</v>
      </c>
      <c r="K44" t="s">
        <v>314</v>
      </c>
      <c r="L44" t="s">
        <v>314</v>
      </c>
      <c r="M44" t="s">
        <v>314</v>
      </c>
      <c r="N44" t="s">
        <v>314</v>
      </c>
      <c r="O44" t="s">
        <v>314</v>
      </c>
      <c r="P44" t="s">
        <v>314</v>
      </c>
      <c r="Q44" t="s">
        <v>314</v>
      </c>
      <c r="S44" t="str">
        <f t="shared" si="0"/>
        <v>NESPR19QA_CA009_OUT_1</v>
      </c>
    </row>
    <row r="45" spans="1:19" x14ac:dyDescent="0.3">
      <c r="A45" t="s">
        <v>20</v>
      </c>
      <c r="B45" t="s">
        <v>291</v>
      </c>
      <c r="C45" t="s">
        <v>292</v>
      </c>
      <c r="D45" t="s">
        <v>146</v>
      </c>
      <c r="E45" t="s">
        <v>147</v>
      </c>
      <c r="F45" t="s">
        <v>315</v>
      </c>
      <c r="G45" t="s">
        <v>315</v>
      </c>
      <c r="H45" t="s">
        <v>315</v>
      </c>
      <c r="I45" t="s">
        <v>315</v>
      </c>
      <c r="J45" t="s">
        <v>315</v>
      </c>
      <c r="K45" t="s">
        <v>315</v>
      </c>
      <c r="L45" t="s">
        <v>315</v>
      </c>
      <c r="M45" t="s">
        <v>315</v>
      </c>
      <c r="N45" t="s">
        <v>315</v>
      </c>
      <c r="O45" t="s">
        <v>315</v>
      </c>
      <c r="P45" t="s">
        <v>315</v>
      </c>
      <c r="Q45" t="s">
        <v>315</v>
      </c>
      <c r="S45" t="str">
        <f t="shared" si="0"/>
        <v>NESPR19QA_CA009_OUT_2</v>
      </c>
    </row>
    <row r="46" spans="1:19" x14ac:dyDescent="0.3">
      <c r="A46" t="s">
        <v>21</v>
      </c>
      <c r="B46" t="s">
        <v>244</v>
      </c>
      <c r="C46" t="s">
        <v>245</v>
      </c>
      <c r="D46" t="s">
        <v>15</v>
      </c>
      <c r="E46" t="s">
        <v>147</v>
      </c>
      <c r="F46">
        <v>9.9518901390314376</v>
      </c>
      <c r="G46">
        <v>10.214580066611518</v>
      </c>
      <c r="H46">
        <v>6.4965336948498402</v>
      </c>
      <c r="I46">
        <v>7.105221255132621</v>
      </c>
      <c r="J46">
        <v>7.4487963600000002</v>
      </c>
      <c r="K46">
        <v>6.3492648174992157</v>
      </c>
      <c r="L46">
        <v>5.5760675408553624</v>
      </c>
      <c r="M46">
        <v>5.8905855003246801</v>
      </c>
      <c r="N46">
        <v>6.1694622294524342</v>
      </c>
      <c r="O46">
        <v>6.1435049150274592</v>
      </c>
      <c r="P46">
        <v>6.0406483925849308</v>
      </c>
      <c r="Q46">
        <v>4.9132254702740541</v>
      </c>
      <c r="S46" t="str">
        <f t="shared" si="0"/>
        <v>NWTC_DEP_PR19CA009</v>
      </c>
    </row>
    <row r="47" spans="1:19" x14ac:dyDescent="0.3">
      <c r="A47" t="s">
        <v>21</v>
      </c>
      <c r="B47" t="s">
        <v>246</v>
      </c>
      <c r="C47" t="s">
        <v>247</v>
      </c>
      <c r="D47" t="s">
        <v>15</v>
      </c>
      <c r="E47" t="s">
        <v>147</v>
      </c>
      <c r="F47">
        <v>133.8121464375356</v>
      </c>
      <c r="G47">
        <v>143.16013888956442</v>
      </c>
      <c r="H47">
        <v>130.93381275709527</v>
      </c>
      <c r="I47">
        <v>122.62408545623576</v>
      </c>
      <c r="J47">
        <v>118.27544883911392</v>
      </c>
      <c r="K47">
        <v>114.45666449561939</v>
      </c>
      <c r="L47">
        <v>104.27205865618454</v>
      </c>
      <c r="M47">
        <v>95.815289559201403</v>
      </c>
      <c r="N47">
        <v>93.518930313652035</v>
      </c>
      <c r="O47">
        <v>91.300235015032783</v>
      </c>
      <c r="P47">
        <v>89.648804159678065</v>
      </c>
      <c r="Q47">
        <v>88.140183584334466</v>
      </c>
      <c r="S47" t="str">
        <f t="shared" si="0"/>
        <v>NWTC_STC_TR_PR19CA009</v>
      </c>
    </row>
    <row r="48" spans="1:19" x14ac:dyDescent="0.3">
      <c r="A48" t="s">
        <v>21</v>
      </c>
      <c r="B48" t="s">
        <v>248</v>
      </c>
      <c r="C48" t="s">
        <v>249</v>
      </c>
      <c r="D48" t="s">
        <v>15</v>
      </c>
      <c r="E48" t="s">
        <v>147</v>
      </c>
      <c r="F48">
        <v>53.271477066338889</v>
      </c>
      <c r="G48">
        <v>53.956524449855195</v>
      </c>
      <c r="H48">
        <v>56.90972385061005</v>
      </c>
      <c r="I48">
        <v>57.447407063918575</v>
      </c>
      <c r="J48">
        <v>56.379635946581018</v>
      </c>
      <c r="K48">
        <v>58.210277300622259</v>
      </c>
      <c r="L48">
        <v>51.952451846630858</v>
      </c>
      <c r="M48">
        <v>47.298029026785471</v>
      </c>
      <c r="N48">
        <v>46.37040561445842</v>
      </c>
      <c r="O48">
        <v>47.222816074404598</v>
      </c>
      <c r="P48">
        <v>46.510723939265027</v>
      </c>
      <c r="Q48">
        <v>45.682764033518268</v>
      </c>
      <c r="S48" t="str">
        <f t="shared" si="0"/>
        <v>NWTC_SOC_TR_PR19CA009</v>
      </c>
    </row>
    <row r="49" spans="1:19" x14ac:dyDescent="0.3">
      <c r="A49" t="s">
        <v>21</v>
      </c>
      <c r="B49" t="s">
        <v>250</v>
      </c>
      <c r="C49" t="s">
        <v>251</v>
      </c>
      <c r="D49" t="s">
        <v>15</v>
      </c>
      <c r="E49" t="s">
        <v>147</v>
      </c>
      <c r="F49">
        <v>80.540669371196714</v>
      </c>
      <c r="G49">
        <v>89.203614439709227</v>
      </c>
      <c r="H49">
        <v>74.024088906485218</v>
      </c>
      <c r="I49">
        <v>65.176678392317186</v>
      </c>
      <c r="J49">
        <v>61.895812892532902</v>
      </c>
      <c r="K49">
        <v>56.246387194997133</v>
      </c>
      <c r="L49">
        <v>52.319606809553683</v>
      </c>
      <c r="M49">
        <v>48.517260532415932</v>
      </c>
      <c r="N49">
        <v>47.148524699193615</v>
      </c>
      <c r="O49">
        <v>44.077418940628185</v>
      </c>
      <c r="P49">
        <v>43.138080220413038</v>
      </c>
      <c r="Q49">
        <v>42.457419550816198</v>
      </c>
      <c r="S49" t="str">
        <f t="shared" si="0"/>
        <v>NWTC_DC_T_PR19CA009</v>
      </c>
    </row>
    <row r="50" spans="1:19" x14ac:dyDescent="0.3">
      <c r="A50" t="s">
        <v>21</v>
      </c>
      <c r="B50" t="s">
        <v>252</v>
      </c>
      <c r="C50" t="s">
        <v>253</v>
      </c>
      <c r="D50" t="s">
        <v>13</v>
      </c>
      <c r="E50" t="s">
        <v>147</v>
      </c>
      <c r="F50">
        <v>2912.2439999999997</v>
      </c>
      <c r="G50">
        <v>2913.2959999999998</v>
      </c>
      <c r="H50">
        <v>2925.0529999999999</v>
      </c>
      <c r="I50">
        <v>2971.9520000000002</v>
      </c>
      <c r="J50">
        <v>2975.3429999999998</v>
      </c>
      <c r="K50">
        <v>2997.6619999999998</v>
      </c>
      <c r="L50">
        <v>3020.4255192240671</v>
      </c>
      <c r="M50">
        <v>3042.2880536584053</v>
      </c>
      <c r="N50">
        <v>3065.0392124647797</v>
      </c>
      <c r="O50">
        <v>3088.8200790626925</v>
      </c>
      <c r="P50">
        <v>3113.6296110535754</v>
      </c>
      <c r="Q50">
        <v>3139.4662610016094</v>
      </c>
      <c r="S50" t="str">
        <f t="shared" si="0"/>
        <v>NWTC_HH_T_PR19CA009</v>
      </c>
    </row>
    <row r="51" spans="1:19" x14ac:dyDescent="0.3">
      <c r="A51" t="s">
        <v>21</v>
      </c>
      <c r="B51" t="s">
        <v>254</v>
      </c>
      <c r="C51" t="s">
        <v>255</v>
      </c>
      <c r="D51" t="s">
        <v>12</v>
      </c>
      <c r="E51" t="s">
        <v>147</v>
      </c>
      <c r="F51">
        <v>0.35899121090128444</v>
      </c>
      <c r="G51">
        <v>0.37607850352315725</v>
      </c>
      <c r="H51">
        <v>0.38986780752348765</v>
      </c>
      <c r="I51">
        <v>0.40838916644683354</v>
      </c>
      <c r="J51">
        <v>0.42482429756838125</v>
      </c>
      <c r="K51">
        <v>0.43952920642820975</v>
      </c>
      <c r="L51">
        <v>0.45658873394094562</v>
      </c>
      <c r="M51">
        <v>0.47251725337148964</v>
      </c>
      <c r="N51">
        <v>0.48824431942192914</v>
      </c>
      <c r="O51">
        <v>0.50377464833648034</v>
      </c>
      <c r="P51">
        <v>0.51906862465153647</v>
      </c>
      <c r="Q51">
        <v>0.53410263612475506</v>
      </c>
      <c r="S51" t="str">
        <f t="shared" si="0"/>
        <v>NWTC_HHM_HH_PR19CA009</v>
      </c>
    </row>
    <row r="52" spans="1:19" x14ac:dyDescent="0.3">
      <c r="A52" t="s">
        <v>21</v>
      </c>
      <c r="B52" t="s">
        <v>256</v>
      </c>
      <c r="C52" t="s">
        <v>257</v>
      </c>
      <c r="D52" t="s">
        <v>12</v>
      </c>
      <c r="E52" t="s">
        <v>147</v>
      </c>
      <c r="F52">
        <v>0.96152520187182122</v>
      </c>
      <c r="G52">
        <v>0.96170866262817112</v>
      </c>
      <c r="H52">
        <v>0.96173539419627607</v>
      </c>
      <c r="I52">
        <v>0.95300597048673719</v>
      </c>
      <c r="J52">
        <v>0.95111723253419866</v>
      </c>
      <c r="K52">
        <v>0.95121231146139895</v>
      </c>
      <c r="L52">
        <v>0.95125416430090282</v>
      </c>
      <c r="M52">
        <v>0.95147207607007478</v>
      </c>
      <c r="N52">
        <v>0.95174088011156566</v>
      </c>
      <c r="O52">
        <v>0.95201291425769241</v>
      </c>
      <c r="P52">
        <v>0.95228763524303484</v>
      </c>
      <c r="Q52">
        <v>0.95256461235772671</v>
      </c>
      <c r="S52" t="str">
        <f t="shared" si="0"/>
        <v>NWTC_HHDU_HH_PR19CA009</v>
      </c>
    </row>
    <row r="53" spans="1:19" x14ac:dyDescent="0.3">
      <c r="A53" t="s">
        <v>21</v>
      </c>
      <c r="B53" t="s">
        <v>258</v>
      </c>
      <c r="C53" t="s">
        <v>259</v>
      </c>
      <c r="D53" t="s">
        <v>228</v>
      </c>
      <c r="E53" t="s">
        <v>147</v>
      </c>
      <c r="F53">
        <v>429.59985240927966</v>
      </c>
      <c r="G53">
        <v>438.81051961960873</v>
      </c>
      <c r="H53">
        <v>417.63311002036289</v>
      </c>
      <c r="I53">
        <v>408.72145454426879</v>
      </c>
      <c r="J53">
        <v>404.66628553413841</v>
      </c>
      <c r="K53">
        <v>415.90432439223292</v>
      </c>
      <c r="L53">
        <v>418.45875001309992</v>
      </c>
      <c r="M53">
        <v>385.22408006367397</v>
      </c>
      <c r="N53">
        <v>383.33722578269345</v>
      </c>
      <c r="O53">
        <v>377.72023745931455</v>
      </c>
      <c r="P53">
        <v>374.38765978617579</v>
      </c>
      <c r="Q53">
        <v>373.50831402740772</v>
      </c>
      <c r="S53" t="str">
        <f t="shared" si="0"/>
        <v>NWTC_REV_HH_PR19CA009</v>
      </c>
    </row>
    <row r="54" spans="1:19" x14ac:dyDescent="0.3">
      <c r="A54" t="s">
        <v>21</v>
      </c>
      <c r="B54" t="s">
        <v>260</v>
      </c>
      <c r="C54" t="s">
        <v>261</v>
      </c>
      <c r="D54" t="s">
        <v>15</v>
      </c>
      <c r="E54" t="s">
        <v>147</v>
      </c>
      <c r="F54">
        <v>128.51554167</v>
      </c>
      <c r="G54">
        <v>139.17833869</v>
      </c>
      <c r="H54">
        <v>124.46998539887689</v>
      </c>
      <c r="I54">
        <v>118.67522808650538</v>
      </c>
      <c r="J54">
        <v>117.79653081025982</v>
      </c>
      <c r="K54">
        <v>115.27911090778079</v>
      </c>
      <c r="L54">
        <v>108.44093993941527</v>
      </c>
      <c r="M54">
        <v>102.05038136841344</v>
      </c>
      <c r="N54">
        <v>101.59668043097732</v>
      </c>
      <c r="O54">
        <v>101.17007096173091</v>
      </c>
      <c r="P54">
        <v>101.32691766363035</v>
      </c>
      <c r="Q54">
        <v>101.61421195512739</v>
      </c>
      <c r="S54" t="str">
        <f t="shared" si="0"/>
        <v>NWTC_TC_TRN_PR19CA009</v>
      </c>
    </row>
    <row r="55" spans="1:19" x14ac:dyDescent="0.3">
      <c r="A55" t="s">
        <v>21</v>
      </c>
      <c r="B55" t="s">
        <v>262</v>
      </c>
      <c r="C55" t="s">
        <v>263</v>
      </c>
      <c r="D55" t="s">
        <v>15</v>
      </c>
      <c r="E55" t="s">
        <v>147</v>
      </c>
      <c r="F55">
        <v>135.83632218771294</v>
      </c>
      <c r="G55">
        <v>145.44700456732184</v>
      </c>
      <c r="H55">
        <v>129.50263206309103</v>
      </c>
      <c r="I55">
        <v>121.80159232251425</v>
      </c>
      <c r="J55">
        <v>117.79653081025982</v>
      </c>
      <c r="K55">
        <v>112.87821492426451</v>
      </c>
      <c r="L55">
        <v>104.27205865618453</v>
      </c>
      <c r="M55">
        <v>95.815289559201403</v>
      </c>
      <c r="N55">
        <v>93.518930313652035</v>
      </c>
      <c r="O55">
        <v>91.300235015032769</v>
      </c>
      <c r="P55">
        <v>89.64880415967805</v>
      </c>
      <c r="Q55">
        <v>88.14018358433448</v>
      </c>
      <c r="S55" t="str">
        <f t="shared" si="0"/>
        <v>NWTC_TC_TRR_PR19CA009</v>
      </c>
    </row>
    <row r="56" spans="1:19" x14ac:dyDescent="0.3">
      <c r="A56" t="s">
        <v>21</v>
      </c>
      <c r="B56" t="s">
        <v>264</v>
      </c>
      <c r="C56" t="s">
        <v>265</v>
      </c>
      <c r="D56" t="s">
        <v>15</v>
      </c>
      <c r="E56" t="s">
        <v>147</v>
      </c>
      <c r="F56">
        <v>55.295652816516231</v>
      </c>
      <c r="G56">
        <v>56.243390127612606</v>
      </c>
      <c r="H56">
        <v>55.478543156605802</v>
      </c>
      <c r="I56">
        <v>56.624913930197074</v>
      </c>
      <c r="J56">
        <v>55.900717917726922</v>
      </c>
      <c r="K56">
        <v>56.631827729267371</v>
      </c>
      <c r="L56">
        <v>51.952451846630844</v>
      </c>
      <c r="M56">
        <v>47.298029026785471</v>
      </c>
      <c r="N56">
        <v>46.370405614458427</v>
      </c>
      <c r="O56">
        <v>47.222816074404591</v>
      </c>
      <c r="P56">
        <v>46.510723939265006</v>
      </c>
      <c r="Q56">
        <v>45.682764033518282</v>
      </c>
      <c r="S56" t="str">
        <f t="shared" si="0"/>
        <v>NWTC_OC_TR_PR19CA009</v>
      </c>
    </row>
    <row r="57" spans="1:19" x14ac:dyDescent="0.3">
      <c r="A57" t="s">
        <v>21</v>
      </c>
      <c r="B57" t="s">
        <v>266</v>
      </c>
      <c r="C57" t="s">
        <v>267</v>
      </c>
      <c r="D57" t="s">
        <v>16</v>
      </c>
      <c r="E57" t="s">
        <v>147</v>
      </c>
      <c r="F57">
        <v>1.0569641649763351</v>
      </c>
      <c r="G57">
        <v>1.0450405281189941</v>
      </c>
      <c r="H57">
        <v>1.0404326123128118</v>
      </c>
      <c r="I57">
        <v>1.0263438654082888</v>
      </c>
      <c r="J57">
        <v>1</v>
      </c>
      <c r="K57">
        <v>0.97917319135609127</v>
      </c>
      <c r="L57">
        <v>0.96155620482854676</v>
      </c>
      <c r="M57">
        <v>0.93890182745419981</v>
      </c>
      <c r="N57">
        <v>0.92049198770019725</v>
      </c>
      <c r="O57">
        <v>0.90244312519626924</v>
      </c>
      <c r="P57">
        <v>0.88474816195712647</v>
      </c>
      <c r="Q57">
        <v>0.8674001587814999</v>
      </c>
      <c r="S57" t="str">
        <f t="shared" si="0"/>
        <v>NWTC_CD0014R_PR19</v>
      </c>
    </row>
    <row r="58" spans="1:19" x14ac:dyDescent="0.3">
      <c r="A58" t="s">
        <v>21</v>
      </c>
      <c r="B58" t="s">
        <v>268</v>
      </c>
      <c r="C58" t="s">
        <v>269</v>
      </c>
      <c r="D58" t="s">
        <v>15</v>
      </c>
      <c r="E58" t="s">
        <v>147</v>
      </c>
      <c r="F58">
        <v>135.83632218771294</v>
      </c>
      <c r="G58">
        <v>145.44700456732184</v>
      </c>
      <c r="H58">
        <v>129.50263206309103</v>
      </c>
      <c r="I58">
        <v>121.80159232251425</v>
      </c>
      <c r="J58">
        <v>117.79653081025982</v>
      </c>
      <c r="K58">
        <v>112.87821492426451</v>
      </c>
      <c r="L58">
        <v>105.92969672478084</v>
      </c>
      <c r="M58">
        <v>97.416110300159389</v>
      </c>
      <c r="N58">
        <v>94.70696211282808</v>
      </c>
      <c r="O58">
        <v>91.373255693509066</v>
      </c>
      <c r="P58">
        <v>89.712947083062531</v>
      </c>
      <c r="Q58">
        <v>88.18203941253671</v>
      </c>
      <c r="S58" t="str">
        <f t="shared" si="0"/>
        <v>NWTC_BPTOTEX_PR19CA009</v>
      </c>
    </row>
    <row r="59" spans="1:19" x14ac:dyDescent="0.3">
      <c r="A59" t="s">
        <v>21</v>
      </c>
      <c r="B59" t="s">
        <v>273</v>
      </c>
      <c r="C59" t="s">
        <v>274</v>
      </c>
      <c r="D59" t="s">
        <v>12</v>
      </c>
      <c r="E59" t="s">
        <v>147</v>
      </c>
      <c r="F59">
        <v>0.29432953367944348</v>
      </c>
      <c r="G59">
        <v>0.29800413395357916</v>
      </c>
      <c r="H59">
        <v>0.2996126202719156</v>
      </c>
      <c r="I59">
        <v>0.29387501786800357</v>
      </c>
      <c r="J59">
        <v>0.29600412521566094</v>
      </c>
      <c r="K59">
        <v>0.29044035675886026</v>
      </c>
      <c r="L59" t="s">
        <v>293</v>
      </c>
      <c r="M59" t="s">
        <v>293</v>
      </c>
      <c r="N59" t="s">
        <v>293</v>
      </c>
      <c r="O59" t="s">
        <v>293</v>
      </c>
      <c r="P59" t="s">
        <v>293</v>
      </c>
      <c r="Q59" t="s">
        <v>293</v>
      </c>
      <c r="S59" t="str">
        <f t="shared" si="0"/>
        <v>NWTC_CD0018_PR19RR1</v>
      </c>
    </row>
    <row r="60" spans="1:19" x14ac:dyDescent="0.3">
      <c r="A60" t="s">
        <v>21</v>
      </c>
      <c r="B60" t="s">
        <v>275</v>
      </c>
      <c r="C60" t="s">
        <v>154</v>
      </c>
      <c r="D60" t="s">
        <v>12</v>
      </c>
      <c r="E60" t="s">
        <v>147</v>
      </c>
      <c r="F60">
        <v>0.11371462992779686</v>
      </c>
      <c r="G60">
        <v>0.11371462992779686</v>
      </c>
      <c r="H60">
        <v>0.11371462992779686</v>
      </c>
      <c r="I60">
        <v>0.11371462992779686</v>
      </c>
      <c r="J60">
        <v>0.11709676262336015</v>
      </c>
      <c r="K60">
        <v>0.11709676262336015</v>
      </c>
      <c r="L60" t="s">
        <v>293</v>
      </c>
      <c r="M60" t="s">
        <v>293</v>
      </c>
      <c r="N60" t="s">
        <v>293</v>
      </c>
      <c r="O60" t="s">
        <v>293</v>
      </c>
      <c r="P60" t="s">
        <v>293</v>
      </c>
      <c r="Q60" t="s">
        <v>293</v>
      </c>
      <c r="S60" t="str">
        <f t="shared" si="0"/>
        <v>NWTC_CD0019_PR19RR1</v>
      </c>
    </row>
    <row r="61" spans="1:19" x14ac:dyDescent="0.3">
      <c r="A61" t="s">
        <v>21</v>
      </c>
      <c r="B61" t="s">
        <v>276</v>
      </c>
      <c r="C61" t="s">
        <v>153</v>
      </c>
      <c r="D61" t="s">
        <v>12</v>
      </c>
      <c r="E61" t="s">
        <v>147</v>
      </c>
      <c r="F61" t="s">
        <v>293</v>
      </c>
      <c r="G61" t="s">
        <v>293</v>
      </c>
      <c r="H61" t="s">
        <v>293</v>
      </c>
      <c r="I61" t="s">
        <v>293</v>
      </c>
      <c r="J61" t="s">
        <v>293</v>
      </c>
      <c r="K61" t="s">
        <v>293</v>
      </c>
      <c r="L61" t="s">
        <v>293</v>
      </c>
      <c r="M61" t="s">
        <v>293</v>
      </c>
      <c r="N61" t="s">
        <v>293</v>
      </c>
      <c r="O61" t="s">
        <v>293</v>
      </c>
      <c r="P61" t="s">
        <v>293</v>
      </c>
      <c r="Q61" t="s">
        <v>293</v>
      </c>
      <c r="S61" t="str">
        <f t="shared" si="0"/>
        <v>NWTC_CD0020_PR19RR1</v>
      </c>
    </row>
    <row r="62" spans="1:19" x14ac:dyDescent="0.3">
      <c r="A62" t="s">
        <v>21</v>
      </c>
      <c r="B62" t="s">
        <v>277</v>
      </c>
      <c r="C62" t="s">
        <v>278</v>
      </c>
      <c r="D62" t="s">
        <v>12</v>
      </c>
      <c r="E62" t="s">
        <v>147</v>
      </c>
      <c r="F62">
        <v>0.17314270410003044</v>
      </c>
      <c r="G62">
        <v>0.1732769192665996</v>
      </c>
      <c r="H62">
        <v>0.17342503531161296</v>
      </c>
      <c r="I62">
        <v>0.17345573914666704</v>
      </c>
      <c r="J62">
        <v>0.17347279982163577</v>
      </c>
      <c r="K62">
        <v>0.17347279982163577</v>
      </c>
      <c r="L62" t="s">
        <v>293</v>
      </c>
      <c r="M62" t="s">
        <v>293</v>
      </c>
      <c r="N62" t="s">
        <v>293</v>
      </c>
      <c r="O62" t="s">
        <v>293</v>
      </c>
      <c r="P62" t="s">
        <v>293</v>
      </c>
      <c r="Q62" t="s">
        <v>293</v>
      </c>
      <c r="S62" t="str">
        <f t="shared" si="0"/>
        <v>NWTC_CD0021_PR19RR1</v>
      </c>
    </row>
    <row r="63" spans="1:19" x14ac:dyDescent="0.3">
      <c r="A63" t="s">
        <v>21</v>
      </c>
      <c r="B63" t="s">
        <v>279</v>
      </c>
      <c r="C63" t="s">
        <v>280</v>
      </c>
      <c r="D63" t="s">
        <v>15</v>
      </c>
      <c r="E63" t="s">
        <v>147</v>
      </c>
      <c r="F63">
        <v>1251.0995925798102</v>
      </c>
      <c r="G63">
        <v>1278.3849315657276</v>
      </c>
      <c r="H63">
        <v>1221.5989813643926</v>
      </c>
      <c r="I63">
        <v>1214.7005442757488</v>
      </c>
      <c r="J63">
        <v>1204.021</v>
      </c>
      <c r="K63">
        <v>1246.7405888662697</v>
      </c>
      <c r="L63">
        <v>1263.9234872821714</v>
      </c>
      <c r="M63">
        <v>1171.9626167592642</v>
      </c>
      <c r="N63">
        <v>1174.94362862142</v>
      </c>
      <c r="O63">
        <v>1166.7098537326588</v>
      </c>
      <c r="P63">
        <v>1165.7045035232886</v>
      </c>
      <c r="Q63">
        <v>1172.6167500926406</v>
      </c>
      <c r="S63" t="str">
        <f t="shared" si="0"/>
        <v>NWTC_CD0022_PR19RR1</v>
      </c>
    </row>
    <row r="64" spans="1:19" x14ac:dyDescent="0.3">
      <c r="A64" t="s">
        <v>21</v>
      </c>
      <c r="B64" t="s">
        <v>286</v>
      </c>
      <c r="C64" t="s">
        <v>287</v>
      </c>
      <c r="D64" t="s">
        <v>15</v>
      </c>
      <c r="E64" t="s">
        <v>147</v>
      </c>
      <c r="F64" t="s">
        <v>293</v>
      </c>
      <c r="G64" t="s">
        <v>293</v>
      </c>
      <c r="H64" t="s">
        <v>293</v>
      </c>
      <c r="I64" t="s">
        <v>293</v>
      </c>
      <c r="J64">
        <v>6.22139943</v>
      </c>
      <c r="K64">
        <v>4.7572853668947692</v>
      </c>
      <c r="L64">
        <v>0.82221742215698035</v>
      </c>
      <c r="M64">
        <v>9.4730731041796776</v>
      </c>
      <c r="N64">
        <v>2.5147841103969393</v>
      </c>
      <c r="O64">
        <v>2.4672795042866</v>
      </c>
      <c r="P64">
        <v>2.3826268001505415</v>
      </c>
      <c r="Q64">
        <v>1.865777741539006</v>
      </c>
      <c r="S64" t="str">
        <f t="shared" si="0"/>
        <v>NWTC_BM4017_PR19CA009</v>
      </c>
    </row>
    <row r="65" spans="1:19" x14ac:dyDescent="0.3">
      <c r="A65" t="s">
        <v>21</v>
      </c>
      <c r="B65" t="s">
        <v>289</v>
      </c>
      <c r="C65" t="s">
        <v>290</v>
      </c>
      <c r="D65" t="s">
        <v>146</v>
      </c>
      <c r="E65" t="s">
        <v>147</v>
      </c>
      <c r="F65" t="s">
        <v>314</v>
      </c>
      <c r="G65" t="s">
        <v>314</v>
      </c>
      <c r="H65" t="s">
        <v>314</v>
      </c>
      <c r="I65" t="s">
        <v>314</v>
      </c>
      <c r="J65" t="s">
        <v>314</v>
      </c>
      <c r="K65" t="s">
        <v>314</v>
      </c>
      <c r="L65" t="s">
        <v>314</v>
      </c>
      <c r="M65" t="s">
        <v>314</v>
      </c>
      <c r="N65" t="s">
        <v>314</v>
      </c>
      <c r="O65" t="s">
        <v>314</v>
      </c>
      <c r="P65" t="s">
        <v>314</v>
      </c>
      <c r="Q65" t="s">
        <v>314</v>
      </c>
      <c r="S65" t="str">
        <f t="shared" si="0"/>
        <v>NWTPR19QA_CA009_OUT_1</v>
      </c>
    </row>
    <row r="66" spans="1:19" x14ac:dyDescent="0.3">
      <c r="A66" t="s">
        <v>21</v>
      </c>
      <c r="B66" t="s">
        <v>291</v>
      </c>
      <c r="C66" t="s">
        <v>292</v>
      </c>
      <c r="D66" t="s">
        <v>146</v>
      </c>
      <c r="E66" t="s">
        <v>147</v>
      </c>
      <c r="F66" t="s">
        <v>315</v>
      </c>
      <c r="G66" t="s">
        <v>315</v>
      </c>
      <c r="H66" t="s">
        <v>315</v>
      </c>
      <c r="I66" t="s">
        <v>315</v>
      </c>
      <c r="J66" t="s">
        <v>315</v>
      </c>
      <c r="K66" t="s">
        <v>315</v>
      </c>
      <c r="L66" t="s">
        <v>315</v>
      </c>
      <c r="M66" t="s">
        <v>315</v>
      </c>
      <c r="N66" t="s">
        <v>315</v>
      </c>
      <c r="O66" t="s">
        <v>315</v>
      </c>
      <c r="P66" t="s">
        <v>315</v>
      </c>
      <c r="Q66" t="s">
        <v>315</v>
      </c>
      <c r="S66" t="str">
        <f t="shared" si="0"/>
        <v>NWTPR19QA_CA009_OUT_2</v>
      </c>
    </row>
    <row r="67" spans="1:19" x14ac:dyDescent="0.3">
      <c r="A67" t="s">
        <v>22</v>
      </c>
      <c r="B67" t="s">
        <v>244</v>
      </c>
      <c r="C67" t="s">
        <v>245</v>
      </c>
      <c r="D67" t="s">
        <v>15</v>
      </c>
      <c r="E67" t="s">
        <v>147</v>
      </c>
      <c r="F67">
        <v>16.488640973630826</v>
      </c>
      <c r="G67">
        <v>14.002498036266401</v>
      </c>
      <c r="H67">
        <v>5.9387893510815299</v>
      </c>
      <c r="I67">
        <v>5.823475092326631</v>
      </c>
      <c r="J67">
        <v>4.7439999999999998</v>
      </c>
      <c r="K67">
        <v>4.0381102411525207</v>
      </c>
      <c r="L67">
        <v>1.0564801657331455</v>
      </c>
      <c r="M67">
        <v>1.1010625329219657</v>
      </c>
      <c r="N67">
        <v>1.2326090741423905</v>
      </c>
      <c r="O67">
        <v>1.3992031532508906</v>
      </c>
      <c r="P67">
        <v>1.5660211302559788</v>
      </c>
      <c r="Q67">
        <v>1.726584358706992</v>
      </c>
      <c r="S67" t="str">
        <f t="shared" si="0"/>
        <v>SRNC_DEP_PR19CA009</v>
      </c>
    </row>
    <row r="68" spans="1:19" x14ac:dyDescent="0.3">
      <c r="A68" t="s">
        <v>22</v>
      </c>
      <c r="B68" t="s">
        <v>246</v>
      </c>
      <c r="C68" t="s">
        <v>247</v>
      </c>
      <c r="D68" t="s">
        <v>15</v>
      </c>
      <c r="E68" t="s">
        <v>147</v>
      </c>
      <c r="F68">
        <v>77.842768171523886</v>
      </c>
      <c r="G68">
        <v>75.179504643068128</v>
      </c>
      <c r="H68">
        <v>88.272766037262429</v>
      </c>
      <c r="I68">
        <v>94.947678325358623</v>
      </c>
      <c r="J68">
        <v>85.515918949076323</v>
      </c>
      <c r="K68">
        <v>72.503699562919081</v>
      </c>
      <c r="L68">
        <v>65.830900790301953</v>
      </c>
      <c r="M68">
        <v>46.84503484084582</v>
      </c>
      <c r="N68">
        <v>44.14142855035071</v>
      </c>
      <c r="O68">
        <v>42.050260504809572</v>
      </c>
      <c r="P68">
        <v>40.676645110969417</v>
      </c>
      <c r="Q68">
        <v>39.169817865832584</v>
      </c>
      <c r="S68" t="str">
        <f t="shared" si="0"/>
        <v>SRNC_STC_TR_PR19CA009</v>
      </c>
    </row>
    <row r="69" spans="1:19" x14ac:dyDescent="0.3">
      <c r="A69" t="s">
        <v>22</v>
      </c>
      <c r="B69" t="s">
        <v>248</v>
      </c>
      <c r="C69" t="s">
        <v>249</v>
      </c>
      <c r="D69" t="s">
        <v>15</v>
      </c>
      <c r="E69" t="s">
        <v>147</v>
      </c>
      <c r="F69">
        <v>41.694593729333228</v>
      </c>
      <c r="G69">
        <v>40.37965505670563</v>
      </c>
      <c r="H69">
        <v>48.749852393335757</v>
      </c>
      <c r="I69">
        <v>49.505277340541241</v>
      </c>
      <c r="J69">
        <v>51.481918949076324</v>
      </c>
      <c r="K69">
        <v>48.502206296398569</v>
      </c>
      <c r="L69">
        <v>37.035339215836956</v>
      </c>
      <c r="M69">
        <v>28.725498081119728</v>
      </c>
      <c r="N69">
        <v>27.703257985983214</v>
      </c>
      <c r="O69">
        <v>27.298480653793398</v>
      </c>
      <c r="P69">
        <v>27.608438204637391</v>
      </c>
      <c r="Q69">
        <v>27.776621480709153</v>
      </c>
      <c r="S69" t="str">
        <f t="shared" ref="S69:S132" si="1">A69&amp;B69</f>
        <v>SRNC_SOC_TR_PR19CA009</v>
      </c>
    </row>
    <row r="70" spans="1:19" x14ac:dyDescent="0.3">
      <c r="A70" t="s">
        <v>22</v>
      </c>
      <c r="B70" t="s">
        <v>250</v>
      </c>
      <c r="C70" t="s">
        <v>251</v>
      </c>
      <c r="D70" t="s">
        <v>15</v>
      </c>
      <c r="E70" t="s">
        <v>147</v>
      </c>
      <c r="F70">
        <v>36.148174442190658</v>
      </c>
      <c r="G70">
        <v>34.799849586362498</v>
      </c>
      <c r="H70">
        <v>39.522913643926671</v>
      </c>
      <c r="I70">
        <v>45.442400984817382</v>
      </c>
      <c r="J70">
        <v>34.033999999999999</v>
      </c>
      <c r="K70">
        <v>24.001493266520509</v>
      </c>
      <c r="L70">
        <v>28.795561574465001</v>
      </c>
      <c r="M70">
        <v>18.119536759726092</v>
      </c>
      <c r="N70">
        <v>16.438170564367496</v>
      </c>
      <c r="O70">
        <v>14.751779851016176</v>
      </c>
      <c r="P70">
        <v>13.068206906332026</v>
      </c>
      <c r="Q70">
        <v>11.39319638512343</v>
      </c>
      <c r="S70" t="str">
        <f t="shared" si="1"/>
        <v>SRNC_DC_T_PR19CA009</v>
      </c>
    </row>
    <row r="71" spans="1:19" x14ac:dyDescent="0.3">
      <c r="A71" t="s">
        <v>22</v>
      </c>
      <c r="B71" t="s">
        <v>252</v>
      </c>
      <c r="C71" t="s">
        <v>253</v>
      </c>
      <c r="D71" t="s">
        <v>13</v>
      </c>
      <c r="E71" t="s">
        <v>147</v>
      </c>
      <c r="F71">
        <v>1858.6345000000001</v>
      </c>
      <c r="G71">
        <v>1866.5440000000001</v>
      </c>
      <c r="H71">
        <v>1881.846</v>
      </c>
      <c r="I71">
        <v>1895.2260000000001</v>
      </c>
      <c r="J71">
        <v>1904.9319999999998</v>
      </c>
      <c r="K71">
        <v>1919.6439999999998</v>
      </c>
      <c r="L71">
        <v>1943.6239999999998</v>
      </c>
      <c r="M71">
        <v>1971.9769999999999</v>
      </c>
      <c r="N71">
        <v>1997.6919999999998</v>
      </c>
      <c r="O71">
        <v>2021.4490000000001</v>
      </c>
      <c r="P71">
        <v>2044.3969999999999</v>
      </c>
      <c r="Q71">
        <v>2066.0410000000002</v>
      </c>
      <c r="S71" t="str">
        <f t="shared" si="1"/>
        <v>SRNC_HH_T_PR19CA009</v>
      </c>
    </row>
    <row r="72" spans="1:19" x14ac:dyDescent="0.3">
      <c r="A72" t="s">
        <v>22</v>
      </c>
      <c r="B72" t="s">
        <v>254</v>
      </c>
      <c r="C72" t="s">
        <v>255</v>
      </c>
      <c r="D72" t="s">
        <v>12</v>
      </c>
      <c r="E72" t="s">
        <v>147</v>
      </c>
      <c r="F72">
        <v>0.61948946928511228</v>
      </c>
      <c r="G72">
        <v>0.68626241867322724</v>
      </c>
      <c r="H72">
        <v>0.73037990356277827</v>
      </c>
      <c r="I72">
        <v>0.7553895946974134</v>
      </c>
      <c r="J72">
        <v>0.77393943720825742</v>
      </c>
      <c r="K72">
        <v>0.78886658151198874</v>
      </c>
      <c r="L72">
        <v>0.78403487505813896</v>
      </c>
      <c r="M72">
        <v>0.79419333998317432</v>
      </c>
      <c r="N72">
        <v>0.80390470603075959</v>
      </c>
      <c r="O72">
        <v>0.8133324164992537</v>
      </c>
      <c r="P72">
        <v>0.82256332796418685</v>
      </c>
      <c r="Q72">
        <v>0.83162386419243362</v>
      </c>
      <c r="S72" t="str">
        <f t="shared" si="1"/>
        <v>SRNC_HHM_HH_PR19CA009</v>
      </c>
    </row>
    <row r="73" spans="1:19" x14ac:dyDescent="0.3">
      <c r="A73" t="s">
        <v>22</v>
      </c>
      <c r="B73" t="s">
        <v>256</v>
      </c>
      <c r="C73" t="s">
        <v>257</v>
      </c>
      <c r="D73" t="s">
        <v>12</v>
      </c>
      <c r="E73" t="s">
        <v>147</v>
      </c>
      <c r="F73">
        <v>0.49235285366757153</v>
      </c>
      <c r="G73">
        <v>0.49075992850958777</v>
      </c>
      <c r="H73">
        <v>0.48898501790263393</v>
      </c>
      <c r="I73">
        <v>0.48901555803898844</v>
      </c>
      <c r="J73">
        <v>0.48835863957348613</v>
      </c>
      <c r="K73">
        <v>0.48807799779542466</v>
      </c>
      <c r="L73">
        <v>0.48857906673307189</v>
      </c>
      <c r="M73">
        <v>0.489767375582981</v>
      </c>
      <c r="N73">
        <v>0.49053758036774442</v>
      </c>
      <c r="O73">
        <v>0.4908958870592332</v>
      </c>
      <c r="P73">
        <v>0.4914070016733541</v>
      </c>
      <c r="Q73">
        <v>0.49195490312147716</v>
      </c>
      <c r="S73" t="str">
        <f t="shared" si="1"/>
        <v>SRNC_HHDU_HH_PR19CA009</v>
      </c>
    </row>
    <row r="74" spans="1:19" x14ac:dyDescent="0.3">
      <c r="A74" t="s">
        <v>22</v>
      </c>
      <c r="B74" t="s">
        <v>258</v>
      </c>
      <c r="C74" t="s">
        <v>259</v>
      </c>
      <c r="D74" t="s">
        <v>228</v>
      </c>
      <c r="E74" t="s">
        <v>147</v>
      </c>
      <c r="F74">
        <v>368.65098898782389</v>
      </c>
      <c r="G74">
        <v>379.85251381353567</v>
      </c>
      <c r="H74">
        <v>350.77959224751146</v>
      </c>
      <c r="I74">
        <v>340.63946227594545</v>
      </c>
      <c r="J74">
        <v>337.37004785472664</v>
      </c>
      <c r="K74">
        <v>342.71347342607385</v>
      </c>
      <c r="L74">
        <v>340.06937591353</v>
      </c>
      <c r="M74">
        <v>316.59740584611006</v>
      </c>
      <c r="N74">
        <v>316.59200107348011</v>
      </c>
      <c r="O74">
        <v>316.48844221664609</v>
      </c>
      <c r="P74">
        <v>316.40953364319762</v>
      </c>
      <c r="Q74">
        <v>316.33274007054587</v>
      </c>
      <c r="S74" t="str">
        <f t="shared" si="1"/>
        <v>SRNC_REV_HH_PR19CA009</v>
      </c>
    </row>
    <row r="75" spans="1:19" x14ac:dyDescent="0.3">
      <c r="A75" t="s">
        <v>22</v>
      </c>
      <c r="B75" t="s">
        <v>260</v>
      </c>
      <c r="C75" t="s">
        <v>261</v>
      </c>
      <c r="D75" t="s">
        <v>15</v>
      </c>
      <c r="E75" t="s">
        <v>147</v>
      </c>
      <c r="F75">
        <v>81.199999999999974</v>
      </c>
      <c r="G75">
        <v>77.198999999999998</v>
      </c>
      <c r="H75">
        <v>82.374999999999787</v>
      </c>
      <c r="I75">
        <v>89.896999999999991</v>
      </c>
      <c r="J75">
        <v>81.754000000000005</v>
      </c>
      <c r="K75">
        <v>69.483000000000004</v>
      </c>
      <c r="L75">
        <v>68.60499999999999</v>
      </c>
      <c r="M75">
        <v>49.777999999999992</v>
      </c>
      <c r="N75">
        <v>47.844000000000001</v>
      </c>
      <c r="O75">
        <v>46.491999999999997</v>
      </c>
      <c r="P75">
        <v>45.871000000000002</v>
      </c>
      <c r="Q75">
        <v>45.054999999999993</v>
      </c>
      <c r="S75" t="str">
        <f t="shared" si="1"/>
        <v>SRNC_TC_TRN_PR19CA009</v>
      </c>
    </row>
    <row r="76" spans="1:19" x14ac:dyDescent="0.3">
      <c r="A76" t="s">
        <v>22</v>
      </c>
      <c r="B76" t="s">
        <v>262</v>
      </c>
      <c r="C76" t="s">
        <v>263</v>
      </c>
      <c r="D76" t="s">
        <v>15</v>
      </c>
      <c r="E76" t="s">
        <v>147</v>
      </c>
      <c r="F76">
        <v>85.825490196078377</v>
      </c>
      <c r="G76">
        <v>80.676083730258227</v>
      </c>
      <c r="H76">
        <v>85.70563643926765</v>
      </c>
      <c r="I76">
        <v>92.265234468608924</v>
      </c>
      <c r="J76">
        <v>81.754000000000005</v>
      </c>
      <c r="K76">
        <v>68.035890854995287</v>
      </c>
      <c r="L76">
        <v>65.830900790301939</v>
      </c>
      <c r="M76">
        <v>46.845034840845813</v>
      </c>
      <c r="N76">
        <v>44.141428550350703</v>
      </c>
      <c r="O76">
        <v>42.050260504809565</v>
      </c>
      <c r="P76">
        <v>40.676645110969424</v>
      </c>
      <c r="Q76">
        <v>39.169817865832584</v>
      </c>
      <c r="S76" t="str">
        <f t="shared" si="1"/>
        <v>SRNC_TC_TRR_PR19CA009</v>
      </c>
    </row>
    <row r="77" spans="1:19" x14ac:dyDescent="0.3">
      <c r="A77" t="s">
        <v>22</v>
      </c>
      <c r="B77" t="s">
        <v>264</v>
      </c>
      <c r="C77" t="s">
        <v>265</v>
      </c>
      <c r="D77" t="s">
        <v>15</v>
      </c>
      <c r="E77" t="s">
        <v>147</v>
      </c>
      <c r="F77">
        <v>49.677315753887719</v>
      </c>
      <c r="G77">
        <v>45.876234143895722</v>
      </c>
      <c r="H77">
        <v>46.182722795340979</v>
      </c>
      <c r="I77">
        <v>46.822833483791548</v>
      </c>
      <c r="J77">
        <v>47.720000000000006</v>
      </c>
      <c r="K77">
        <v>44.034397588474782</v>
      </c>
      <c r="L77">
        <v>37.035339215836942</v>
      </c>
      <c r="M77">
        <v>28.725498081119717</v>
      </c>
      <c r="N77">
        <v>27.703257985983207</v>
      </c>
      <c r="O77">
        <v>27.298480653793391</v>
      </c>
      <c r="P77">
        <v>27.608438204637395</v>
      </c>
      <c r="Q77">
        <v>27.776621480709153</v>
      </c>
      <c r="S77" t="str">
        <f t="shared" si="1"/>
        <v>SRNC_OC_TR_PR19CA009</v>
      </c>
    </row>
    <row r="78" spans="1:19" x14ac:dyDescent="0.3">
      <c r="A78" t="s">
        <v>22</v>
      </c>
      <c r="B78" t="s">
        <v>266</v>
      </c>
      <c r="C78" t="s">
        <v>267</v>
      </c>
      <c r="D78" t="s">
        <v>16</v>
      </c>
      <c r="E78" t="s">
        <v>147</v>
      </c>
      <c r="F78">
        <v>1.0569641649763351</v>
      </c>
      <c r="G78">
        <v>1.0450405281189941</v>
      </c>
      <c r="H78">
        <v>1.0404326123128118</v>
      </c>
      <c r="I78">
        <v>1.0263438654082888</v>
      </c>
      <c r="J78">
        <v>1</v>
      </c>
      <c r="K78">
        <v>0.97917319135609127</v>
      </c>
      <c r="L78">
        <v>0.9595641832271985</v>
      </c>
      <c r="M78">
        <v>0.94107908796749207</v>
      </c>
      <c r="N78">
        <v>0.92261158244190911</v>
      </c>
      <c r="O78">
        <v>0.90446228393722727</v>
      </c>
      <c r="P78">
        <v>0.88676168191165272</v>
      </c>
      <c r="Q78">
        <v>0.86937782412235243</v>
      </c>
      <c r="S78" t="str">
        <f t="shared" si="1"/>
        <v>SRNC_CD0014R_PR19</v>
      </c>
    </row>
    <row r="79" spans="1:19" x14ac:dyDescent="0.3">
      <c r="A79" t="s">
        <v>22</v>
      </c>
      <c r="B79" t="s">
        <v>268</v>
      </c>
      <c r="C79" t="s">
        <v>269</v>
      </c>
      <c r="D79" t="s">
        <v>15</v>
      </c>
      <c r="E79" t="s">
        <v>147</v>
      </c>
      <c r="F79">
        <v>85.825490196078377</v>
      </c>
      <c r="G79">
        <v>80.676083730258227</v>
      </c>
      <c r="H79">
        <v>85.70563643926765</v>
      </c>
      <c r="I79">
        <v>92.265234468608924</v>
      </c>
      <c r="J79">
        <v>81.754000000000005</v>
      </c>
      <c r="K79">
        <v>68.035890854995273</v>
      </c>
      <c r="L79">
        <v>67.038992096984984</v>
      </c>
      <c r="M79">
        <v>48.016678305365339</v>
      </c>
      <c r="N79">
        <v>45.327907045370999</v>
      </c>
      <c r="O79">
        <v>43.256813191581834</v>
      </c>
      <c r="P79">
        <v>41.87820718995971</v>
      </c>
      <c r="Q79">
        <v>40.385208063955631</v>
      </c>
      <c r="S79" t="str">
        <f t="shared" si="1"/>
        <v>SRNC_BPTOTEX_PR19CA009</v>
      </c>
    </row>
    <row r="80" spans="1:19" x14ac:dyDescent="0.3">
      <c r="A80" t="s">
        <v>22</v>
      </c>
      <c r="B80" t="s">
        <v>273</v>
      </c>
      <c r="C80" t="s">
        <v>274</v>
      </c>
      <c r="D80" t="s">
        <v>12</v>
      </c>
      <c r="E80" t="s">
        <v>147</v>
      </c>
      <c r="F80">
        <v>0.24628454106442013</v>
      </c>
      <c r="G80">
        <v>0.24406446540161761</v>
      </c>
      <c r="H80">
        <v>0.23917278344233101</v>
      </c>
      <c r="I80">
        <v>0.22880035580126723</v>
      </c>
      <c r="J80">
        <v>0.23091034088673038</v>
      </c>
      <c r="K80">
        <v>0.22125299453807024</v>
      </c>
      <c r="L80" t="s">
        <v>293</v>
      </c>
      <c r="M80" t="s">
        <v>293</v>
      </c>
      <c r="N80" t="s">
        <v>293</v>
      </c>
      <c r="O80" t="s">
        <v>293</v>
      </c>
      <c r="P80" t="s">
        <v>293</v>
      </c>
      <c r="Q80" t="s">
        <v>293</v>
      </c>
      <c r="S80" t="str">
        <f t="shared" si="1"/>
        <v>SRNC_CD0018_PR19RR1</v>
      </c>
    </row>
    <row r="81" spans="1:19" x14ac:dyDescent="0.3">
      <c r="A81" t="s">
        <v>22</v>
      </c>
      <c r="B81" t="s">
        <v>275</v>
      </c>
      <c r="C81" t="s">
        <v>154</v>
      </c>
      <c r="D81" t="s">
        <v>12</v>
      </c>
      <c r="E81" t="s">
        <v>147</v>
      </c>
      <c r="F81">
        <v>0.13166805563618444</v>
      </c>
      <c r="G81">
        <v>0.13166805563618444</v>
      </c>
      <c r="H81">
        <v>0.13166805563618444</v>
      </c>
      <c r="I81">
        <v>0.13166805563618444</v>
      </c>
      <c r="J81">
        <v>0.13419983972418445</v>
      </c>
      <c r="K81">
        <v>0.13419983972418445</v>
      </c>
      <c r="L81" t="s">
        <v>293</v>
      </c>
      <c r="M81" t="s">
        <v>293</v>
      </c>
      <c r="N81" t="s">
        <v>293</v>
      </c>
      <c r="O81" t="s">
        <v>293</v>
      </c>
      <c r="P81" t="s">
        <v>293</v>
      </c>
      <c r="Q81" t="s">
        <v>293</v>
      </c>
      <c r="S81" t="str">
        <f t="shared" si="1"/>
        <v>SRNC_CD0019_PR19RR1</v>
      </c>
    </row>
    <row r="82" spans="1:19" x14ac:dyDescent="0.3">
      <c r="A82" t="s">
        <v>22</v>
      </c>
      <c r="B82" t="s">
        <v>276</v>
      </c>
      <c r="C82" t="s">
        <v>153</v>
      </c>
      <c r="D82" t="s">
        <v>12</v>
      </c>
      <c r="E82" t="s">
        <v>147</v>
      </c>
      <c r="F82" t="s">
        <v>293</v>
      </c>
      <c r="G82" t="s">
        <v>293</v>
      </c>
      <c r="H82" t="s">
        <v>293</v>
      </c>
      <c r="I82" t="s">
        <v>293</v>
      </c>
      <c r="J82" t="s">
        <v>293</v>
      </c>
      <c r="K82" t="s">
        <v>293</v>
      </c>
      <c r="L82" t="s">
        <v>293</v>
      </c>
      <c r="M82" t="s">
        <v>293</v>
      </c>
      <c r="N82" t="s">
        <v>293</v>
      </c>
      <c r="O82" t="s">
        <v>293</v>
      </c>
      <c r="P82" t="s">
        <v>293</v>
      </c>
      <c r="Q82" t="s">
        <v>293</v>
      </c>
      <c r="S82" t="str">
        <f t="shared" si="1"/>
        <v>SRNC_CD0020_PR19RR1</v>
      </c>
    </row>
    <row r="83" spans="1:19" x14ac:dyDescent="0.3">
      <c r="A83" t="s">
        <v>22</v>
      </c>
      <c r="B83" t="s">
        <v>277</v>
      </c>
      <c r="C83" t="s">
        <v>278</v>
      </c>
      <c r="D83" t="s">
        <v>12</v>
      </c>
      <c r="E83" t="s">
        <v>147</v>
      </c>
      <c r="F83">
        <v>0.12504131588484074</v>
      </c>
      <c r="G83">
        <v>0.12505223711773256</v>
      </c>
      <c r="H83">
        <v>0.12506697188318133</v>
      </c>
      <c r="I83">
        <v>0.12501624906830403</v>
      </c>
      <c r="J83">
        <v>0.12494917615971071</v>
      </c>
      <c r="K83">
        <v>0.12494917615971071</v>
      </c>
      <c r="L83" t="s">
        <v>293</v>
      </c>
      <c r="M83" t="s">
        <v>293</v>
      </c>
      <c r="N83" t="s">
        <v>293</v>
      </c>
      <c r="O83" t="s">
        <v>293</v>
      </c>
      <c r="P83" t="s">
        <v>293</v>
      </c>
      <c r="Q83" t="s">
        <v>293</v>
      </c>
      <c r="S83" t="str">
        <f t="shared" si="1"/>
        <v>SRNC_CD0021_PR19RR1</v>
      </c>
    </row>
    <row r="84" spans="1:19" x14ac:dyDescent="0.3">
      <c r="A84" t="s">
        <v>22</v>
      </c>
      <c r="B84" t="s">
        <v>279</v>
      </c>
      <c r="C84" t="s">
        <v>280</v>
      </c>
      <c r="D84" t="s">
        <v>15</v>
      </c>
      <c r="E84" t="s">
        <v>147</v>
      </c>
      <c r="F84">
        <v>685.18744659188962</v>
      </c>
      <c r="G84">
        <v>709.01143054357215</v>
      </c>
      <c r="H84">
        <v>660.11317255261042</v>
      </c>
      <c r="I84">
        <v>645.588765531391</v>
      </c>
      <c r="J84">
        <v>642.66700000000003</v>
      </c>
      <c r="K84">
        <v>657.88786298152206</v>
      </c>
      <c r="L84">
        <v>660.96700069055885</v>
      </c>
      <c r="M84">
        <v>624.32280258819458</v>
      </c>
      <c r="N84">
        <v>632.45330780848258</v>
      </c>
      <c r="O84">
        <v>639.76524503039718</v>
      </c>
      <c r="P84">
        <v>646.86670135155225</v>
      </c>
      <c r="Q84">
        <v>653.5564106280907</v>
      </c>
      <c r="S84" t="str">
        <f t="shared" si="1"/>
        <v>SRNC_CD0022_PR19RR1</v>
      </c>
    </row>
    <row r="85" spans="1:19" x14ac:dyDescent="0.3">
      <c r="A85" t="s">
        <v>22</v>
      </c>
      <c r="B85" t="s">
        <v>286</v>
      </c>
      <c r="C85" t="s">
        <v>287</v>
      </c>
      <c r="D85" t="s">
        <v>15</v>
      </c>
      <c r="E85" t="s">
        <v>147</v>
      </c>
      <c r="F85" t="s">
        <v>293</v>
      </c>
      <c r="G85" t="s">
        <v>293</v>
      </c>
      <c r="H85" t="s">
        <v>293</v>
      </c>
      <c r="I85" t="s">
        <v>293</v>
      </c>
      <c r="J85">
        <v>3.7280000000000002</v>
      </c>
      <c r="K85">
        <v>0.72752568117757577</v>
      </c>
      <c r="L85">
        <v>0.1880745799125309</v>
      </c>
      <c r="M85">
        <v>1.8821581759349841</v>
      </c>
      <c r="N85">
        <v>1.8452231648838182</v>
      </c>
      <c r="O85">
        <v>1.8089245678744545</v>
      </c>
      <c r="P85">
        <v>1.7735233638233054</v>
      </c>
      <c r="Q85">
        <v>1.7387556482447049</v>
      </c>
      <c r="S85" t="str">
        <f t="shared" si="1"/>
        <v>SRNC_BM4017_PR19CA009</v>
      </c>
    </row>
    <row r="86" spans="1:19" x14ac:dyDescent="0.3">
      <c r="A86" t="s">
        <v>22</v>
      </c>
      <c r="B86" t="s">
        <v>289</v>
      </c>
      <c r="C86" t="s">
        <v>290</v>
      </c>
      <c r="D86" t="s">
        <v>146</v>
      </c>
      <c r="E86" t="s">
        <v>147</v>
      </c>
      <c r="F86" t="s">
        <v>314</v>
      </c>
      <c r="G86" t="s">
        <v>314</v>
      </c>
      <c r="H86" t="s">
        <v>314</v>
      </c>
      <c r="I86" t="s">
        <v>314</v>
      </c>
      <c r="J86" t="s">
        <v>314</v>
      </c>
      <c r="K86" t="s">
        <v>314</v>
      </c>
      <c r="L86" t="s">
        <v>314</v>
      </c>
      <c r="M86" t="s">
        <v>314</v>
      </c>
      <c r="N86" t="s">
        <v>314</v>
      </c>
      <c r="O86" t="s">
        <v>314</v>
      </c>
      <c r="P86" t="s">
        <v>314</v>
      </c>
      <c r="Q86" t="s">
        <v>314</v>
      </c>
      <c r="S86" t="str">
        <f t="shared" si="1"/>
        <v>SRNPR19QA_CA009_OUT_1</v>
      </c>
    </row>
    <row r="87" spans="1:19" x14ac:dyDescent="0.3">
      <c r="A87" t="s">
        <v>22</v>
      </c>
      <c r="B87" t="s">
        <v>291</v>
      </c>
      <c r="C87" t="s">
        <v>292</v>
      </c>
      <c r="D87" t="s">
        <v>146</v>
      </c>
      <c r="E87" t="s">
        <v>147</v>
      </c>
      <c r="F87" t="s">
        <v>315</v>
      </c>
      <c r="G87" t="s">
        <v>315</v>
      </c>
      <c r="H87" t="s">
        <v>315</v>
      </c>
      <c r="I87" t="s">
        <v>315</v>
      </c>
      <c r="J87" t="s">
        <v>315</v>
      </c>
      <c r="K87" t="s">
        <v>315</v>
      </c>
      <c r="L87" t="s">
        <v>315</v>
      </c>
      <c r="M87" t="s">
        <v>315</v>
      </c>
      <c r="N87" t="s">
        <v>315</v>
      </c>
      <c r="O87" t="s">
        <v>315</v>
      </c>
      <c r="P87" t="s">
        <v>315</v>
      </c>
      <c r="Q87" t="s">
        <v>315</v>
      </c>
      <c r="S87" t="str">
        <f t="shared" si="1"/>
        <v>SRNPR19QA_CA009_OUT_2</v>
      </c>
    </row>
    <row r="88" spans="1:19" x14ac:dyDescent="0.3">
      <c r="A88" t="s">
        <v>23</v>
      </c>
      <c r="B88" t="s">
        <v>244</v>
      </c>
      <c r="C88" t="s">
        <v>245</v>
      </c>
      <c r="D88" t="s">
        <v>15</v>
      </c>
      <c r="E88" t="s">
        <v>147</v>
      </c>
      <c r="F88">
        <v>4.9608824475997286</v>
      </c>
      <c r="G88">
        <v>4.4801100010465786</v>
      </c>
      <c r="H88">
        <v>2.725158562595507</v>
      </c>
      <c r="I88">
        <v>1.587059361962029</v>
      </c>
      <c r="J88">
        <v>5.0280000000000005</v>
      </c>
      <c r="K88">
        <v>7.4084243658001876</v>
      </c>
      <c r="L88" t="s">
        <v>293</v>
      </c>
      <c r="M88" t="s">
        <v>293</v>
      </c>
      <c r="N88" t="s">
        <v>293</v>
      </c>
      <c r="O88" t="s">
        <v>293</v>
      </c>
      <c r="P88" t="s">
        <v>293</v>
      </c>
      <c r="Q88" t="s">
        <v>293</v>
      </c>
      <c r="S88" t="str">
        <f t="shared" si="1"/>
        <v>SVTC_DEP_PR19CA009</v>
      </c>
    </row>
    <row r="89" spans="1:19" x14ac:dyDescent="0.3">
      <c r="A89" t="s">
        <v>23</v>
      </c>
      <c r="B89" t="s">
        <v>246</v>
      </c>
      <c r="C89" t="s">
        <v>247</v>
      </c>
      <c r="D89" t="s">
        <v>15</v>
      </c>
      <c r="E89" t="s">
        <v>147</v>
      </c>
      <c r="F89">
        <v>106.15058821038841</v>
      </c>
      <c r="G89">
        <v>107.71944735413584</v>
      </c>
      <c r="H89">
        <v>99.977574896877812</v>
      </c>
      <c r="I89">
        <v>94.672935840442662</v>
      </c>
      <c r="J89">
        <v>100.23393912316735</v>
      </c>
      <c r="K89">
        <v>102.99040596597303</v>
      </c>
      <c r="L89" t="s">
        <v>293</v>
      </c>
      <c r="M89" t="s">
        <v>293</v>
      </c>
      <c r="N89" t="s">
        <v>293</v>
      </c>
      <c r="O89" t="s">
        <v>293</v>
      </c>
      <c r="P89" t="s">
        <v>293</v>
      </c>
      <c r="Q89" t="s">
        <v>293</v>
      </c>
      <c r="S89" t="str">
        <f t="shared" si="1"/>
        <v>SVTC_STC_TR_PR19CA009</v>
      </c>
    </row>
    <row r="90" spans="1:19" x14ac:dyDescent="0.3">
      <c r="A90" t="s">
        <v>23</v>
      </c>
      <c r="B90" t="s">
        <v>248</v>
      </c>
      <c r="C90" t="s">
        <v>249</v>
      </c>
      <c r="D90" t="s">
        <v>15</v>
      </c>
      <c r="E90" t="s">
        <v>147</v>
      </c>
      <c r="F90">
        <v>68.099878271240343</v>
      </c>
      <c r="G90">
        <v>70.411500500287744</v>
      </c>
      <c r="H90">
        <v>71.78497240103755</v>
      </c>
      <c r="I90">
        <v>66.055389841263349</v>
      </c>
      <c r="J90">
        <v>63.215939123167345</v>
      </c>
      <c r="K90">
        <v>73.133457015143094</v>
      </c>
      <c r="L90" t="s">
        <v>293</v>
      </c>
      <c r="M90" t="s">
        <v>293</v>
      </c>
      <c r="N90" t="s">
        <v>293</v>
      </c>
      <c r="O90" t="s">
        <v>293</v>
      </c>
      <c r="P90" t="s">
        <v>293</v>
      </c>
      <c r="Q90" t="s">
        <v>293</v>
      </c>
      <c r="S90" t="str">
        <f t="shared" si="1"/>
        <v>SVTC_SOC_TR_PR19CA009</v>
      </c>
    </row>
    <row r="91" spans="1:19" x14ac:dyDescent="0.3">
      <c r="A91" t="s">
        <v>23</v>
      </c>
      <c r="B91" t="s">
        <v>250</v>
      </c>
      <c r="C91" t="s">
        <v>251</v>
      </c>
      <c r="D91" t="s">
        <v>15</v>
      </c>
      <c r="E91" t="s">
        <v>147</v>
      </c>
      <c r="F91">
        <v>38.050709939148064</v>
      </c>
      <c r="G91">
        <v>37.307946853848094</v>
      </c>
      <c r="H91">
        <v>28.192602495840262</v>
      </c>
      <c r="I91">
        <v>28.61754599917932</v>
      </c>
      <c r="J91">
        <v>37.018000000000001</v>
      </c>
      <c r="K91">
        <v>29.856948950829931</v>
      </c>
      <c r="L91" t="s">
        <v>293</v>
      </c>
      <c r="M91" t="s">
        <v>293</v>
      </c>
      <c r="N91" t="s">
        <v>293</v>
      </c>
      <c r="O91" t="s">
        <v>293</v>
      </c>
      <c r="P91" t="s">
        <v>293</v>
      </c>
      <c r="Q91" t="s">
        <v>293</v>
      </c>
      <c r="S91" t="str">
        <f t="shared" si="1"/>
        <v>SVTC_DC_T_PR19CA009</v>
      </c>
    </row>
    <row r="92" spans="1:19" x14ac:dyDescent="0.3">
      <c r="A92" t="s">
        <v>23</v>
      </c>
      <c r="B92" t="s">
        <v>252</v>
      </c>
      <c r="C92" t="s">
        <v>253</v>
      </c>
      <c r="D92" t="s">
        <v>13</v>
      </c>
      <c r="E92" t="s">
        <v>147</v>
      </c>
      <c r="F92">
        <v>3848.9540000000002</v>
      </c>
      <c r="G92">
        <v>3866.2940000000003</v>
      </c>
      <c r="H92">
        <v>3948.2460000000001</v>
      </c>
      <c r="I92">
        <v>3979.8119999999999</v>
      </c>
      <c r="J92">
        <v>4019.8680000000004</v>
      </c>
      <c r="K92">
        <v>3987.3345000000031</v>
      </c>
      <c r="L92" t="s">
        <v>293</v>
      </c>
      <c r="M92" t="s">
        <v>293</v>
      </c>
      <c r="N92" t="s">
        <v>293</v>
      </c>
      <c r="O92" t="s">
        <v>293</v>
      </c>
      <c r="P92" t="s">
        <v>293</v>
      </c>
      <c r="Q92" t="s">
        <v>293</v>
      </c>
      <c r="S92" t="str">
        <f t="shared" si="1"/>
        <v>SVTC_HH_T_PR19CA009</v>
      </c>
    </row>
    <row r="93" spans="1:19" x14ac:dyDescent="0.3">
      <c r="A93" t="s">
        <v>23</v>
      </c>
      <c r="B93" t="s">
        <v>254</v>
      </c>
      <c r="C93" t="s">
        <v>255</v>
      </c>
      <c r="D93" t="s">
        <v>12</v>
      </c>
      <c r="E93" t="s">
        <v>147</v>
      </c>
      <c r="F93">
        <v>0.37587692656238547</v>
      </c>
      <c r="G93">
        <v>0.39056897897573228</v>
      </c>
      <c r="H93">
        <v>0.42032335371200275</v>
      </c>
      <c r="I93">
        <v>0.41812050418461977</v>
      </c>
      <c r="J93">
        <v>0.43218633049642419</v>
      </c>
      <c r="K93">
        <v>0.44968232119310075</v>
      </c>
      <c r="L93" t="s">
        <v>293</v>
      </c>
      <c r="M93" t="s">
        <v>293</v>
      </c>
      <c r="N93" t="s">
        <v>293</v>
      </c>
      <c r="O93" t="s">
        <v>293</v>
      </c>
      <c r="P93" t="s">
        <v>293</v>
      </c>
      <c r="Q93" t="s">
        <v>293</v>
      </c>
      <c r="S93" t="str">
        <f t="shared" si="1"/>
        <v>SVTC_HHM_HH_PR19CA009</v>
      </c>
    </row>
    <row r="94" spans="1:19" x14ac:dyDescent="0.3">
      <c r="A94" t="s">
        <v>23</v>
      </c>
      <c r="B94" t="s">
        <v>256</v>
      </c>
      <c r="C94" t="s">
        <v>257</v>
      </c>
      <c r="D94" t="s">
        <v>12</v>
      </c>
      <c r="E94" t="s">
        <v>147</v>
      </c>
      <c r="F94">
        <v>0.75016017338736707</v>
      </c>
      <c r="G94">
        <v>0.7501964413466744</v>
      </c>
      <c r="H94">
        <v>0.75494764004066606</v>
      </c>
      <c r="I94">
        <v>0.7374702624144055</v>
      </c>
      <c r="J94">
        <v>0.73797074928828499</v>
      </c>
      <c r="K94">
        <v>0.74924480669145455</v>
      </c>
      <c r="L94" t="s">
        <v>293</v>
      </c>
      <c r="M94" t="s">
        <v>293</v>
      </c>
      <c r="N94" t="s">
        <v>293</v>
      </c>
      <c r="O94" t="s">
        <v>293</v>
      </c>
      <c r="P94" t="s">
        <v>293</v>
      </c>
      <c r="Q94" t="s">
        <v>293</v>
      </c>
      <c r="S94" t="str">
        <f t="shared" si="1"/>
        <v>SVTC_HHDU_HH_PR19CA009</v>
      </c>
    </row>
    <row r="95" spans="1:19" x14ac:dyDescent="0.3">
      <c r="A95" t="s">
        <v>23</v>
      </c>
      <c r="B95" t="s">
        <v>258</v>
      </c>
      <c r="C95" t="s">
        <v>259</v>
      </c>
      <c r="D95" t="s">
        <v>228</v>
      </c>
      <c r="E95" t="s">
        <v>147</v>
      </c>
      <c r="F95">
        <v>311.14977847891373</v>
      </c>
      <c r="G95">
        <v>315.64776445051911</v>
      </c>
      <c r="H95">
        <v>294.90236829383366</v>
      </c>
      <c r="I95">
        <v>293.60365742100629</v>
      </c>
      <c r="J95">
        <v>287.79278324561903</v>
      </c>
      <c r="K95">
        <v>297.85265936996529</v>
      </c>
      <c r="L95" t="s">
        <v>293</v>
      </c>
      <c r="M95" t="s">
        <v>293</v>
      </c>
      <c r="N95" t="s">
        <v>293</v>
      </c>
      <c r="O95" t="s">
        <v>293</v>
      </c>
      <c r="P95" t="s">
        <v>293</v>
      </c>
      <c r="Q95" t="s">
        <v>293</v>
      </c>
      <c r="S95" t="str">
        <f t="shared" si="1"/>
        <v>SVTC_REV_HH_PR19CA009</v>
      </c>
    </row>
    <row r="96" spans="1:19" x14ac:dyDescent="0.3">
      <c r="A96" t="s">
        <v>23</v>
      </c>
      <c r="B96" t="s">
        <v>260</v>
      </c>
      <c r="C96" t="s">
        <v>261</v>
      </c>
      <c r="D96" t="s">
        <v>15</v>
      </c>
      <c r="E96" t="s">
        <v>147</v>
      </c>
      <c r="F96">
        <v>100.99351999999999</v>
      </c>
      <c r="G96">
        <v>103.18702034083837</v>
      </c>
      <c r="H96">
        <v>94.516255231280837</v>
      </c>
      <c r="I96">
        <v>89.536323230889764</v>
      </c>
      <c r="J96">
        <v>100.89700000000001</v>
      </c>
      <c r="K96">
        <v>108.28920986057207</v>
      </c>
      <c r="L96" t="s">
        <v>293</v>
      </c>
      <c r="M96" t="s">
        <v>293</v>
      </c>
      <c r="N96" t="s">
        <v>293</v>
      </c>
      <c r="O96" t="s">
        <v>293</v>
      </c>
      <c r="P96" t="s">
        <v>293</v>
      </c>
      <c r="Q96" t="s">
        <v>293</v>
      </c>
      <c r="S96" t="str">
        <f t="shared" si="1"/>
        <v>SVTC_TC_TRN_PR19CA009</v>
      </c>
    </row>
    <row r="97" spans="1:19" x14ac:dyDescent="0.3">
      <c r="A97" t="s">
        <v>23</v>
      </c>
      <c r="B97" t="s">
        <v>262</v>
      </c>
      <c r="C97" t="s">
        <v>263</v>
      </c>
      <c r="D97" t="s">
        <v>15</v>
      </c>
      <c r="E97" t="s">
        <v>147</v>
      </c>
      <c r="F97">
        <v>106.74653153482079</v>
      </c>
      <c r="G97">
        <v>107.83461823201512</v>
      </c>
      <c r="H97">
        <v>98.33779433630599</v>
      </c>
      <c r="I97">
        <v>91.895056079237364</v>
      </c>
      <c r="J97">
        <v>100.89700000000001</v>
      </c>
      <c r="K97">
        <v>106.03389120860587</v>
      </c>
      <c r="L97" t="s">
        <v>293</v>
      </c>
      <c r="M97" t="s">
        <v>293</v>
      </c>
      <c r="N97" t="s">
        <v>293</v>
      </c>
      <c r="O97" t="s">
        <v>293</v>
      </c>
      <c r="P97" t="s">
        <v>293</v>
      </c>
      <c r="Q97" t="s">
        <v>293</v>
      </c>
      <c r="S97" t="str">
        <f t="shared" si="1"/>
        <v>SVTC_TC_TRR_PR19CA009</v>
      </c>
    </row>
    <row r="98" spans="1:19" x14ac:dyDescent="0.3">
      <c r="A98" t="s">
        <v>23</v>
      </c>
      <c r="B98" t="s">
        <v>264</v>
      </c>
      <c r="C98" t="s">
        <v>265</v>
      </c>
      <c r="D98" t="s">
        <v>15</v>
      </c>
      <c r="E98" t="s">
        <v>147</v>
      </c>
      <c r="F98">
        <v>68.695821595672726</v>
      </c>
      <c r="G98">
        <v>70.526671378167023</v>
      </c>
      <c r="H98">
        <v>70.145191840465714</v>
      </c>
      <c r="I98">
        <v>63.27751008005805</v>
      </c>
      <c r="J98">
        <v>63.879000000000005</v>
      </c>
      <c r="K98">
        <v>76.176942257775934</v>
      </c>
      <c r="L98" t="s">
        <v>293</v>
      </c>
      <c r="M98" t="s">
        <v>293</v>
      </c>
      <c r="N98" t="s">
        <v>293</v>
      </c>
      <c r="O98" t="s">
        <v>293</v>
      </c>
      <c r="P98" t="s">
        <v>293</v>
      </c>
      <c r="Q98" t="s">
        <v>293</v>
      </c>
      <c r="S98" t="str">
        <f t="shared" si="1"/>
        <v>SVTC_OC_TR_PR19CA009</v>
      </c>
    </row>
    <row r="99" spans="1:19" x14ac:dyDescent="0.3">
      <c r="A99" t="s">
        <v>23</v>
      </c>
      <c r="B99" t="s">
        <v>266</v>
      </c>
      <c r="C99" t="s">
        <v>267</v>
      </c>
      <c r="D99" t="s">
        <v>16</v>
      </c>
      <c r="E99" t="s">
        <v>147</v>
      </c>
      <c r="F99">
        <v>1.0569641649763351</v>
      </c>
      <c r="G99">
        <v>1.0450405281189941</v>
      </c>
      <c r="H99">
        <v>1.0404326123128118</v>
      </c>
      <c r="I99">
        <v>1.0263438654082888</v>
      </c>
      <c r="J99">
        <v>1</v>
      </c>
      <c r="K99">
        <v>0.97917319135609127</v>
      </c>
      <c r="L99" t="s">
        <v>293</v>
      </c>
      <c r="M99" t="s">
        <v>293</v>
      </c>
      <c r="N99" t="s">
        <v>293</v>
      </c>
      <c r="O99" t="s">
        <v>293</v>
      </c>
      <c r="P99" t="s">
        <v>293</v>
      </c>
      <c r="Q99" t="s">
        <v>293</v>
      </c>
      <c r="S99" t="str">
        <f t="shared" si="1"/>
        <v>SVTC_CD0014R_PR19</v>
      </c>
    </row>
    <row r="100" spans="1:19" x14ac:dyDescent="0.3">
      <c r="A100" t="s">
        <v>23</v>
      </c>
      <c r="B100" t="s">
        <v>268</v>
      </c>
      <c r="C100" t="s">
        <v>269</v>
      </c>
      <c r="D100" t="s">
        <v>15</v>
      </c>
      <c r="E100" t="s">
        <v>147</v>
      </c>
      <c r="F100">
        <v>106.74653153482079</v>
      </c>
      <c r="G100">
        <v>107.83461823201512</v>
      </c>
      <c r="H100">
        <v>98.33779433630599</v>
      </c>
      <c r="I100">
        <v>91.895056079237364</v>
      </c>
      <c r="J100">
        <v>100.89700000000001</v>
      </c>
      <c r="K100">
        <v>106.03389120860587</v>
      </c>
      <c r="L100" t="s">
        <v>293</v>
      </c>
      <c r="M100" t="s">
        <v>293</v>
      </c>
      <c r="N100" t="s">
        <v>293</v>
      </c>
      <c r="O100" t="s">
        <v>293</v>
      </c>
      <c r="P100" t="s">
        <v>293</v>
      </c>
      <c r="Q100" t="s">
        <v>293</v>
      </c>
      <c r="S100" t="str">
        <f t="shared" si="1"/>
        <v>SVTC_BPTOTEX_PR19CA009</v>
      </c>
    </row>
    <row r="101" spans="1:19" x14ac:dyDescent="0.3">
      <c r="A101" t="s">
        <v>23</v>
      </c>
      <c r="B101" t="s">
        <v>273</v>
      </c>
      <c r="C101" t="s">
        <v>274</v>
      </c>
      <c r="D101" t="s">
        <v>12</v>
      </c>
      <c r="E101" t="s">
        <v>147</v>
      </c>
      <c r="F101">
        <v>0.27349580945927093</v>
      </c>
      <c r="G101">
        <v>0.2740601698110085</v>
      </c>
      <c r="H101">
        <v>0.27192951027988921</v>
      </c>
      <c r="I101">
        <v>0.26327896006588108</v>
      </c>
      <c r="J101">
        <v>0.26334240132189274</v>
      </c>
      <c r="K101">
        <v>0.25369681835427266</v>
      </c>
      <c r="L101" t="s">
        <v>293</v>
      </c>
      <c r="M101" t="s">
        <v>293</v>
      </c>
      <c r="N101" t="s">
        <v>293</v>
      </c>
      <c r="O101" t="s">
        <v>293</v>
      </c>
      <c r="P101" t="s">
        <v>293</v>
      </c>
      <c r="Q101" t="s">
        <v>293</v>
      </c>
      <c r="S101" t="str">
        <f t="shared" si="1"/>
        <v>SVTC_CD0018_PR19RR1</v>
      </c>
    </row>
    <row r="102" spans="1:19" x14ac:dyDescent="0.3">
      <c r="A102" t="s">
        <v>23</v>
      </c>
      <c r="B102" t="s">
        <v>275</v>
      </c>
      <c r="C102" t="s">
        <v>154</v>
      </c>
      <c r="D102" t="s">
        <v>12</v>
      </c>
      <c r="E102" t="s">
        <v>147</v>
      </c>
      <c r="F102">
        <v>0.11876864082534</v>
      </c>
      <c r="G102">
        <v>0.11876864082534</v>
      </c>
      <c r="H102">
        <v>0.11876864082534</v>
      </c>
      <c r="I102">
        <v>0.11876864082534</v>
      </c>
      <c r="J102">
        <v>0.12363692369746056</v>
      </c>
      <c r="K102">
        <v>0.12363692369746056</v>
      </c>
      <c r="L102" t="s">
        <v>293</v>
      </c>
      <c r="M102" t="s">
        <v>293</v>
      </c>
      <c r="N102" t="s">
        <v>293</v>
      </c>
      <c r="O102" t="s">
        <v>293</v>
      </c>
      <c r="P102" t="s">
        <v>293</v>
      </c>
      <c r="Q102" t="s">
        <v>293</v>
      </c>
      <c r="S102" t="str">
        <f t="shared" si="1"/>
        <v>SVTC_CD0019_PR19RR1</v>
      </c>
    </row>
    <row r="103" spans="1:19" x14ac:dyDescent="0.3">
      <c r="A103" t="s">
        <v>23</v>
      </c>
      <c r="B103" t="s">
        <v>276</v>
      </c>
      <c r="C103" t="s">
        <v>153</v>
      </c>
      <c r="D103" t="s">
        <v>12</v>
      </c>
      <c r="E103" t="s">
        <v>147</v>
      </c>
      <c r="F103" t="s">
        <v>293</v>
      </c>
      <c r="G103" t="s">
        <v>293</v>
      </c>
      <c r="H103" t="s">
        <v>293</v>
      </c>
      <c r="I103" t="s">
        <v>293</v>
      </c>
      <c r="J103" t="s">
        <v>293</v>
      </c>
      <c r="K103" t="s">
        <v>293</v>
      </c>
      <c r="L103" t="s">
        <v>293</v>
      </c>
      <c r="M103" t="s">
        <v>293</v>
      </c>
      <c r="N103" t="s">
        <v>293</v>
      </c>
      <c r="O103" t="s">
        <v>293</v>
      </c>
      <c r="P103" t="s">
        <v>293</v>
      </c>
      <c r="Q103" t="s">
        <v>293</v>
      </c>
      <c r="S103" t="str">
        <f t="shared" si="1"/>
        <v>SVTC_CD0020_PR19RR1</v>
      </c>
    </row>
    <row r="104" spans="1:19" x14ac:dyDescent="0.3">
      <c r="A104" t="s">
        <v>23</v>
      </c>
      <c r="B104" t="s">
        <v>277</v>
      </c>
      <c r="C104" t="s">
        <v>278</v>
      </c>
      <c r="D104" t="s">
        <v>12</v>
      </c>
      <c r="E104" t="s">
        <v>147</v>
      </c>
      <c r="F104">
        <v>0.15612119338611011</v>
      </c>
      <c r="G104">
        <v>0.156173837721302</v>
      </c>
      <c r="H104">
        <v>0.1563233325759823</v>
      </c>
      <c r="I104">
        <v>0.15631676327006891</v>
      </c>
      <c r="J104">
        <v>0.15621386413153276</v>
      </c>
      <c r="K104">
        <v>0.15621386413153276</v>
      </c>
      <c r="L104" t="s">
        <v>293</v>
      </c>
      <c r="M104" t="s">
        <v>293</v>
      </c>
      <c r="N104" t="s">
        <v>293</v>
      </c>
      <c r="O104" t="s">
        <v>293</v>
      </c>
      <c r="P104" t="s">
        <v>293</v>
      </c>
      <c r="Q104" t="s">
        <v>293</v>
      </c>
      <c r="S104" t="str">
        <f t="shared" si="1"/>
        <v>SVTC_CD0021_PR19RR1</v>
      </c>
    </row>
    <row r="105" spans="1:19" x14ac:dyDescent="0.3">
      <c r="A105" t="s">
        <v>23</v>
      </c>
      <c r="B105" t="s">
        <v>279</v>
      </c>
      <c r="C105" t="s">
        <v>280</v>
      </c>
      <c r="D105" t="s">
        <v>15</v>
      </c>
      <c r="E105" t="s">
        <v>147</v>
      </c>
      <c r="F105">
        <v>1197.6011844755292</v>
      </c>
      <c r="G105">
        <v>1220.3870578084554</v>
      </c>
      <c r="H105">
        <v>1164.3470960066556</v>
      </c>
      <c r="I105">
        <v>1168.4873590480097</v>
      </c>
      <c r="J105">
        <v>1156.8890000000001</v>
      </c>
      <c r="K105">
        <v>1187.6381846226118</v>
      </c>
      <c r="L105" t="s">
        <v>293</v>
      </c>
      <c r="M105" t="s">
        <v>293</v>
      </c>
      <c r="N105" t="s">
        <v>293</v>
      </c>
      <c r="O105" t="s">
        <v>293</v>
      </c>
      <c r="P105" t="s">
        <v>293</v>
      </c>
      <c r="Q105" t="s">
        <v>293</v>
      </c>
      <c r="S105" t="str">
        <f t="shared" si="1"/>
        <v>SVTC_CD0022_PR19RR1</v>
      </c>
    </row>
    <row r="106" spans="1:19" x14ac:dyDescent="0.3">
      <c r="A106" t="s">
        <v>23</v>
      </c>
      <c r="B106" t="s">
        <v>286</v>
      </c>
      <c r="C106" t="s">
        <v>287</v>
      </c>
      <c r="D106" t="s">
        <v>15</v>
      </c>
      <c r="E106" t="s">
        <v>147</v>
      </c>
      <c r="F106" t="s">
        <v>293</v>
      </c>
      <c r="G106" t="s">
        <v>293</v>
      </c>
      <c r="H106" t="s">
        <v>293</v>
      </c>
      <c r="I106" t="s">
        <v>293</v>
      </c>
      <c r="J106">
        <v>16.79</v>
      </c>
      <c r="K106">
        <v>8.151616818039459</v>
      </c>
      <c r="L106" t="s">
        <v>293</v>
      </c>
      <c r="M106" t="s">
        <v>293</v>
      </c>
      <c r="N106" t="s">
        <v>293</v>
      </c>
      <c r="O106" t="s">
        <v>293</v>
      </c>
      <c r="P106" t="s">
        <v>293</v>
      </c>
      <c r="Q106" t="s">
        <v>293</v>
      </c>
      <c r="S106" t="str">
        <f t="shared" si="1"/>
        <v>SVTC_BM4017_PR19CA009</v>
      </c>
    </row>
    <row r="107" spans="1:19" x14ac:dyDescent="0.3">
      <c r="A107" t="s">
        <v>23</v>
      </c>
      <c r="B107" t="s">
        <v>289</v>
      </c>
      <c r="C107" t="s">
        <v>290</v>
      </c>
      <c r="D107" t="s">
        <v>146</v>
      </c>
      <c r="E107" t="s">
        <v>147</v>
      </c>
      <c r="F107" t="s">
        <v>314</v>
      </c>
      <c r="G107" t="s">
        <v>314</v>
      </c>
      <c r="H107" t="s">
        <v>314</v>
      </c>
      <c r="I107" t="s">
        <v>314</v>
      </c>
      <c r="J107" t="s">
        <v>314</v>
      </c>
      <c r="K107" t="s">
        <v>314</v>
      </c>
      <c r="L107" t="s">
        <v>314</v>
      </c>
      <c r="M107" t="s">
        <v>314</v>
      </c>
      <c r="N107" t="s">
        <v>314</v>
      </c>
      <c r="O107" t="s">
        <v>314</v>
      </c>
      <c r="P107" t="s">
        <v>314</v>
      </c>
      <c r="Q107" t="s">
        <v>314</v>
      </c>
      <c r="S107" t="str">
        <f t="shared" si="1"/>
        <v>SVTPR19QA_CA009_OUT_1</v>
      </c>
    </row>
    <row r="108" spans="1:19" x14ac:dyDescent="0.3">
      <c r="A108" t="s">
        <v>23</v>
      </c>
      <c r="B108" t="s">
        <v>291</v>
      </c>
      <c r="C108" t="s">
        <v>292</v>
      </c>
      <c r="D108" t="s">
        <v>146</v>
      </c>
      <c r="E108" t="s">
        <v>147</v>
      </c>
      <c r="F108" t="s">
        <v>315</v>
      </c>
      <c r="G108" t="s">
        <v>315</v>
      </c>
      <c r="H108" t="s">
        <v>315</v>
      </c>
      <c r="I108" t="s">
        <v>315</v>
      </c>
      <c r="J108" t="s">
        <v>315</v>
      </c>
      <c r="K108" t="s">
        <v>315</v>
      </c>
      <c r="L108" t="s">
        <v>315</v>
      </c>
      <c r="M108" t="s">
        <v>315</v>
      </c>
      <c r="N108" t="s">
        <v>315</v>
      </c>
      <c r="O108" t="s">
        <v>315</v>
      </c>
      <c r="P108" t="s">
        <v>315</v>
      </c>
      <c r="Q108" t="s">
        <v>315</v>
      </c>
      <c r="S108" t="str">
        <f t="shared" si="1"/>
        <v>SVTPR19QA_CA009_OUT_2</v>
      </c>
    </row>
    <row r="109" spans="1:19" x14ac:dyDescent="0.3">
      <c r="A109" t="s">
        <v>270</v>
      </c>
      <c r="B109" t="s">
        <v>244</v>
      </c>
      <c r="C109" t="s">
        <v>245</v>
      </c>
      <c r="D109" t="s">
        <v>15</v>
      </c>
      <c r="E109" t="s">
        <v>147</v>
      </c>
      <c r="F109">
        <v>1.6855582160807248</v>
      </c>
      <c r="G109">
        <v>1.5787767224345384</v>
      </c>
      <c r="H109">
        <v>1.2561928267848683</v>
      </c>
      <c r="I109" t="s">
        <v>293</v>
      </c>
      <c r="J109" t="s">
        <v>293</v>
      </c>
      <c r="K109" t="s">
        <v>293</v>
      </c>
      <c r="L109" t="s">
        <v>293</v>
      </c>
      <c r="M109" t="s">
        <v>293</v>
      </c>
      <c r="N109" t="s">
        <v>293</v>
      </c>
      <c r="O109" t="s">
        <v>293</v>
      </c>
      <c r="P109" t="s">
        <v>293</v>
      </c>
      <c r="Q109" t="s">
        <v>293</v>
      </c>
      <c r="S109" t="str">
        <f t="shared" si="1"/>
        <v>SWTC_DEP_PR19CA009</v>
      </c>
    </row>
    <row r="110" spans="1:19" x14ac:dyDescent="0.3">
      <c r="A110" t="s">
        <v>270</v>
      </c>
      <c r="B110" t="s">
        <v>246</v>
      </c>
      <c r="C110" t="s">
        <v>247</v>
      </c>
      <c r="D110" t="s">
        <v>15</v>
      </c>
      <c r="E110" t="s">
        <v>147</v>
      </c>
      <c r="F110">
        <v>32.264499789244724</v>
      </c>
      <c r="G110">
        <v>32.178782088725846</v>
      </c>
      <c r="H110">
        <v>33.098538428699598</v>
      </c>
      <c r="I110" t="s">
        <v>293</v>
      </c>
      <c r="J110" t="s">
        <v>293</v>
      </c>
      <c r="K110" t="s">
        <v>293</v>
      </c>
      <c r="L110" t="s">
        <v>293</v>
      </c>
      <c r="M110" t="s">
        <v>293</v>
      </c>
      <c r="N110" t="s">
        <v>293</v>
      </c>
      <c r="O110" t="s">
        <v>293</v>
      </c>
      <c r="P110" t="s">
        <v>293</v>
      </c>
      <c r="Q110" t="s">
        <v>293</v>
      </c>
      <c r="S110" t="str">
        <f t="shared" si="1"/>
        <v>SWTC_STC_TR_PR19CA009</v>
      </c>
    </row>
    <row r="111" spans="1:19" x14ac:dyDescent="0.3">
      <c r="A111" t="s">
        <v>270</v>
      </c>
      <c r="B111" t="s">
        <v>248</v>
      </c>
      <c r="C111" t="s">
        <v>249</v>
      </c>
      <c r="D111" t="s">
        <v>15</v>
      </c>
      <c r="E111" t="s">
        <v>147</v>
      </c>
      <c r="F111">
        <v>14.507501817642293</v>
      </c>
      <c r="G111">
        <v>15.329593653863302</v>
      </c>
      <c r="H111">
        <v>17.40257203934852</v>
      </c>
      <c r="I111" t="s">
        <v>293</v>
      </c>
      <c r="J111" t="s">
        <v>293</v>
      </c>
      <c r="K111" t="s">
        <v>293</v>
      </c>
      <c r="L111" t="s">
        <v>293</v>
      </c>
      <c r="M111" t="s">
        <v>293</v>
      </c>
      <c r="N111" t="s">
        <v>293</v>
      </c>
      <c r="O111" t="s">
        <v>293</v>
      </c>
      <c r="P111" t="s">
        <v>293</v>
      </c>
      <c r="Q111" t="s">
        <v>293</v>
      </c>
      <c r="S111" t="str">
        <f t="shared" si="1"/>
        <v>SWTC_SOC_TR_PR19CA009</v>
      </c>
    </row>
    <row r="112" spans="1:19" x14ac:dyDescent="0.3">
      <c r="A112" t="s">
        <v>270</v>
      </c>
      <c r="B112" t="s">
        <v>250</v>
      </c>
      <c r="C112" t="s">
        <v>251</v>
      </c>
      <c r="D112" t="s">
        <v>15</v>
      </c>
      <c r="E112" t="s">
        <v>147</v>
      </c>
      <c r="F112">
        <v>17.756997971602431</v>
      </c>
      <c r="G112">
        <v>16.849188434862544</v>
      </c>
      <c r="H112">
        <v>15.69596638935108</v>
      </c>
      <c r="I112" t="s">
        <v>293</v>
      </c>
      <c r="J112" t="s">
        <v>293</v>
      </c>
      <c r="K112" t="s">
        <v>293</v>
      </c>
      <c r="L112" t="s">
        <v>293</v>
      </c>
      <c r="M112" t="s">
        <v>293</v>
      </c>
      <c r="N112" t="s">
        <v>293</v>
      </c>
      <c r="O112" t="s">
        <v>293</v>
      </c>
      <c r="P112" t="s">
        <v>293</v>
      </c>
      <c r="Q112" t="s">
        <v>293</v>
      </c>
      <c r="S112" t="str">
        <f t="shared" si="1"/>
        <v>SWTC_DC_T_PR19CA009</v>
      </c>
    </row>
    <row r="113" spans="1:19" x14ac:dyDescent="0.3">
      <c r="A113" t="s">
        <v>270</v>
      </c>
      <c r="B113" t="s">
        <v>252</v>
      </c>
      <c r="C113" t="s">
        <v>253</v>
      </c>
      <c r="D113" t="s">
        <v>13</v>
      </c>
      <c r="E113" t="s">
        <v>147</v>
      </c>
      <c r="F113">
        <v>715.63400000000001</v>
      </c>
      <c r="G113">
        <v>720.17700000000002</v>
      </c>
      <c r="H113">
        <v>735.62900000000002</v>
      </c>
      <c r="I113" t="s">
        <v>293</v>
      </c>
      <c r="J113" t="s">
        <v>293</v>
      </c>
      <c r="K113" t="s">
        <v>293</v>
      </c>
      <c r="L113" t="s">
        <v>293</v>
      </c>
      <c r="M113" t="s">
        <v>293</v>
      </c>
      <c r="N113" t="s">
        <v>293</v>
      </c>
      <c r="O113" t="s">
        <v>293</v>
      </c>
      <c r="P113" t="s">
        <v>293</v>
      </c>
      <c r="Q113" t="s">
        <v>293</v>
      </c>
      <c r="S113" t="str">
        <f t="shared" si="1"/>
        <v>SWTC_HH_T_PR19CA009</v>
      </c>
    </row>
    <row r="114" spans="1:19" x14ac:dyDescent="0.3">
      <c r="A114" t="s">
        <v>270</v>
      </c>
      <c r="B114" t="s">
        <v>254</v>
      </c>
      <c r="C114" t="s">
        <v>255</v>
      </c>
      <c r="D114" t="s">
        <v>12</v>
      </c>
      <c r="E114" t="s">
        <v>147</v>
      </c>
      <c r="F114">
        <v>0.75974171154528714</v>
      </c>
      <c r="G114">
        <v>0.77336682509994081</v>
      </c>
      <c r="H114">
        <v>0.78370075132981443</v>
      </c>
      <c r="I114" t="s">
        <v>293</v>
      </c>
      <c r="J114" t="s">
        <v>293</v>
      </c>
      <c r="K114" t="s">
        <v>293</v>
      </c>
      <c r="L114" t="s">
        <v>293</v>
      </c>
      <c r="M114" t="s">
        <v>293</v>
      </c>
      <c r="N114" t="s">
        <v>293</v>
      </c>
      <c r="O114" t="s">
        <v>293</v>
      </c>
      <c r="P114" t="s">
        <v>293</v>
      </c>
      <c r="Q114" t="s">
        <v>293</v>
      </c>
      <c r="S114" t="str">
        <f t="shared" si="1"/>
        <v>SWTC_HHM_HH_PR19CA009</v>
      </c>
    </row>
    <row r="115" spans="1:19" x14ac:dyDescent="0.3">
      <c r="A115" t="s">
        <v>270</v>
      </c>
      <c r="B115" t="s">
        <v>256</v>
      </c>
      <c r="C115" t="s">
        <v>257</v>
      </c>
      <c r="D115" t="s">
        <v>12</v>
      </c>
      <c r="E115" t="s">
        <v>147</v>
      </c>
      <c r="F115">
        <v>0.91042907407976714</v>
      </c>
      <c r="G115">
        <v>0.91189943583313549</v>
      </c>
      <c r="H115">
        <v>0.90045253789614066</v>
      </c>
      <c r="I115" t="s">
        <v>293</v>
      </c>
      <c r="J115" t="s">
        <v>293</v>
      </c>
      <c r="K115" t="s">
        <v>293</v>
      </c>
      <c r="L115" t="s">
        <v>293</v>
      </c>
      <c r="M115" t="s">
        <v>293</v>
      </c>
      <c r="N115" t="s">
        <v>293</v>
      </c>
      <c r="O115" t="s">
        <v>293</v>
      </c>
      <c r="P115" t="s">
        <v>293</v>
      </c>
      <c r="Q115" t="s">
        <v>293</v>
      </c>
      <c r="S115" t="str">
        <f t="shared" si="1"/>
        <v>SWTC_HHDU_HH_PR19CA009</v>
      </c>
    </row>
    <row r="116" spans="1:19" x14ac:dyDescent="0.3">
      <c r="A116" t="s">
        <v>270</v>
      </c>
      <c r="B116" t="s">
        <v>258</v>
      </c>
      <c r="C116" t="s">
        <v>259</v>
      </c>
      <c r="D116" t="s">
        <v>228</v>
      </c>
      <c r="E116" t="s">
        <v>147</v>
      </c>
      <c r="F116">
        <v>582.94903220577294</v>
      </c>
      <c r="G116">
        <v>584.90119956162437</v>
      </c>
      <c r="H116">
        <v>535.06904181283471</v>
      </c>
      <c r="I116" t="s">
        <v>293</v>
      </c>
      <c r="J116" t="s">
        <v>293</v>
      </c>
      <c r="K116" t="s">
        <v>293</v>
      </c>
      <c r="L116" t="s">
        <v>293</v>
      </c>
      <c r="M116" t="s">
        <v>293</v>
      </c>
      <c r="N116" t="s">
        <v>293</v>
      </c>
      <c r="O116" t="s">
        <v>293</v>
      </c>
      <c r="P116" t="s">
        <v>293</v>
      </c>
      <c r="Q116" t="s">
        <v>293</v>
      </c>
      <c r="S116" t="str">
        <f t="shared" si="1"/>
        <v>SWTC_REV_HH_PR19CA009</v>
      </c>
    </row>
    <row r="117" spans="1:19" x14ac:dyDescent="0.3">
      <c r="A117" t="s">
        <v>270</v>
      </c>
      <c r="B117" t="s">
        <v>260</v>
      </c>
      <c r="C117" t="s">
        <v>261</v>
      </c>
      <c r="D117" t="s">
        <v>15</v>
      </c>
      <c r="E117" t="s">
        <v>147</v>
      </c>
      <c r="F117">
        <v>30.694716521083251</v>
      </c>
      <c r="G117">
        <v>30.860732531374865</v>
      </c>
      <c r="H117">
        <v>31.571375482004967</v>
      </c>
      <c r="I117" t="s">
        <v>293</v>
      </c>
      <c r="J117" t="s">
        <v>293</v>
      </c>
      <c r="K117" t="s">
        <v>293</v>
      </c>
      <c r="L117" t="s">
        <v>293</v>
      </c>
      <c r="M117" t="s">
        <v>293</v>
      </c>
      <c r="N117" t="s">
        <v>293</v>
      </c>
      <c r="O117" t="s">
        <v>293</v>
      </c>
      <c r="P117" t="s">
        <v>293</v>
      </c>
      <c r="Q117" t="s">
        <v>293</v>
      </c>
      <c r="S117" t="str">
        <f t="shared" si="1"/>
        <v>SWTC_TC_TRN_PR19CA009</v>
      </c>
    </row>
    <row r="118" spans="1:19" x14ac:dyDescent="0.3">
      <c r="A118" t="s">
        <v>270</v>
      </c>
      <c r="B118" t="s">
        <v>262</v>
      </c>
      <c r="C118" t="s">
        <v>263</v>
      </c>
      <c r="D118" t="s">
        <v>15</v>
      </c>
      <c r="E118" t="s">
        <v>147</v>
      </c>
      <c r="F118">
        <v>32.443215416892073</v>
      </c>
      <c r="G118">
        <v>32.250716222727007</v>
      </c>
      <c r="H118">
        <v>32.847888667051087</v>
      </c>
      <c r="I118" t="s">
        <v>293</v>
      </c>
      <c r="J118" t="s">
        <v>293</v>
      </c>
      <c r="K118" t="s">
        <v>293</v>
      </c>
      <c r="L118" t="s">
        <v>293</v>
      </c>
      <c r="M118" t="s">
        <v>293</v>
      </c>
      <c r="N118" t="s">
        <v>293</v>
      </c>
      <c r="O118" t="s">
        <v>293</v>
      </c>
      <c r="P118" t="s">
        <v>293</v>
      </c>
      <c r="Q118" t="s">
        <v>293</v>
      </c>
      <c r="S118" t="str">
        <f t="shared" si="1"/>
        <v>SWTC_TC_TRR_PR19CA009</v>
      </c>
    </row>
    <row r="119" spans="1:19" x14ac:dyDescent="0.3">
      <c r="A119" t="s">
        <v>270</v>
      </c>
      <c r="B119" t="s">
        <v>264</v>
      </c>
      <c r="C119" t="s">
        <v>265</v>
      </c>
      <c r="D119" t="s">
        <v>15</v>
      </c>
      <c r="E119" t="s">
        <v>147</v>
      </c>
      <c r="F119">
        <v>14.686217445289644</v>
      </c>
      <c r="G119">
        <v>15.401527787864467</v>
      </c>
      <c r="H119">
        <v>17.15192227770001</v>
      </c>
      <c r="I119" t="s">
        <v>293</v>
      </c>
      <c r="J119" t="s">
        <v>293</v>
      </c>
      <c r="K119" t="s">
        <v>293</v>
      </c>
      <c r="L119" t="s">
        <v>293</v>
      </c>
      <c r="M119" t="s">
        <v>293</v>
      </c>
      <c r="N119" t="s">
        <v>293</v>
      </c>
      <c r="O119" t="s">
        <v>293</v>
      </c>
      <c r="P119" t="s">
        <v>293</v>
      </c>
      <c r="Q119" t="s">
        <v>293</v>
      </c>
      <c r="S119" t="str">
        <f t="shared" si="1"/>
        <v>SWTC_OC_TR_PR19CA009</v>
      </c>
    </row>
    <row r="120" spans="1:19" x14ac:dyDescent="0.3">
      <c r="A120" t="s">
        <v>270</v>
      </c>
      <c r="B120" t="s">
        <v>266</v>
      </c>
      <c r="C120" t="s">
        <v>267</v>
      </c>
      <c r="D120" t="s">
        <v>16</v>
      </c>
      <c r="E120" t="s">
        <v>147</v>
      </c>
      <c r="F120">
        <v>1.0569641649763351</v>
      </c>
      <c r="G120">
        <v>1.0450405281189941</v>
      </c>
      <c r="H120">
        <v>1.0404326123128118</v>
      </c>
      <c r="I120" t="s">
        <v>293</v>
      </c>
      <c r="J120" t="s">
        <v>293</v>
      </c>
      <c r="K120" t="s">
        <v>293</v>
      </c>
      <c r="L120" t="s">
        <v>293</v>
      </c>
      <c r="M120" t="s">
        <v>293</v>
      </c>
      <c r="N120" t="s">
        <v>293</v>
      </c>
      <c r="O120" t="s">
        <v>293</v>
      </c>
      <c r="P120" t="s">
        <v>293</v>
      </c>
      <c r="Q120" t="s">
        <v>293</v>
      </c>
      <c r="S120" t="str">
        <f t="shared" si="1"/>
        <v>SWTC_CD0014R_PR19</v>
      </c>
    </row>
    <row r="121" spans="1:19" x14ac:dyDescent="0.3">
      <c r="A121" t="s">
        <v>270</v>
      </c>
      <c r="B121" t="s">
        <v>268</v>
      </c>
      <c r="C121" t="s">
        <v>269</v>
      </c>
      <c r="D121" t="s">
        <v>15</v>
      </c>
      <c r="E121" t="s">
        <v>147</v>
      </c>
      <c r="F121">
        <v>32.443215416892073</v>
      </c>
      <c r="G121">
        <v>32.250716222727007</v>
      </c>
      <c r="H121">
        <v>32.847888667051087</v>
      </c>
      <c r="I121" t="s">
        <v>293</v>
      </c>
      <c r="J121" t="s">
        <v>293</v>
      </c>
      <c r="K121" t="s">
        <v>293</v>
      </c>
      <c r="L121" t="s">
        <v>293</v>
      </c>
      <c r="M121" t="s">
        <v>293</v>
      </c>
      <c r="N121" t="s">
        <v>293</v>
      </c>
      <c r="O121" t="s">
        <v>293</v>
      </c>
      <c r="P121" t="s">
        <v>293</v>
      </c>
      <c r="Q121" t="s">
        <v>293</v>
      </c>
      <c r="S121" t="str">
        <f t="shared" si="1"/>
        <v>SWTC_BPTOTEX_PR19CA009</v>
      </c>
    </row>
    <row r="122" spans="1:19" x14ac:dyDescent="0.3">
      <c r="A122" t="s">
        <v>270</v>
      </c>
      <c r="B122" t="s">
        <v>273</v>
      </c>
      <c r="C122" t="s">
        <v>274</v>
      </c>
      <c r="D122" t="s">
        <v>12</v>
      </c>
      <c r="E122" t="s">
        <v>147</v>
      </c>
      <c r="F122">
        <v>0.21559129948473743</v>
      </c>
      <c r="G122">
        <v>0.21468497314895069</v>
      </c>
      <c r="H122">
        <v>0.21290492175894229</v>
      </c>
      <c r="I122" t="s">
        <v>293</v>
      </c>
      <c r="J122" t="s">
        <v>293</v>
      </c>
      <c r="K122" t="s">
        <v>293</v>
      </c>
      <c r="L122" t="s">
        <v>293</v>
      </c>
      <c r="M122" t="s">
        <v>293</v>
      </c>
      <c r="N122" t="s">
        <v>293</v>
      </c>
      <c r="O122" t="s">
        <v>293</v>
      </c>
      <c r="P122" t="s">
        <v>293</v>
      </c>
      <c r="Q122" t="s">
        <v>293</v>
      </c>
      <c r="S122" t="str">
        <f t="shared" si="1"/>
        <v>SWTC_CD0018_PR19RR1</v>
      </c>
    </row>
    <row r="123" spans="1:19" x14ac:dyDescent="0.3">
      <c r="A123" t="s">
        <v>270</v>
      </c>
      <c r="B123" t="s">
        <v>275</v>
      </c>
      <c r="C123" t="s">
        <v>154</v>
      </c>
      <c r="D123" t="s">
        <v>12</v>
      </c>
      <c r="E123" t="s">
        <v>147</v>
      </c>
      <c r="F123">
        <v>0.10128592934259743</v>
      </c>
      <c r="G123">
        <v>0.10128592934259743</v>
      </c>
      <c r="H123">
        <v>0.10128592934259743</v>
      </c>
      <c r="I123" t="s">
        <v>293</v>
      </c>
      <c r="J123" t="s">
        <v>293</v>
      </c>
      <c r="K123" t="s">
        <v>293</v>
      </c>
      <c r="L123" t="s">
        <v>293</v>
      </c>
      <c r="M123" t="s">
        <v>293</v>
      </c>
      <c r="N123" t="s">
        <v>293</v>
      </c>
      <c r="O123" t="s">
        <v>293</v>
      </c>
      <c r="P123" t="s">
        <v>293</v>
      </c>
      <c r="Q123" t="s">
        <v>293</v>
      </c>
      <c r="S123" t="str">
        <f t="shared" si="1"/>
        <v>SWTC_CD0019_PR19RR1</v>
      </c>
    </row>
    <row r="124" spans="1:19" x14ac:dyDescent="0.3">
      <c r="A124" t="s">
        <v>270</v>
      </c>
      <c r="B124" t="s">
        <v>276</v>
      </c>
      <c r="C124" t="s">
        <v>153</v>
      </c>
      <c r="D124" t="s">
        <v>12</v>
      </c>
      <c r="E124" t="s">
        <v>147</v>
      </c>
      <c r="F124" t="s">
        <v>293</v>
      </c>
      <c r="G124" t="s">
        <v>293</v>
      </c>
      <c r="H124" t="s">
        <v>293</v>
      </c>
      <c r="I124" t="s">
        <v>293</v>
      </c>
      <c r="J124" t="s">
        <v>293</v>
      </c>
      <c r="K124" t="s">
        <v>293</v>
      </c>
      <c r="L124" t="s">
        <v>293</v>
      </c>
      <c r="M124" t="s">
        <v>293</v>
      </c>
      <c r="N124" t="s">
        <v>293</v>
      </c>
      <c r="O124" t="s">
        <v>293</v>
      </c>
      <c r="P124" t="s">
        <v>293</v>
      </c>
      <c r="Q124" t="s">
        <v>293</v>
      </c>
      <c r="S124" t="str">
        <f t="shared" si="1"/>
        <v>SWTC_CD0020_PR19RR1</v>
      </c>
    </row>
    <row r="125" spans="1:19" x14ac:dyDescent="0.3">
      <c r="A125" t="s">
        <v>270</v>
      </c>
      <c r="B125" t="s">
        <v>277</v>
      </c>
      <c r="C125" t="s">
        <v>278</v>
      </c>
      <c r="D125" t="s">
        <v>12</v>
      </c>
      <c r="E125" t="s">
        <v>147</v>
      </c>
      <c r="F125">
        <v>0.13392561352891541</v>
      </c>
      <c r="G125">
        <v>0.1338611832601985</v>
      </c>
      <c r="H125">
        <v>0.13382641815814436</v>
      </c>
      <c r="I125" t="s">
        <v>293</v>
      </c>
      <c r="J125" t="s">
        <v>293</v>
      </c>
      <c r="K125" t="s">
        <v>293</v>
      </c>
      <c r="L125" t="s">
        <v>293</v>
      </c>
      <c r="M125" t="s">
        <v>293</v>
      </c>
      <c r="N125" t="s">
        <v>293</v>
      </c>
      <c r="O125" t="s">
        <v>293</v>
      </c>
      <c r="P125" t="s">
        <v>293</v>
      </c>
      <c r="Q125" t="s">
        <v>293</v>
      </c>
      <c r="S125" t="str">
        <f t="shared" si="1"/>
        <v>SWTC_CD0021_PR19RR1</v>
      </c>
    </row>
    <row r="126" spans="1:19" x14ac:dyDescent="0.3">
      <c r="A126" t="s">
        <v>270</v>
      </c>
      <c r="B126" t="s">
        <v>279</v>
      </c>
      <c r="C126" t="s">
        <v>280</v>
      </c>
      <c r="D126" t="s">
        <v>15</v>
      </c>
      <c r="E126" t="s">
        <v>147</v>
      </c>
      <c r="F126">
        <v>417.1781477135462</v>
      </c>
      <c r="G126">
        <v>421.23239119669194</v>
      </c>
      <c r="H126">
        <v>393.61230415973375</v>
      </c>
      <c r="I126" t="s">
        <v>293</v>
      </c>
      <c r="J126" t="s">
        <v>293</v>
      </c>
      <c r="K126" t="s">
        <v>293</v>
      </c>
      <c r="L126" t="s">
        <v>293</v>
      </c>
      <c r="M126" t="s">
        <v>293</v>
      </c>
      <c r="N126" t="s">
        <v>293</v>
      </c>
      <c r="O126" t="s">
        <v>293</v>
      </c>
      <c r="P126" t="s">
        <v>293</v>
      </c>
      <c r="Q126" t="s">
        <v>293</v>
      </c>
      <c r="S126" t="str">
        <f t="shared" si="1"/>
        <v>SWTC_CD0022_PR19RR1</v>
      </c>
    </row>
    <row r="127" spans="1:19" x14ac:dyDescent="0.3">
      <c r="A127" t="s">
        <v>270</v>
      </c>
      <c r="B127" t="s">
        <v>286</v>
      </c>
      <c r="C127" t="s">
        <v>287</v>
      </c>
      <c r="D127" t="s">
        <v>15</v>
      </c>
      <c r="E127" t="s">
        <v>147</v>
      </c>
      <c r="F127" t="s">
        <v>293</v>
      </c>
      <c r="G127" t="s">
        <v>293</v>
      </c>
      <c r="H127" t="s">
        <v>293</v>
      </c>
      <c r="I127" t="s">
        <v>293</v>
      </c>
      <c r="J127" t="s">
        <v>293</v>
      </c>
      <c r="K127" t="s">
        <v>293</v>
      </c>
      <c r="L127" t="s">
        <v>293</v>
      </c>
      <c r="M127" t="s">
        <v>293</v>
      </c>
      <c r="N127" t="s">
        <v>293</v>
      </c>
      <c r="O127" t="s">
        <v>293</v>
      </c>
      <c r="P127" t="s">
        <v>293</v>
      </c>
      <c r="Q127" t="s">
        <v>293</v>
      </c>
      <c r="S127" t="str">
        <f t="shared" si="1"/>
        <v>SWTC_BM4017_PR19CA009</v>
      </c>
    </row>
    <row r="128" spans="1:19" x14ac:dyDescent="0.3">
      <c r="A128" t="s">
        <v>270</v>
      </c>
      <c r="B128" t="s">
        <v>289</v>
      </c>
      <c r="C128" t="s">
        <v>290</v>
      </c>
      <c r="D128" t="s">
        <v>146</v>
      </c>
      <c r="E128" t="s">
        <v>147</v>
      </c>
      <c r="F128" t="s">
        <v>314</v>
      </c>
      <c r="G128" t="s">
        <v>314</v>
      </c>
      <c r="H128" t="s">
        <v>314</v>
      </c>
      <c r="I128" t="s">
        <v>314</v>
      </c>
      <c r="J128" t="s">
        <v>314</v>
      </c>
      <c r="K128" t="s">
        <v>314</v>
      </c>
      <c r="L128" t="s">
        <v>314</v>
      </c>
      <c r="M128" t="s">
        <v>314</v>
      </c>
      <c r="N128" t="s">
        <v>314</v>
      </c>
      <c r="O128" t="s">
        <v>314</v>
      </c>
      <c r="P128" t="s">
        <v>314</v>
      </c>
      <c r="Q128" t="s">
        <v>314</v>
      </c>
      <c r="S128" t="str">
        <f t="shared" si="1"/>
        <v>SWTPR19QA_CA009_OUT_1</v>
      </c>
    </row>
    <row r="129" spans="1:19" x14ac:dyDescent="0.3">
      <c r="A129" t="s">
        <v>270</v>
      </c>
      <c r="B129" t="s">
        <v>291</v>
      </c>
      <c r="C129" t="s">
        <v>292</v>
      </c>
      <c r="D129" t="s">
        <v>146</v>
      </c>
      <c r="E129" t="s">
        <v>147</v>
      </c>
      <c r="F129" t="s">
        <v>315</v>
      </c>
      <c r="G129" t="s">
        <v>315</v>
      </c>
      <c r="H129" t="s">
        <v>315</v>
      </c>
      <c r="I129" t="s">
        <v>315</v>
      </c>
      <c r="J129" t="s">
        <v>315</v>
      </c>
      <c r="K129" t="s">
        <v>315</v>
      </c>
      <c r="L129" t="s">
        <v>315</v>
      </c>
      <c r="M129" t="s">
        <v>315</v>
      </c>
      <c r="N129" t="s">
        <v>315</v>
      </c>
      <c r="O129" t="s">
        <v>315</v>
      </c>
      <c r="P129" t="s">
        <v>315</v>
      </c>
      <c r="Q129" t="s">
        <v>315</v>
      </c>
      <c r="S129" t="str">
        <f t="shared" si="1"/>
        <v>SWTPR19QA_CA009_OUT_2</v>
      </c>
    </row>
    <row r="130" spans="1:19" x14ac:dyDescent="0.3">
      <c r="A130" t="s">
        <v>34</v>
      </c>
      <c r="B130" t="s">
        <v>244</v>
      </c>
      <c r="C130" t="s">
        <v>245</v>
      </c>
      <c r="D130" t="s">
        <v>15</v>
      </c>
      <c r="E130" t="s">
        <v>147</v>
      </c>
      <c r="F130" t="s">
        <v>293</v>
      </c>
      <c r="G130" t="s">
        <v>293</v>
      </c>
      <c r="H130" t="s">
        <v>293</v>
      </c>
      <c r="I130">
        <v>1.8525506770619613</v>
      </c>
      <c r="J130">
        <v>1.9989999999999999</v>
      </c>
      <c r="K130">
        <v>2.0934722831193229</v>
      </c>
      <c r="L130">
        <v>1.1691432950191607</v>
      </c>
      <c r="M130">
        <v>1.2079552350908855</v>
      </c>
      <c r="N130">
        <v>0.92749609662689914</v>
      </c>
      <c r="O130">
        <v>0.81988794223826722</v>
      </c>
      <c r="P130">
        <v>0.64274076171598493</v>
      </c>
      <c r="Q130">
        <v>0.58407619708536096</v>
      </c>
      <c r="S130" t="str">
        <f t="shared" si="1"/>
        <v>SWBC_DEP_PR19CA009</v>
      </c>
    </row>
    <row r="131" spans="1:19" x14ac:dyDescent="0.3">
      <c r="A131" t="s">
        <v>34</v>
      </c>
      <c r="B131" t="s">
        <v>246</v>
      </c>
      <c r="C131" t="s">
        <v>247</v>
      </c>
      <c r="D131" t="s">
        <v>15</v>
      </c>
      <c r="E131" t="s">
        <v>147</v>
      </c>
      <c r="F131" t="s">
        <v>293</v>
      </c>
      <c r="G131" t="s">
        <v>293</v>
      </c>
      <c r="H131" t="s">
        <v>293</v>
      </c>
      <c r="I131">
        <v>34.172949658591293</v>
      </c>
      <c r="J131">
        <v>32.330674320060425</v>
      </c>
      <c r="K131">
        <v>28.418371313483533</v>
      </c>
      <c r="L131">
        <v>30.13227264367826</v>
      </c>
      <c r="M131">
        <v>30.771861198738261</v>
      </c>
      <c r="N131">
        <v>29.70290131094427</v>
      </c>
      <c r="O131">
        <v>28.827007220216611</v>
      </c>
      <c r="P131">
        <v>27.922925102647611</v>
      </c>
      <c r="Q131">
        <v>27.155637751561578</v>
      </c>
      <c r="S131" t="str">
        <f t="shared" si="1"/>
        <v>SWBC_STC_TR_PR19CA009</v>
      </c>
    </row>
    <row r="132" spans="1:19" x14ac:dyDescent="0.3">
      <c r="A132" t="s">
        <v>34</v>
      </c>
      <c r="B132" t="s">
        <v>248</v>
      </c>
      <c r="C132" t="s">
        <v>249</v>
      </c>
      <c r="D132" t="s">
        <v>15</v>
      </c>
      <c r="E132" t="s">
        <v>147</v>
      </c>
      <c r="F132" t="s">
        <v>293</v>
      </c>
      <c r="G132" t="s">
        <v>293</v>
      </c>
      <c r="H132" t="s">
        <v>293</v>
      </c>
      <c r="I132">
        <v>19.739475879354639</v>
      </c>
      <c r="J132">
        <v>18.736674320060423</v>
      </c>
      <c r="K132">
        <v>18.146844536158135</v>
      </c>
      <c r="L132">
        <v>17.162448582375539</v>
      </c>
      <c r="M132">
        <v>18.31940198287522</v>
      </c>
      <c r="N132">
        <v>17.874793194874123</v>
      </c>
      <c r="O132">
        <v>17.596890108303249</v>
      </c>
      <c r="P132">
        <v>17.269895370239283</v>
      </c>
      <c r="Q132">
        <v>17.057107841776649</v>
      </c>
      <c r="S132" t="str">
        <f t="shared" si="1"/>
        <v>SWBC_SOC_TR_PR19CA009</v>
      </c>
    </row>
    <row r="133" spans="1:19" x14ac:dyDescent="0.3">
      <c r="A133" t="s">
        <v>34</v>
      </c>
      <c r="B133" t="s">
        <v>250</v>
      </c>
      <c r="C133" t="s">
        <v>251</v>
      </c>
      <c r="D133" t="s">
        <v>15</v>
      </c>
      <c r="E133" t="s">
        <v>147</v>
      </c>
      <c r="F133" t="s">
        <v>293</v>
      </c>
      <c r="G133" t="s">
        <v>293</v>
      </c>
      <c r="H133" t="s">
        <v>293</v>
      </c>
      <c r="I133">
        <v>14.433473779236653</v>
      </c>
      <c r="J133">
        <v>13.594000000000001</v>
      </c>
      <c r="K133">
        <v>10.271526777325398</v>
      </c>
      <c r="L133">
        <v>12.969824061302722</v>
      </c>
      <c r="M133">
        <v>12.452459215863039</v>
      </c>
      <c r="N133">
        <v>11.828108116070149</v>
      </c>
      <c r="O133">
        <v>11.23011711191336</v>
      </c>
      <c r="P133">
        <v>10.65302973240833</v>
      </c>
      <c r="Q133">
        <v>10.098529909784931</v>
      </c>
      <c r="S133" t="str">
        <f t="shared" ref="S133:S196" si="2">A133&amp;B133</f>
        <v>SWBC_DC_T_PR19CA009</v>
      </c>
    </row>
    <row r="134" spans="1:19" x14ac:dyDescent="0.3">
      <c r="A134" t="s">
        <v>34</v>
      </c>
      <c r="B134" t="s">
        <v>252</v>
      </c>
      <c r="C134" t="s">
        <v>253</v>
      </c>
      <c r="D134" t="s">
        <v>13</v>
      </c>
      <c r="E134" t="s">
        <v>147</v>
      </c>
      <c r="F134" t="s">
        <v>293</v>
      </c>
      <c r="G134" t="s">
        <v>293</v>
      </c>
      <c r="H134" t="s">
        <v>293</v>
      </c>
      <c r="I134">
        <v>939.37899999999991</v>
      </c>
      <c r="J134">
        <v>952.62099999999987</v>
      </c>
      <c r="K134">
        <v>960.2829999999999</v>
      </c>
      <c r="L134">
        <v>960.51299999999992</v>
      </c>
      <c r="M134">
        <v>971.17900000000009</v>
      </c>
      <c r="N134">
        <v>983.24900000000002</v>
      </c>
      <c r="O134">
        <v>992.06400000000008</v>
      </c>
      <c r="P134">
        <v>1001.0229999999999</v>
      </c>
      <c r="Q134">
        <v>1009.764</v>
      </c>
      <c r="S134" t="str">
        <f t="shared" si="2"/>
        <v>SWBC_HH_T_PR19CA009</v>
      </c>
    </row>
    <row r="135" spans="1:19" x14ac:dyDescent="0.3">
      <c r="A135" t="s">
        <v>34</v>
      </c>
      <c r="B135" t="s">
        <v>254</v>
      </c>
      <c r="C135" t="s">
        <v>255</v>
      </c>
      <c r="D135" t="s">
        <v>12</v>
      </c>
      <c r="E135" t="s">
        <v>147</v>
      </c>
      <c r="F135" t="s">
        <v>293</v>
      </c>
      <c r="G135" t="s">
        <v>293</v>
      </c>
      <c r="H135" t="s">
        <v>293</v>
      </c>
      <c r="I135">
        <v>0.78863802575957098</v>
      </c>
      <c r="J135">
        <v>0.79052739756944268</v>
      </c>
      <c r="K135">
        <v>0.80042445820659125</v>
      </c>
      <c r="L135">
        <v>0.80659605856453798</v>
      </c>
      <c r="M135">
        <v>0.81474475869021046</v>
      </c>
      <c r="N135">
        <v>0.82346180875851394</v>
      </c>
      <c r="O135">
        <v>0.83187375008063991</v>
      </c>
      <c r="P135">
        <v>0.83942027306065914</v>
      </c>
      <c r="Q135">
        <v>0.846145237897172</v>
      </c>
      <c r="S135" t="str">
        <f t="shared" si="2"/>
        <v>SWBC_HHM_HH_PR19CA009</v>
      </c>
    </row>
    <row r="136" spans="1:19" x14ac:dyDescent="0.3">
      <c r="A136" t="s">
        <v>34</v>
      </c>
      <c r="B136" t="s">
        <v>256</v>
      </c>
      <c r="C136" t="s">
        <v>257</v>
      </c>
      <c r="D136" t="s">
        <v>12</v>
      </c>
      <c r="E136" t="s">
        <v>147</v>
      </c>
      <c r="F136" t="s">
        <v>293</v>
      </c>
      <c r="G136" t="s">
        <v>293</v>
      </c>
      <c r="H136" t="s">
        <v>293</v>
      </c>
      <c r="I136">
        <v>0.718424618817325</v>
      </c>
      <c r="J136">
        <v>0.72183061259409564</v>
      </c>
      <c r="K136">
        <v>0.72704921361723573</v>
      </c>
      <c r="L136">
        <v>0.7222817390290398</v>
      </c>
      <c r="M136">
        <v>0.72282967403537346</v>
      </c>
      <c r="N136">
        <v>0.72343119596358596</v>
      </c>
      <c r="O136">
        <v>0.72387366137668541</v>
      </c>
      <c r="P136">
        <v>0.72431802266281597</v>
      </c>
      <c r="Q136">
        <v>0.72473667114296025</v>
      </c>
      <c r="S136" t="str">
        <f t="shared" si="2"/>
        <v>SWBC_HHDU_HH_PR19CA009</v>
      </c>
    </row>
    <row r="137" spans="1:19" x14ac:dyDescent="0.3">
      <c r="A137" t="s">
        <v>34</v>
      </c>
      <c r="B137" t="s">
        <v>258</v>
      </c>
      <c r="C137" t="s">
        <v>259</v>
      </c>
      <c r="D137" t="s">
        <v>228</v>
      </c>
      <c r="E137" t="s">
        <v>147</v>
      </c>
      <c r="F137" t="s">
        <v>293</v>
      </c>
      <c r="G137" t="s">
        <v>293</v>
      </c>
      <c r="H137" t="s">
        <v>293</v>
      </c>
      <c r="I137">
        <v>452.23181310497785</v>
      </c>
      <c r="J137">
        <v>441.32031521455025</v>
      </c>
      <c r="K137">
        <v>435.93199204290698</v>
      </c>
      <c r="L137">
        <v>413.92825376883172</v>
      </c>
      <c r="M137">
        <v>407.15028388362612</v>
      </c>
      <c r="N137">
        <v>402.43710902083609</v>
      </c>
      <c r="O137">
        <v>394.19595505413986</v>
      </c>
      <c r="P137">
        <v>387.29107740497773</v>
      </c>
      <c r="Q137">
        <v>379.47975585893613</v>
      </c>
      <c r="S137" t="str">
        <f t="shared" si="2"/>
        <v>SWBC_REV_HH_PR19CA009</v>
      </c>
    </row>
    <row r="138" spans="1:19" x14ac:dyDescent="0.3">
      <c r="A138" t="s">
        <v>34</v>
      </c>
      <c r="B138" t="s">
        <v>260</v>
      </c>
      <c r="C138" t="s">
        <v>261</v>
      </c>
      <c r="D138" t="s">
        <v>15</v>
      </c>
      <c r="E138" t="s">
        <v>147</v>
      </c>
      <c r="F138" t="s">
        <v>293</v>
      </c>
      <c r="G138" t="s">
        <v>293</v>
      </c>
      <c r="H138" t="s">
        <v>293</v>
      </c>
      <c r="I138">
        <v>33.169999999999888</v>
      </c>
      <c r="J138">
        <v>32.347999999999999</v>
      </c>
      <c r="K138">
        <v>29.136999999999997</v>
      </c>
      <c r="L138">
        <v>31.442999999999998</v>
      </c>
      <c r="M138">
        <v>32.76</v>
      </c>
      <c r="N138">
        <v>32.249000000000002</v>
      </c>
      <c r="O138">
        <v>31.925000000000001</v>
      </c>
      <c r="P138">
        <v>31.540000000000003</v>
      </c>
      <c r="Q138">
        <v>31.290000000000003</v>
      </c>
      <c r="S138" t="str">
        <f t="shared" si="2"/>
        <v>SWBC_TC_TRN_PR19CA009</v>
      </c>
    </row>
    <row r="139" spans="1:19" x14ac:dyDescent="0.3">
      <c r="A139" t="s">
        <v>34</v>
      </c>
      <c r="B139" t="s">
        <v>262</v>
      </c>
      <c r="C139" t="s">
        <v>263</v>
      </c>
      <c r="D139" t="s">
        <v>15</v>
      </c>
      <c r="E139" t="s">
        <v>147</v>
      </c>
      <c r="F139" t="s">
        <v>293</v>
      </c>
      <c r="G139" t="s">
        <v>293</v>
      </c>
      <c r="H139" t="s">
        <v>293</v>
      </c>
      <c r="I139">
        <v>34.043826015592828</v>
      </c>
      <c r="J139">
        <v>32.347999999999999</v>
      </c>
      <c r="K139">
        <v>28.530169276542427</v>
      </c>
      <c r="L139">
        <v>30.132272643678252</v>
      </c>
      <c r="M139">
        <v>30.771861198738261</v>
      </c>
      <c r="N139">
        <v>29.702901310944267</v>
      </c>
      <c r="O139">
        <v>28.827007220216611</v>
      </c>
      <c r="P139">
        <v>27.922925102647614</v>
      </c>
      <c r="Q139">
        <v>27.155637751561581</v>
      </c>
      <c r="S139" t="str">
        <f t="shared" si="2"/>
        <v>SWBC_TC_TRR_PR19CA009</v>
      </c>
    </row>
    <row r="140" spans="1:19" x14ac:dyDescent="0.3">
      <c r="A140" t="s">
        <v>34</v>
      </c>
      <c r="B140" t="s">
        <v>264</v>
      </c>
      <c r="C140" t="s">
        <v>265</v>
      </c>
      <c r="D140" t="s">
        <v>15</v>
      </c>
      <c r="E140" t="s">
        <v>147</v>
      </c>
      <c r="F140" t="s">
        <v>293</v>
      </c>
      <c r="G140" t="s">
        <v>293</v>
      </c>
      <c r="H140" t="s">
        <v>293</v>
      </c>
      <c r="I140">
        <v>19.610352236356174</v>
      </c>
      <c r="J140">
        <v>18.753999999999998</v>
      </c>
      <c r="K140">
        <v>18.258642499217032</v>
      </c>
      <c r="L140">
        <v>17.162448582375532</v>
      </c>
      <c r="M140">
        <v>18.319401982875224</v>
      </c>
      <c r="N140">
        <v>17.874793194874119</v>
      </c>
      <c r="O140">
        <v>17.596890108303253</v>
      </c>
      <c r="P140">
        <v>17.269895370239283</v>
      </c>
      <c r="Q140">
        <v>17.057107841776649</v>
      </c>
      <c r="S140" t="str">
        <f t="shared" si="2"/>
        <v>SWBC_OC_TR_PR19CA009</v>
      </c>
    </row>
    <row r="141" spans="1:19" x14ac:dyDescent="0.3">
      <c r="A141" t="s">
        <v>34</v>
      </c>
      <c r="B141" t="s">
        <v>266</v>
      </c>
      <c r="C141" t="s">
        <v>267</v>
      </c>
      <c r="D141" t="s">
        <v>16</v>
      </c>
      <c r="E141" t="s">
        <v>147</v>
      </c>
      <c r="F141" t="s">
        <v>293</v>
      </c>
      <c r="G141" t="s">
        <v>293</v>
      </c>
      <c r="H141" t="s">
        <v>293</v>
      </c>
      <c r="I141">
        <v>1.0263438654082888</v>
      </c>
      <c r="J141">
        <v>1</v>
      </c>
      <c r="K141">
        <v>0.97917319135609127</v>
      </c>
      <c r="L141">
        <v>0.95831417624521376</v>
      </c>
      <c r="M141">
        <v>0.93931200240348789</v>
      </c>
      <c r="N141">
        <v>0.92104875533952257</v>
      </c>
      <c r="O141">
        <v>0.90296028880866441</v>
      </c>
      <c r="P141">
        <v>0.88531785360328508</v>
      </c>
      <c r="Q141">
        <v>0.86786953504511277</v>
      </c>
      <c r="S141" t="str">
        <f t="shared" si="2"/>
        <v>SWBC_CD0014R_PR19</v>
      </c>
    </row>
    <row r="142" spans="1:19" x14ac:dyDescent="0.3">
      <c r="A142" t="s">
        <v>34</v>
      </c>
      <c r="B142" t="s">
        <v>268</v>
      </c>
      <c r="C142" t="s">
        <v>269</v>
      </c>
      <c r="D142" t="s">
        <v>15</v>
      </c>
      <c r="E142" t="s">
        <v>147</v>
      </c>
      <c r="F142" t="s">
        <v>293</v>
      </c>
      <c r="G142" t="s">
        <v>293</v>
      </c>
      <c r="H142" t="s">
        <v>293</v>
      </c>
      <c r="I142">
        <v>34.043826015592835</v>
      </c>
      <c r="J142">
        <v>32.347999999999999</v>
      </c>
      <c r="K142">
        <v>28.533106796116499</v>
      </c>
      <c r="L142">
        <v>30.752301915708905</v>
      </c>
      <c r="M142">
        <v>31.376778128286105</v>
      </c>
      <c r="N142">
        <v>30.300661953159615</v>
      </c>
      <c r="O142">
        <v>28.827007220216611</v>
      </c>
      <c r="P142">
        <v>27.922925102647614</v>
      </c>
      <c r="Q142">
        <v>27.155637751561578</v>
      </c>
      <c r="S142" t="str">
        <f t="shared" si="2"/>
        <v>SWBC_BPTOTEX_PR19CA009</v>
      </c>
    </row>
    <row r="143" spans="1:19" x14ac:dyDescent="0.3">
      <c r="A143" t="s">
        <v>34</v>
      </c>
      <c r="B143" t="s">
        <v>273</v>
      </c>
      <c r="C143" t="s">
        <v>274</v>
      </c>
      <c r="D143" t="s">
        <v>12</v>
      </c>
      <c r="E143" t="s">
        <v>147</v>
      </c>
      <c r="F143" t="s">
        <v>293</v>
      </c>
      <c r="G143" t="s">
        <v>293</v>
      </c>
      <c r="H143" t="s">
        <v>293</v>
      </c>
      <c r="I143">
        <v>0.20270077658774571</v>
      </c>
      <c r="J143">
        <v>0.20608964061736887</v>
      </c>
      <c r="K143">
        <v>0.19679815041253601</v>
      </c>
      <c r="L143" t="s">
        <v>293</v>
      </c>
      <c r="M143" t="s">
        <v>293</v>
      </c>
      <c r="N143" t="s">
        <v>293</v>
      </c>
      <c r="O143" t="s">
        <v>293</v>
      </c>
      <c r="P143" t="s">
        <v>293</v>
      </c>
      <c r="Q143" t="s">
        <v>293</v>
      </c>
      <c r="S143" t="str">
        <f t="shared" si="2"/>
        <v>SWBC_CD0018_PR19RR1</v>
      </c>
    </row>
    <row r="144" spans="1:19" x14ac:dyDescent="0.3">
      <c r="A144" t="s">
        <v>34</v>
      </c>
      <c r="B144" t="s">
        <v>275</v>
      </c>
      <c r="C144" t="s">
        <v>154</v>
      </c>
      <c r="D144" t="s">
        <v>12</v>
      </c>
      <c r="E144" t="s">
        <v>147</v>
      </c>
      <c r="F144" t="s">
        <v>293</v>
      </c>
      <c r="G144" t="s">
        <v>293</v>
      </c>
      <c r="H144" t="s">
        <v>293</v>
      </c>
      <c r="I144">
        <v>0.10516150912811387</v>
      </c>
      <c r="J144">
        <v>0.10426548733325891</v>
      </c>
      <c r="K144">
        <v>0.10426548733325891</v>
      </c>
      <c r="L144" t="s">
        <v>293</v>
      </c>
      <c r="M144" t="s">
        <v>293</v>
      </c>
      <c r="N144" t="s">
        <v>293</v>
      </c>
      <c r="O144" t="s">
        <v>293</v>
      </c>
      <c r="P144" t="s">
        <v>293</v>
      </c>
      <c r="Q144" t="s">
        <v>293</v>
      </c>
      <c r="S144" t="str">
        <f t="shared" si="2"/>
        <v>SWBC_CD0019_PR19RR1</v>
      </c>
    </row>
    <row r="145" spans="1:19" x14ac:dyDescent="0.3">
      <c r="A145" t="s">
        <v>34</v>
      </c>
      <c r="B145" t="s">
        <v>276</v>
      </c>
      <c r="C145" t="s">
        <v>153</v>
      </c>
      <c r="D145" t="s">
        <v>12</v>
      </c>
      <c r="E145" t="s">
        <v>147</v>
      </c>
      <c r="F145" t="s">
        <v>293</v>
      </c>
      <c r="G145" t="s">
        <v>293</v>
      </c>
      <c r="H145" t="s">
        <v>293</v>
      </c>
      <c r="I145" t="s">
        <v>293</v>
      </c>
      <c r="J145" t="s">
        <v>293</v>
      </c>
      <c r="K145" t="s">
        <v>293</v>
      </c>
      <c r="L145" t="s">
        <v>293</v>
      </c>
      <c r="M145" t="s">
        <v>293</v>
      </c>
      <c r="N145" t="s">
        <v>293</v>
      </c>
      <c r="O145" t="s">
        <v>293</v>
      </c>
      <c r="P145" t="s">
        <v>293</v>
      </c>
      <c r="Q145" t="s">
        <v>293</v>
      </c>
      <c r="S145" t="str">
        <f t="shared" si="2"/>
        <v>SWBC_CD0020_PR19RR1</v>
      </c>
    </row>
    <row r="146" spans="1:19" x14ac:dyDescent="0.3">
      <c r="A146" t="s">
        <v>34</v>
      </c>
      <c r="B146" t="s">
        <v>277</v>
      </c>
      <c r="C146" t="s">
        <v>278</v>
      </c>
      <c r="D146" t="s">
        <v>12</v>
      </c>
      <c r="E146" t="s">
        <v>147</v>
      </c>
      <c r="F146" t="s">
        <v>293</v>
      </c>
      <c r="G146" t="s">
        <v>293</v>
      </c>
      <c r="H146" t="s">
        <v>293</v>
      </c>
      <c r="I146">
        <v>0.13022838442108434</v>
      </c>
      <c r="J146">
        <v>0.13016011868367083</v>
      </c>
      <c r="K146">
        <v>0.13016011868367083</v>
      </c>
      <c r="L146" t="s">
        <v>293</v>
      </c>
      <c r="M146" t="s">
        <v>293</v>
      </c>
      <c r="N146" t="s">
        <v>293</v>
      </c>
      <c r="O146" t="s">
        <v>293</v>
      </c>
      <c r="P146" t="s">
        <v>293</v>
      </c>
      <c r="Q146" t="s">
        <v>293</v>
      </c>
      <c r="S146" t="str">
        <f t="shared" si="2"/>
        <v>SWBC_CD0021_PR19RR1</v>
      </c>
    </row>
    <row r="147" spans="1:19" x14ac:dyDescent="0.3">
      <c r="A147" t="s">
        <v>34</v>
      </c>
      <c r="B147" t="s">
        <v>279</v>
      </c>
      <c r="C147" t="s">
        <v>280</v>
      </c>
      <c r="D147" t="s">
        <v>15</v>
      </c>
      <c r="E147" t="s">
        <v>147</v>
      </c>
      <c r="F147" t="s">
        <v>293</v>
      </c>
      <c r="G147" t="s">
        <v>293</v>
      </c>
      <c r="H147" t="s">
        <v>293</v>
      </c>
      <c r="I147">
        <v>424.81706836274094</v>
      </c>
      <c r="J147">
        <v>420.411</v>
      </c>
      <c r="K147">
        <v>418.61808111493878</v>
      </c>
      <c r="L147">
        <v>397.58346881226186</v>
      </c>
      <c r="M147">
        <v>395.41580555181616</v>
      </c>
      <c r="N147">
        <v>395.69588500762808</v>
      </c>
      <c r="O147">
        <v>391.06761595483027</v>
      </c>
      <c r="P147">
        <v>387.68727617716297</v>
      </c>
      <c r="Q147">
        <v>383.18499619514284</v>
      </c>
      <c r="S147" t="str">
        <f t="shared" si="2"/>
        <v>SWBC_CD0022_PR19RR1</v>
      </c>
    </row>
    <row r="148" spans="1:19" x14ac:dyDescent="0.3">
      <c r="A148" t="s">
        <v>34</v>
      </c>
      <c r="B148" t="s">
        <v>286</v>
      </c>
      <c r="C148" t="s">
        <v>287</v>
      </c>
      <c r="D148" t="s">
        <v>15</v>
      </c>
      <c r="E148" t="s">
        <v>147</v>
      </c>
      <c r="F148" t="s">
        <v>293</v>
      </c>
      <c r="G148" t="s">
        <v>293</v>
      </c>
      <c r="H148" t="s">
        <v>293</v>
      </c>
      <c r="I148" t="s">
        <v>293</v>
      </c>
      <c r="J148">
        <v>1.2809999999999999</v>
      </c>
      <c r="K148">
        <v>1.0300901973066081</v>
      </c>
      <c r="L148">
        <v>0.57690513409961863</v>
      </c>
      <c r="M148">
        <v>0.69978744179059849</v>
      </c>
      <c r="N148">
        <v>0.86302268375313274</v>
      </c>
      <c r="O148">
        <v>0.52823176895306867</v>
      </c>
      <c r="P148">
        <v>0.44708551606965896</v>
      </c>
      <c r="Q148">
        <v>0.66044871616933087</v>
      </c>
      <c r="S148" t="str">
        <f t="shared" si="2"/>
        <v>SWBC_BM4017_PR19CA009</v>
      </c>
    </row>
    <row r="149" spans="1:19" x14ac:dyDescent="0.3">
      <c r="A149" t="s">
        <v>34</v>
      </c>
      <c r="B149" t="s">
        <v>289</v>
      </c>
      <c r="C149" t="s">
        <v>290</v>
      </c>
      <c r="D149" t="s">
        <v>146</v>
      </c>
      <c r="E149" t="s">
        <v>147</v>
      </c>
      <c r="F149" t="s">
        <v>314</v>
      </c>
      <c r="G149" t="s">
        <v>314</v>
      </c>
      <c r="H149" t="s">
        <v>314</v>
      </c>
      <c r="I149" t="s">
        <v>314</v>
      </c>
      <c r="J149" t="s">
        <v>314</v>
      </c>
      <c r="K149" t="s">
        <v>314</v>
      </c>
      <c r="L149" t="s">
        <v>314</v>
      </c>
      <c r="M149" t="s">
        <v>314</v>
      </c>
      <c r="N149" t="s">
        <v>314</v>
      </c>
      <c r="O149" t="s">
        <v>314</v>
      </c>
      <c r="P149" t="s">
        <v>314</v>
      </c>
      <c r="Q149" t="s">
        <v>314</v>
      </c>
      <c r="S149" t="str">
        <f t="shared" si="2"/>
        <v>SWBPR19QA_CA009_OUT_1</v>
      </c>
    </row>
    <row r="150" spans="1:19" x14ac:dyDescent="0.3">
      <c r="A150" t="s">
        <v>34</v>
      </c>
      <c r="B150" t="s">
        <v>291</v>
      </c>
      <c r="C150" t="s">
        <v>292</v>
      </c>
      <c r="D150" t="s">
        <v>146</v>
      </c>
      <c r="E150" t="s">
        <v>147</v>
      </c>
      <c r="F150" t="s">
        <v>315</v>
      </c>
      <c r="G150" t="s">
        <v>315</v>
      </c>
      <c r="H150" t="s">
        <v>315</v>
      </c>
      <c r="I150" t="s">
        <v>315</v>
      </c>
      <c r="J150" t="s">
        <v>315</v>
      </c>
      <c r="K150" t="s">
        <v>315</v>
      </c>
      <c r="L150" t="s">
        <v>315</v>
      </c>
      <c r="M150" t="s">
        <v>315</v>
      </c>
      <c r="N150" t="s">
        <v>315</v>
      </c>
      <c r="O150" t="s">
        <v>315</v>
      </c>
      <c r="P150" t="s">
        <v>315</v>
      </c>
      <c r="Q150" t="s">
        <v>315</v>
      </c>
      <c r="S150" t="str">
        <f t="shared" si="2"/>
        <v>SWBPR19QA_CA009_OUT_2</v>
      </c>
    </row>
    <row r="151" spans="1:19" x14ac:dyDescent="0.3">
      <c r="A151" t="s">
        <v>24</v>
      </c>
      <c r="B151" t="s">
        <v>244</v>
      </c>
      <c r="C151" t="s">
        <v>245</v>
      </c>
      <c r="D151" t="s">
        <v>15</v>
      </c>
      <c r="E151" t="s">
        <v>147</v>
      </c>
      <c r="F151">
        <v>9.0152807183908017</v>
      </c>
      <c r="G151">
        <v>7.7901919144313538</v>
      </c>
      <c r="H151">
        <v>1.3348750415973374</v>
      </c>
      <c r="I151">
        <v>1.8764679479048008</v>
      </c>
      <c r="J151">
        <v>3.2530000000000001</v>
      </c>
      <c r="K151">
        <v>4.8234071406201053</v>
      </c>
      <c r="L151">
        <v>13.538731654479216</v>
      </c>
      <c r="M151">
        <v>19.928267730099368</v>
      </c>
      <c r="N151">
        <v>21.288657720714962</v>
      </c>
      <c r="O151">
        <v>22.893058094915268</v>
      </c>
      <c r="P151">
        <v>24.174298394143776</v>
      </c>
      <c r="Q151">
        <v>21.434271999997598</v>
      </c>
      <c r="S151" t="str">
        <f t="shared" si="2"/>
        <v>TMSC_DEP_PR19CA009</v>
      </c>
    </row>
    <row r="152" spans="1:19" x14ac:dyDescent="0.3">
      <c r="A152" t="s">
        <v>24</v>
      </c>
      <c r="B152" t="s">
        <v>246</v>
      </c>
      <c r="C152" t="s">
        <v>247</v>
      </c>
      <c r="D152" t="s">
        <v>15</v>
      </c>
      <c r="E152" t="s">
        <v>147</v>
      </c>
      <c r="F152">
        <v>159.63315037935479</v>
      </c>
      <c r="G152">
        <v>175.2328179828439</v>
      </c>
      <c r="H152">
        <v>171.24899092927035</v>
      </c>
      <c r="I152">
        <v>170.47984449960975</v>
      </c>
      <c r="J152">
        <v>173.22920379382407</v>
      </c>
      <c r="K152">
        <v>176.22257601430633</v>
      </c>
      <c r="L152">
        <v>181.12834127124634</v>
      </c>
      <c r="M152">
        <v>164.57185956860209</v>
      </c>
      <c r="N152">
        <v>162.1097480677285</v>
      </c>
      <c r="O152">
        <v>157.60437058254442</v>
      </c>
      <c r="P152">
        <v>151.41786237075959</v>
      </c>
      <c r="Q152">
        <v>145.36782355066879</v>
      </c>
      <c r="S152" t="str">
        <f t="shared" si="2"/>
        <v>TMSC_STC_TR_PR19CA009</v>
      </c>
    </row>
    <row r="153" spans="1:19" x14ac:dyDescent="0.3">
      <c r="A153" t="s">
        <v>24</v>
      </c>
      <c r="B153" t="s">
        <v>248</v>
      </c>
      <c r="C153" t="s">
        <v>249</v>
      </c>
      <c r="D153" t="s">
        <v>15</v>
      </c>
      <c r="E153" t="s">
        <v>147</v>
      </c>
      <c r="F153">
        <v>81.312105754608368</v>
      </c>
      <c r="G153">
        <v>89.225982518650696</v>
      </c>
      <c r="H153">
        <v>91.717220551495501</v>
      </c>
      <c r="I153">
        <v>101.82359796698768</v>
      </c>
      <c r="J153">
        <v>108.68620379382408</v>
      </c>
      <c r="K153">
        <v>110.02655158586913</v>
      </c>
      <c r="L153">
        <v>115.67033594400408</v>
      </c>
      <c r="M153">
        <v>101.97644486311961</v>
      </c>
      <c r="N153">
        <v>97.285410700606846</v>
      </c>
      <c r="O153">
        <v>92.802456539575815</v>
      </c>
      <c r="P153">
        <v>89.369286006812416</v>
      </c>
      <c r="Q153">
        <v>85.847273922541319</v>
      </c>
      <c r="S153" t="str">
        <f t="shared" si="2"/>
        <v>TMSC_SOC_TR_PR19CA009</v>
      </c>
    </row>
    <row r="154" spans="1:19" x14ac:dyDescent="0.3">
      <c r="A154" t="s">
        <v>24</v>
      </c>
      <c r="B154" t="s">
        <v>250</v>
      </c>
      <c r="C154" t="s">
        <v>251</v>
      </c>
      <c r="D154" t="s">
        <v>15</v>
      </c>
      <c r="E154" t="s">
        <v>147</v>
      </c>
      <c r="F154">
        <v>78.32104462474642</v>
      </c>
      <c r="G154">
        <v>86.006835464193202</v>
      </c>
      <c r="H154">
        <v>79.531770377774848</v>
      </c>
      <c r="I154">
        <v>68.656246532622077</v>
      </c>
      <c r="J154">
        <v>64.542999999999992</v>
      </c>
      <c r="K154">
        <v>66.196024428437198</v>
      </c>
      <c r="L154">
        <v>65.458005327242262</v>
      </c>
      <c r="M154">
        <v>62.595414705482476</v>
      </c>
      <c r="N154">
        <v>64.824337367121657</v>
      </c>
      <c r="O154">
        <v>64.801914042968605</v>
      </c>
      <c r="P154">
        <v>62.04857636394717</v>
      </c>
      <c r="Q154">
        <v>59.520549628127469</v>
      </c>
      <c r="S154" t="str">
        <f t="shared" si="2"/>
        <v>TMSC_DC_T_PR19CA009</v>
      </c>
    </row>
    <row r="155" spans="1:19" x14ac:dyDescent="0.3">
      <c r="A155" t="s">
        <v>24</v>
      </c>
      <c r="B155" t="s">
        <v>252</v>
      </c>
      <c r="C155" t="s">
        <v>253</v>
      </c>
      <c r="D155" t="s">
        <v>13</v>
      </c>
      <c r="E155" t="s">
        <v>147</v>
      </c>
      <c r="F155">
        <v>5284.5969999999998</v>
      </c>
      <c r="G155">
        <v>5325.692</v>
      </c>
      <c r="H155">
        <v>5353.6824999999999</v>
      </c>
      <c r="I155">
        <v>5388.7960000000003</v>
      </c>
      <c r="J155">
        <v>5409.6409999999996</v>
      </c>
      <c r="K155">
        <v>5455.7869999999994</v>
      </c>
      <c r="L155">
        <v>5497.1550000000007</v>
      </c>
      <c r="M155">
        <v>5573.0430000000006</v>
      </c>
      <c r="N155">
        <v>5646.0590000000002</v>
      </c>
      <c r="O155">
        <v>5714.2910000000002</v>
      </c>
      <c r="P155">
        <v>5783.6919999999991</v>
      </c>
      <c r="Q155">
        <v>5841.9480000000003</v>
      </c>
      <c r="S155" t="str">
        <f t="shared" si="2"/>
        <v>TMSC_HH_T_PR19CA009</v>
      </c>
    </row>
    <row r="156" spans="1:19" x14ac:dyDescent="0.3">
      <c r="A156" t="s">
        <v>24</v>
      </c>
      <c r="B156" t="s">
        <v>254</v>
      </c>
      <c r="C156" t="s">
        <v>255</v>
      </c>
      <c r="D156" t="s">
        <v>12</v>
      </c>
      <c r="E156" t="s">
        <v>147</v>
      </c>
      <c r="F156">
        <v>0.3312061449529643</v>
      </c>
      <c r="G156">
        <v>0.34337678558955337</v>
      </c>
      <c r="H156">
        <v>0.40286419674681861</v>
      </c>
      <c r="I156">
        <v>0.42607383912844343</v>
      </c>
      <c r="J156">
        <v>0.44839149215262158</v>
      </c>
      <c r="K156">
        <v>0.47564210259674738</v>
      </c>
      <c r="L156">
        <v>0.51520159064097693</v>
      </c>
      <c r="M156">
        <v>0.54603257143359563</v>
      </c>
      <c r="N156">
        <v>0.5626173938316974</v>
      </c>
      <c r="O156">
        <v>0.58888250528368258</v>
      </c>
      <c r="P156">
        <v>0.6152767125220362</v>
      </c>
      <c r="Q156">
        <v>0.64512162723803768</v>
      </c>
      <c r="S156" t="str">
        <f t="shared" si="2"/>
        <v>TMSC_HHM_HH_PR19CA009</v>
      </c>
    </row>
    <row r="157" spans="1:19" x14ac:dyDescent="0.3">
      <c r="A157" t="s">
        <v>24</v>
      </c>
      <c r="B157" t="s">
        <v>256</v>
      </c>
      <c r="C157" t="s">
        <v>257</v>
      </c>
      <c r="D157" t="s">
        <v>12</v>
      </c>
      <c r="E157" t="s">
        <v>147</v>
      </c>
      <c r="F157">
        <v>0.63477858387309383</v>
      </c>
      <c r="G157">
        <v>0.6348215405622406</v>
      </c>
      <c r="H157">
        <v>0.63630398328627069</v>
      </c>
      <c r="I157">
        <v>0.63469001238866718</v>
      </c>
      <c r="J157">
        <v>0.63370896516053477</v>
      </c>
      <c r="K157">
        <v>0.63475626889392867</v>
      </c>
      <c r="L157">
        <v>0.63268690804607108</v>
      </c>
      <c r="M157">
        <v>0.63402740657123935</v>
      </c>
      <c r="N157">
        <v>0.6342744558638157</v>
      </c>
      <c r="O157">
        <v>0.63460768798788858</v>
      </c>
      <c r="P157">
        <v>0.63484500903575092</v>
      </c>
      <c r="Q157">
        <v>0.63507412253583895</v>
      </c>
      <c r="S157" t="str">
        <f t="shared" si="2"/>
        <v>TMSC_HHDU_HH_PR19CA009</v>
      </c>
    </row>
    <row r="158" spans="1:19" x14ac:dyDescent="0.3">
      <c r="A158" t="s">
        <v>24</v>
      </c>
      <c r="B158" t="s">
        <v>258</v>
      </c>
      <c r="C158" t="s">
        <v>259</v>
      </c>
      <c r="D158" t="s">
        <v>228</v>
      </c>
      <c r="E158" t="s">
        <v>147</v>
      </c>
      <c r="F158">
        <v>303.45869790903737</v>
      </c>
      <c r="G158">
        <v>313.27418655886817</v>
      </c>
      <c r="H158">
        <v>309.76459963242104</v>
      </c>
      <c r="I158">
        <v>304.11192393346738</v>
      </c>
      <c r="J158">
        <v>295.45361697754066</v>
      </c>
      <c r="K158">
        <v>296.8922001274172</v>
      </c>
      <c r="L158">
        <v>290.41240638364138</v>
      </c>
      <c r="M158">
        <v>288.47350455307452</v>
      </c>
      <c r="N158">
        <v>293.18504431080015</v>
      </c>
      <c r="O158">
        <v>295.20534717700724</v>
      </c>
      <c r="P158">
        <v>295.28443833561727</v>
      </c>
      <c r="Q158">
        <v>295.48130290185702</v>
      </c>
      <c r="S158" t="str">
        <f t="shared" si="2"/>
        <v>TMSC_REV_HH_PR19CA009</v>
      </c>
    </row>
    <row r="159" spans="1:19" x14ac:dyDescent="0.3">
      <c r="A159" t="s">
        <v>24</v>
      </c>
      <c r="B159" t="s">
        <v>260</v>
      </c>
      <c r="C159" t="s">
        <v>261</v>
      </c>
      <c r="D159" t="s">
        <v>15</v>
      </c>
      <c r="E159" t="s">
        <v>147</v>
      </c>
      <c r="F159">
        <v>155.12941000000004</v>
      </c>
      <c r="G159">
        <v>170.65444000000002</v>
      </c>
      <c r="H159">
        <v>161.37677749624697</v>
      </c>
      <c r="I159">
        <v>163.37030336999987</v>
      </c>
      <c r="J159">
        <v>171.8</v>
      </c>
      <c r="K159">
        <v>180.11499999999998</v>
      </c>
      <c r="L159">
        <v>188.53601972149212</v>
      </c>
      <c r="M159">
        <v>174.32015116590318</v>
      </c>
      <c r="N159">
        <v>175.1896135706688</v>
      </c>
      <c r="O159">
        <v>173.85460080885738</v>
      </c>
      <c r="P159">
        <v>170.37082004075225</v>
      </c>
      <c r="Q159">
        <v>166.83476847750413</v>
      </c>
      <c r="S159" t="str">
        <f t="shared" si="2"/>
        <v>TMSC_TC_TRN_PR19CA009</v>
      </c>
    </row>
    <row r="160" spans="1:19" x14ac:dyDescent="0.3">
      <c r="A160" t="s">
        <v>24</v>
      </c>
      <c r="B160" t="s">
        <v>262</v>
      </c>
      <c r="C160" t="s">
        <v>263</v>
      </c>
      <c r="D160" t="s">
        <v>15</v>
      </c>
      <c r="E160" t="s">
        <v>147</v>
      </c>
      <c r="F160">
        <v>163.96622730392156</v>
      </c>
      <c r="G160">
        <v>178.3408061034512</v>
      </c>
      <c r="H160">
        <v>167.90166217704362</v>
      </c>
      <c r="I160">
        <v>167.67410865369047</v>
      </c>
      <c r="J160">
        <v>171.8</v>
      </c>
      <c r="K160">
        <v>176.36377936110236</v>
      </c>
      <c r="L160">
        <v>181.12834127124634</v>
      </c>
      <c r="M160">
        <v>164.57185956860212</v>
      </c>
      <c r="N160">
        <v>162.10974806772848</v>
      </c>
      <c r="O160">
        <v>157.60437058254442</v>
      </c>
      <c r="P160">
        <v>151.41786237075962</v>
      </c>
      <c r="Q160">
        <v>145.36782355066879</v>
      </c>
      <c r="S160" t="str">
        <f t="shared" si="2"/>
        <v>TMSC_TC_TRR_PR19CA009</v>
      </c>
    </row>
    <row r="161" spans="1:19" x14ac:dyDescent="0.3">
      <c r="A161" t="s">
        <v>24</v>
      </c>
      <c r="B161" t="s">
        <v>264</v>
      </c>
      <c r="C161" t="s">
        <v>265</v>
      </c>
      <c r="D161" t="s">
        <v>15</v>
      </c>
      <c r="E161" t="s">
        <v>147</v>
      </c>
      <c r="F161">
        <v>85.645182679175136</v>
      </c>
      <c r="G161">
        <v>92.333970639257998</v>
      </c>
      <c r="H161">
        <v>88.369891799268771</v>
      </c>
      <c r="I161">
        <v>99.01786212106839</v>
      </c>
      <c r="J161">
        <v>107.25700000000002</v>
      </c>
      <c r="K161">
        <v>110.16775493266516</v>
      </c>
      <c r="L161">
        <v>115.67033594400408</v>
      </c>
      <c r="M161">
        <v>101.97644486311964</v>
      </c>
      <c r="N161">
        <v>97.285410700606818</v>
      </c>
      <c r="O161">
        <v>92.802456539575829</v>
      </c>
      <c r="P161">
        <v>89.369286006812445</v>
      </c>
      <c r="Q161">
        <v>85.847273922541333</v>
      </c>
      <c r="S161" t="str">
        <f t="shared" si="2"/>
        <v>TMSC_OC_TR_PR19CA009</v>
      </c>
    </row>
    <row r="162" spans="1:19" x14ac:dyDescent="0.3">
      <c r="A162" t="s">
        <v>24</v>
      </c>
      <c r="B162" t="s">
        <v>266</v>
      </c>
      <c r="C162" t="s">
        <v>267</v>
      </c>
      <c r="D162" t="s">
        <v>16</v>
      </c>
      <c r="E162" t="s">
        <v>147</v>
      </c>
      <c r="F162">
        <v>1.0569641649763351</v>
      </c>
      <c r="G162">
        <v>1.0450405281189941</v>
      </c>
      <c r="H162">
        <v>1.0404326123128118</v>
      </c>
      <c r="I162">
        <v>1.0263438654082888</v>
      </c>
      <c r="J162">
        <v>1</v>
      </c>
      <c r="K162">
        <v>0.97917319135609127</v>
      </c>
      <c r="L162">
        <v>0.96070947895692027</v>
      </c>
      <c r="M162">
        <v>0.94407822886739312</v>
      </c>
      <c r="N162">
        <v>0.92533880727087681</v>
      </c>
      <c r="O162">
        <v>0.90652976596127532</v>
      </c>
      <c r="P162">
        <v>0.88875467251106066</v>
      </c>
      <c r="Q162">
        <v>0.87132811030495771</v>
      </c>
      <c r="S162" t="str">
        <f t="shared" si="2"/>
        <v>TMSC_CD0014R_PR19</v>
      </c>
    </row>
    <row r="163" spans="1:19" x14ac:dyDescent="0.3">
      <c r="A163" t="s">
        <v>24</v>
      </c>
      <c r="B163" t="s">
        <v>268</v>
      </c>
      <c r="C163" t="s">
        <v>269</v>
      </c>
      <c r="D163" t="s">
        <v>15</v>
      </c>
      <c r="E163" t="s">
        <v>147</v>
      </c>
      <c r="F163">
        <v>163.96622730392156</v>
      </c>
      <c r="G163">
        <v>178.3408061034512</v>
      </c>
      <c r="H163">
        <v>167.90166217704362</v>
      </c>
      <c r="I163">
        <v>167.67410865369047</v>
      </c>
      <c r="J163">
        <v>171.8</v>
      </c>
      <c r="K163">
        <v>176.36377936110236</v>
      </c>
      <c r="L163">
        <v>183.10974790817022</v>
      </c>
      <c r="M163">
        <v>166.56408982969049</v>
      </c>
      <c r="N163">
        <v>164.11075467357938</v>
      </c>
      <c r="O163">
        <v>159.62292987792034</v>
      </c>
      <c r="P163">
        <v>153.45397435566053</v>
      </c>
      <c r="Q163">
        <v>147.41271188033221</v>
      </c>
      <c r="S163" t="str">
        <f t="shared" si="2"/>
        <v>TMSC_BPTOTEX_PR19CA009</v>
      </c>
    </row>
    <row r="164" spans="1:19" x14ac:dyDescent="0.3">
      <c r="A164" t="s">
        <v>24</v>
      </c>
      <c r="B164" t="s">
        <v>273</v>
      </c>
      <c r="C164" t="s">
        <v>274</v>
      </c>
      <c r="D164" t="s">
        <v>12</v>
      </c>
      <c r="E164" t="s">
        <v>147</v>
      </c>
      <c r="F164">
        <v>0.29852768459829521</v>
      </c>
      <c r="G164">
        <v>0.29654421262374769</v>
      </c>
      <c r="H164">
        <v>0.29328487629610506</v>
      </c>
      <c r="I164">
        <v>0.28645809427414354</v>
      </c>
      <c r="J164">
        <v>0.28316936092160905</v>
      </c>
      <c r="K164">
        <v>0.27525953592490654</v>
      </c>
      <c r="L164" t="s">
        <v>293</v>
      </c>
      <c r="M164" t="s">
        <v>293</v>
      </c>
      <c r="N164" t="s">
        <v>293</v>
      </c>
      <c r="O164" t="s">
        <v>293</v>
      </c>
      <c r="P164" t="s">
        <v>293</v>
      </c>
      <c r="Q164" t="s">
        <v>293</v>
      </c>
      <c r="S164" t="str">
        <f t="shared" si="2"/>
        <v>TMSC_CD0018_PR19RR1</v>
      </c>
    </row>
    <row r="165" spans="1:19" x14ac:dyDescent="0.3">
      <c r="A165" t="s">
        <v>24</v>
      </c>
      <c r="B165" t="s">
        <v>275</v>
      </c>
      <c r="C165" t="s">
        <v>154</v>
      </c>
      <c r="D165" t="s">
        <v>12</v>
      </c>
      <c r="E165" t="s">
        <v>147</v>
      </c>
      <c r="F165">
        <v>0.18286486919763711</v>
      </c>
      <c r="G165">
        <v>0.18286486919763711</v>
      </c>
      <c r="H165">
        <v>0.18286486919763711</v>
      </c>
      <c r="I165">
        <v>0.18286486919763711</v>
      </c>
      <c r="J165">
        <v>0.1852672355572135</v>
      </c>
      <c r="K165">
        <v>0.1852672355572135</v>
      </c>
      <c r="L165" t="s">
        <v>293</v>
      </c>
      <c r="M165" t="s">
        <v>293</v>
      </c>
      <c r="N165" t="s">
        <v>293</v>
      </c>
      <c r="O165" t="s">
        <v>293</v>
      </c>
      <c r="P165" t="s">
        <v>293</v>
      </c>
      <c r="Q165" t="s">
        <v>293</v>
      </c>
      <c r="S165" t="str">
        <f t="shared" si="2"/>
        <v>TMSC_CD0019_PR19RR1</v>
      </c>
    </row>
    <row r="166" spans="1:19" x14ac:dyDescent="0.3">
      <c r="A166" t="s">
        <v>24</v>
      </c>
      <c r="B166" t="s">
        <v>276</v>
      </c>
      <c r="C166" t="s">
        <v>153</v>
      </c>
      <c r="D166" t="s">
        <v>12</v>
      </c>
      <c r="E166" t="s">
        <v>147</v>
      </c>
      <c r="F166" t="s">
        <v>293</v>
      </c>
      <c r="G166" t="s">
        <v>293</v>
      </c>
      <c r="H166" t="s">
        <v>293</v>
      </c>
      <c r="I166" t="s">
        <v>293</v>
      </c>
      <c r="J166" t="s">
        <v>293</v>
      </c>
      <c r="K166" t="s">
        <v>293</v>
      </c>
      <c r="L166" t="s">
        <v>293</v>
      </c>
      <c r="M166" t="s">
        <v>293</v>
      </c>
      <c r="N166" t="s">
        <v>293</v>
      </c>
      <c r="O166" t="s">
        <v>293</v>
      </c>
      <c r="P166" t="s">
        <v>293</v>
      </c>
      <c r="Q166" t="s">
        <v>293</v>
      </c>
      <c r="S166" t="str">
        <f t="shared" si="2"/>
        <v>TMSC_CD0020_PR19RR1</v>
      </c>
    </row>
    <row r="167" spans="1:19" x14ac:dyDescent="0.3">
      <c r="A167" t="s">
        <v>24</v>
      </c>
      <c r="B167" t="s">
        <v>277</v>
      </c>
      <c r="C167" t="s">
        <v>278</v>
      </c>
      <c r="D167" t="s">
        <v>12</v>
      </c>
      <c r="E167" t="s">
        <v>147</v>
      </c>
      <c r="F167">
        <v>0.1417056848608535</v>
      </c>
      <c r="G167">
        <v>0.14195670175940153</v>
      </c>
      <c r="H167">
        <v>0.14212734879688826</v>
      </c>
      <c r="I167">
        <v>0.14221257091584327</v>
      </c>
      <c r="J167">
        <v>0.14233604293473404</v>
      </c>
      <c r="K167">
        <v>0.14233604293473404</v>
      </c>
      <c r="L167" t="s">
        <v>293</v>
      </c>
      <c r="M167" t="s">
        <v>293</v>
      </c>
      <c r="N167" t="s">
        <v>293</v>
      </c>
      <c r="O167" t="s">
        <v>293</v>
      </c>
      <c r="P167" t="s">
        <v>293</v>
      </c>
      <c r="Q167" t="s">
        <v>293</v>
      </c>
      <c r="S167" t="str">
        <f t="shared" si="2"/>
        <v>TMSC_CD0021_PR19RR1</v>
      </c>
    </row>
    <row r="168" spans="1:19" x14ac:dyDescent="0.3">
      <c r="A168" t="s">
        <v>24</v>
      </c>
      <c r="B168" t="s">
        <v>279</v>
      </c>
      <c r="C168" t="s">
        <v>280</v>
      </c>
      <c r="D168" t="s">
        <v>15</v>
      </c>
      <c r="E168" t="s">
        <v>147</v>
      </c>
      <c r="F168">
        <v>1603.6569245940052</v>
      </c>
      <c r="G168">
        <v>1668.4018291630719</v>
      </c>
      <c r="H168">
        <v>1658.3813161715987</v>
      </c>
      <c r="I168">
        <v>1638.7971192449734</v>
      </c>
      <c r="J168">
        <v>1598.298</v>
      </c>
      <c r="K168">
        <v>1619.7806058565609</v>
      </c>
      <c r="L168">
        <v>1596.4420118138664</v>
      </c>
      <c r="M168">
        <v>1607.6752452349799</v>
      </c>
      <c r="N168">
        <v>1655.3400580963921</v>
      </c>
      <c r="O168">
        <v>1686.889258525448</v>
      </c>
      <c r="P168">
        <v>1707.8342437262027</v>
      </c>
      <c r="Q168">
        <v>1726.1864065248981</v>
      </c>
      <c r="S168" t="str">
        <f t="shared" si="2"/>
        <v>TMSC_CD0022_PR19RR1</v>
      </c>
    </row>
    <row r="169" spans="1:19" x14ac:dyDescent="0.3">
      <c r="A169" t="s">
        <v>24</v>
      </c>
      <c r="B169" t="s">
        <v>286</v>
      </c>
      <c r="C169" t="s">
        <v>287</v>
      </c>
      <c r="D169" t="s">
        <v>15</v>
      </c>
      <c r="E169" t="s">
        <v>147</v>
      </c>
      <c r="F169" t="s">
        <v>293</v>
      </c>
      <c r="G169" t="s">
        <v>293</v>
      </c>
      <c r="H169" t="s">
        <v>293</v>
      </c>
      <c r="I169" t="s">
        <v>293</v>
      </c>
      <c r="J169">
        <v>38.892000000000003</v>
      </c>
      <c r="K169">
        <v>27.744872377074845</v>
      </c>
      <c r="L169">
        <v>23.646743162612569</v>
      </c>
      <c r="M169">
        <v>15.338390686315712</v>
      </c>
      <c r="N169">
        <v>15.518367558859506</v>
      </c>
      <c r="O169">
        <v>27.035321971199455</v>
      </c>
      <c r="P169">
        <v>5.2663252072068243</v>
      </c>
      <c r="Q169">
        <v>2.9467557697210491</v>
      </c>
      <c r="S169" t="str">
        <f t="shared" si="2"/>
        <v>TMSC_BM4017_PR19CA009</v>
      </c>
    </row>
    <row r="170" spans="1:19" x14ac:dyDescent="0.3">
      <c r="A170" t="s">
        <v>24</v>
      </c>
      <c r="B170" t="s">
        <v>289</v>
      </c>
      <c r="C170" t="s">
        <v>290</v>
      </c>
      <c r="D170" t="s">
        <v>146</v>
      </c>
      <c r="E170" t="s">
        <v>147</v>
      </c>
      <c r="F170" t="s">
        <v>314</v>
      </c>
      <c r="G170" t="s">
        <v>314</v>
      </c>
      <c r="H170" t="s">
        <v>314</v>
      </c>
      <c r="I170" t="s">
        <v>314</v>
      </c>
      <c r="J170" t="s">
        <v>314</v>
      </c>
      <c r="K170" t="s">
        <v>314</v>
      </c>
      <c r="L170" t="s">
        <v>314</v>
      </c>
      <c r="M170" t="s">
        <v>314</v>
      </c>
      <c r="N170" t="s">
        <v>314</v>
      </c>
      <c r="O170" t="s">
        <v>314</v>
      </c>
      <c r="P170" t="s">
        <v>314</v>
      </c>
      <c r="Q170" t="s">
        <v>314</v>
      </c>
      <c r="S170" t="str">
        <f t="shared" si="2"/>
        <v>TMSPR19QA_CA009_OUT_1</v>
      </c>
    </row>
    <row r="171" spans="1:19" x14ac:dyDescent="0.3">
      <c r="A171" t="s">
        <v>24</v>
      </c>
      <c r="B171" t="s">
        <v>291</v>
      </c>
      <c r="C171" t="s">
        <v>292</v>
      </c>
      <c r="D171" t="s">
        <v>146</v>
      </c>
      <c r="E171" t="s">
        <v>147</v>
      </c>
      <c r="F171" t="s">
        <v>315</v>
      </c>
      <c r="G171" t="s">
        <v>315</v>
      </c>
      <c r="H171" t="s">
        <v>315</v>
      </c>
      <c r="I171" t="s">
        <v>315</v>
      </c>
      <c r="J171" t="s">
        <v>315</v>
      </c>
      <c r="K171" t="s">
        <v>315</v>
      </c>
      <c r="L171" t="s">
        <v>315</v>
      </c>
      <c r="M171" t="s">
        <v>315</v>
      </c>
      <c r="N171" t="s">
        <v>315</v>
      </c>
      <c r="O171" t="s">
        <v>315</v>
      </c>
      <c r="P171" t="s">
        <v>315</v>
      </c>
      <c r="Q171" t="s">
        <v>315</v>
      </c>
      <c r="S171" t="str">
        <f t="shared" si="2"/>
        <v>TMSPR19QA_CA009_OUT_2</v>
      </c>
    </row>
    <row r="172" spans="1:19" x14ac:dyDescent="0.3">
      <c r="A172" t="s">
        <v>40</v>
      </c>
      <c r="B172" t="s">
        <v>244</v>
      </c>
      <c r="C172" t="s">
        <v>245</v>
      </c>
      <c r="D172" t="s">
        <v>15</v>
      </c>
      <c r="E172" t="s">
        <v>147</v>
      </c>
      <c r="F172">
        <v>1.6636615956727514</v>
      </c>
      <c r="G172">
        <v>2.9292486003175404</v>
      </c>
      <c r="H172">
        <v>3.1119339434276201</v>
      </c>
      <c r="I172">
        <v>3.2247724251128433</v>
      </c>
      <c r="J172">
        <v>5.4609999999999994</v>
      </c>
      <c r="K172">
        <v>5.4941407766990285</v>
      </c>
      <c r="L172">
        <v>3.3854609633248565</v>
      </c>
      <c r="M172">
        <v>4.0715832101583338</v>
      </c>
      <c r="N172">
        <v>4.253657397135604</v>
      </c>
      <c r="O172">
        <v>4.3641731234892909</v>
      </c>
      <c r="P172">
        <v>4.2213959747415144</v>
      </c>
      <c r="Q172">
        <v>4.3819690942525256</v>
      </c>
      <c r="S172" t="str">
        <f t="shared" si="2"/>
        <v>WSHC_DEP_PR19CA009</v>
      </c>
    </row>
    <row r="173" spans="1:19" x14ac:dyDescent="0.3">
      <c r="A173" t="s">
        <v>40</v>
      </c>
      <c r="B173" t="s">
        <v>246</v>
      </c>
      <c r="C173" t="s">
        <v>247</v>
      </c>
      <c r="D173" t="s">
        <v>15</v>
      </c>
      <c r="E173" t="s">
        <v>147</v>
      </c>
      <c r="F173">
        <v>61.083949245850661</v>
      </c>
      <c r="G173">
        <v>66.382287500382972</v>
      </c>
      <c r="H173">
        <v>65.354477360532186</v>
      </c>
      <c r="I173">
        <v>59.931931340211797</v>
      </c>
      <c r="J173">
        <v>57.12245955687164</v>
      </c>
      <c r="K173">
        <v>53.50989598029787</v>
      </c>
      <c r="L173">
        <v>51.965916488785155</v>
      </c>
      <c r="M173">
        <v>50.503884512514553</v>
      </c>
      <c r="N173">
        <v>49.598835725222514</v>
      </c>
      <c r="O173">
        <v>48.628972893190173</v>
      </c>
      <c r="P173">
        <v>46.597310863806442</v>
      </c>
      <c r="Q173">
        <v>45.536925778595077</v>
      </c>
      <c r="S173" t="str">
        <f t="shared" si="2"/>
        <v>WSHC_STC_TR_PR19CA009</v>
      </c>
    </row>
    <row r="174" spans="1:19" x14ac:dyDescent="0.3">
      <c r="A174" t="s">
        <v>40</v>
      </c>
      <c r="B174" t="s">
        <v>248</v>
      </c>
      <c r="C174" t="s">
        <v>249</v>
      </c>
      <c r="D174" t="s">
        <v>15</v>
      </c>
      <c r="E174" t="s">
        <v>147</v>
      </c>
      <c r="F174">
        <v>26.802373519008214</v>
      </c>
      <c r="G174">
        <v>30.841504179584106</v>
      </c>
      <c r="H174">
        <v>30.600906811447338</v>
      </c>
      <c r="I174">
        <v>27.654443116986521</v>
      </c>
      <c r="J174">
        <v>28.049459556871639</v>
      </c>
      <c r="K174">
        <v>27.24161677578801</v>
      </c>
      <c r="L174">
        <v>23.941344381013458</v>
      </c>
      <c r="M174">
        <v>24.14834611888584</v>
      </c>
      <c r="N174">
        <v>24.43494947852945</v>
      </c>
      <c r="O174">
        <v>23.952226858994194</v>
      </c>
      <c r="P174">
        <v>22.896408150740399</v>
      </c>
      <c r="Q174">
        <v>22.827142270630578</v>
      </c>
      <c r="S174" t="str">
        <f t="shared" si="2"/>
        <v>WSHC_SOC_TR_PR19CA009</v>
      </c>
    </row>
    <row r="175" spans="1:19" x14ac:dyDescent="0.3">
      <c r="A175" t="s">
        <v>40</v>
      </c>
      <c r="B175" t="s">
        <v>250</v>
      </c>
      <c r="C175" t="s">
        <v>251</v>
      </c>
      <c r="D175" t="s">
        <v>15</v>
      </c>
      <c r="E175" t="s">
        <v>147</v>
      </c>
      <c r="F175">
        <v>34.281575726842448</v>
      </c>
      <c r="G175">
        <v>35.540783320798866</v>
      </c>
      <c r="H175">
        <v>34.753570549084849</v>
      </c>
      <c r="I175">
        <v>32.277488223225276</v>
      </c>
      <c r="J175">
        <v>29.073</v>
      </c>
      <c r="K175">
        <v>26.268279204509859</v>
      </c>
      <c r="L175">
        <v>28.024572107771696</v>
      </c>
      <c r="M175">
        <v>26.355538393628713</v>
      </c>
      <c r="N175">
        <v>25.163886246693064</v>
      </c>
      <c r="O175">
        <v>24.676746034195979</v>
      </c>
      <c r="P175">
        <v>23.700902713066043</v>
      </c>
      <c r="Q175">
        <v>22.709783507964499</v>
      </c>
      <c r="S175" t="str">
        <f t="shared" si="2"/>
        <v>WSHC_DC_T_PR19CA009</v>
      </c>
    </row>
    <row r="176" spans="1:19" x14ac:dyDescent="0.3">
      <c r="A176" t="s">
        <v>40</v>
      </c>
      <c r="B176" t="s">
        <v>252</v>
      </c>
      <c r="C176" t="s">
        <v>253</v>
      </c>
      <c r="D176" t="s">
        <v>13</v>
      </c>
      <c r="E176" t="s">
        <v>147</v>
      </c>
      <c r="F176">
        <v>1353.7630000000001</v>
      </c>
      <c r="G176">
        <v>1348.4736118599203</v>
      </c>
      <c r="H176">
        <v>1364.067</v>
      </c>
      <c r="I176">
        <v>1380.325</v>
      </c>
      <c r="J176">
        <v>1392.4030000000002</v>
      </c>
      <c r="K176">
        <v>1401.9429999999998</v>
      </c>
      <c r="L176">
        <v>1412.5140000000001</v>
      </c>
      <c r="M176">
        <v>1425.0259999999998</v>
      </c>
      <c r="N176">
        <v>1436.252</v>
      </c>
      <c r="O176">
        <v>1447.66</v>
      </c>
      <c r="P176">
        <v>1459.134</v>
      </c>
      <c r="Q176">
        <v>1470.672</v>
      </c>
      <c r="S176" t="str">
        <f t="shared" si="2"/>
        <v>WSHC_HH_T_PR19CA009</v>
      </c>
    </row>
    <row r="177" spans="1:19" x14ac:dyDescent="0.3">
      <c r="A177" t="s">
        <v>40</v>
      </c>
      <c r="B177" t="s">
        <v>254</v>
      </c>
      <c r="C177" t="s">
        <v>255</v>
      </c>
      <c r="D177" t="s">
        <v>12</v>
      </c>
      <c r="E177" t="s">
        <v>147</v>
      </c>
      <c r="F177">
        <v>0.38124693908756557</v>
      </c>
      <c r="G177">
        <v>0.39860680283847827</v>
      </c>
      <c r="H177">
        <v>0.40715595348322337</v>
      </c>
      <c r="I177">
        <v>0.42657200297031495</v>
      </c>
      <c r="J177">
        <v>0.4422182371052058</v>
      </c>
      <c r="K177">
        <v>0.45499139408663558</v>
      </c>
      <c r="L177">
        <v>0.46593591284758934</v>
      </c>
      <c r="M177">
        <v>0.47853723370661316</v>
      </c>
      <c r="N177">
        <v>0.491263371608882</v>
      </c>
      <c r="O177">
        <v>0.50363690369285607</v>
      </c>
      <c r="P177">
        <v>0.51562502141681299</v>
      </c>
      <c r="Q177">
        <v>0.5272365286073305</v>
      </c>
      <c r="S177" t="str">
        <f t="shared" si="2"/>
        <v>WSHC_HHM_HH_PR19CA009</v>
      </c>
    </row>
    <row r="178" spans="1:19" x14ac:dyDescent="0.3">
      <c r="A178" t="s">
        <v>40</v>
      </c>
      <c r="B178" t="s">
        <v>256</v>
      </c>
      <c r="C178" t="s">
        <v>257</v>
      </c>
      <c r="D178" t="s">
        <v>12</v>
      </c>
      <c r="E178" t="s">
        <v>147</v>
      </c>
      <c r="F178">
        <v>0.84872758377943558</v>
      </c>
      <c r="G178">
        <v>0.85876196437503227</v>
      </c>
      <c r="H178">
        <v>0.84587853822429548</v>
      </c>
      <c r="I178">
        <v>0.8469121402568236</v>
      </c>
      <c r="J178">
        <v>0.84611136287411037</v>
      </c>
      <c r="K178">
        <v>0.84755371652057188</v>
      </c>
      <c r="L178">
        <v>0.84545144331312816</v>
      </c>
      <c r="M178">
        <v>0.84462669453048589</v>
      </c>
      <c r="N178">
        <v>0.84373772847661843</v>
      </c>
      <c r="O178">
        <v>0.84286020198112821</v>
      </c>
      <c r="P178">
        <v>0.84200148855416979</v>
      </c>
      <c r="Q178">
        <v>0.84116036750546685</v>
      </c>
      <c r="S178" t="str">
        <f t="shared" si="2"/>
        <v>WSHC_HHDU_HH_PR19CA009</v>
      </c>
    </row>
    <row r="179" spans="1:19" x14ac:dyDescent="0.3">
      <c r="A179" t="s">
        <v>40</v>
      </c>
      <c r="B179" t="s">
        <v>258</v>
      </c>
      <c r="C179" t="s">
        <v>259</v>
      </c>
      <c r="D179" t="s">
        <v>228</v>
      </c>
      <c r="E179" t="s">
        <v>147</v>
      </c>
      <c r="F179">
        <v>434.27873688511818</v>
      </c>
      <c r="G179">
        <v>441.69040359964822</v>
      </c>
      <c r="H179">
        <v>423.38722115970563</v>
      </c>
      <c r="I179">
        <v>410.48475394811612</v>
      </c>
      <c r="J179">
        <v>401.65526790735146</v>
      </c>
      <c r="K179">
        <v>403.44623360703059</v>
      </c>
      <c r="L179">
        <v>383.67719900514658</v>
      </c>
      <c r="M179">
        <v>387.48214501183651</v>
      </c>
      <c r="N179">
        <v>387.21153396367362</v>
      </c>
      <c r="O179">
        <v>386.99237499253962</v>
      </c>
      <c r="P179">
        <v>386.76163949524795</v>
      </c>
      <c r="Q179">
        <v>386.5006935928771</v>
      </c>
      <c r="S179" t="str">
        <f t="shared" si="2"/>
        <v>WSHC_REV_HH_PR19CA009</v>
      </c>
    </row>
    <row r="180" spans="1:19" x14ac:dyDescent="0.3">
      <c r="A180" t="s">
        <v>40</v>
      </c>
      <c r="B180" t="s">
        <v>260</v>
      </c>
      <c r="C180" t="s">
        <v>261</v>
      </c>
      <c r="D180" t="s">
        <v>15</v>
      </c>
      <c r="E180" t="s">
        <v>147</v>
      </c>
      <c r="F180">
        <v>55.914999999999992</v>
      </c>
      <c r="G180">
        <v>62.833999999999996</v>
      </c>
      <c r="H180">
        <v>62.29999999999999</v>
      </c>
      <c r="I180">
        <v>57.981780000000008</v>
      </c>
      <c r="J180">
        <v>58.936000000000007</v>
      </c>
      <c r="K180">
        <v>56.533999999999999</v>
      </c>
      <c r="L180">
        <v>54.291999999999994</v>
      </c>
      <c r="M180">
        <v>54.069000000000003</v>
      </c>
      <c r="N180">
        <v>54.161999999999999</v>
      </c>
      <c r="O180">
        <v>54.164999999999999</v>
      </c>
      <c r="P180">
        <v>52.94</v>
      </c>
      <c r="Q180">
        <v>52.77</v>
      </c>
      <c r="S180" t="str">
        <f t="shared" si="2"/>
        <v>WSHC_TC_TRN_PR19CA009</v>
      </c>
    </row>
    <row r="181" spans="1:19" x14ac:dyDescent="0.3">
      <c r="A181" t="s">
        <v>40</v>
      </c>
      <c r="B181" t="s">
        <v>262</v>
      </c>
      <c r="C181" t="s">
        <v>263</v>
      </c>
      <c r="D181" t="s">
        <v>15</v>
      </c>
      <c r="E181" t="s">
        <v>147</v>
      </c>
      <c r="F181">
        <v>59.100151284651766</v>
      </c>
      <c r="G181">
        <v>65.66407654382887</v>
      </c>
      <c r="H181">
        <v>64.818951747088164</v>
      </c>
      <c r="I181">
        <v>59.509244208453019</v>
      </c>
      <c r="J181">
        <v>58.936000000000007</v>
      </c>
      <c r="K181">
        <v>55.356577200125265</v>
      </c>
      <c r="L181">
        <v>51.965916488785155</v>
      </c>
      <c r="M181">
        <v>50.503884512514567</v>
      </c>
      <c r="N181">
        <v>49.598835725222521</v>
      </c>
      <c r="O181">
        <v>48.628972893190181</v>
      </c>
      <c r="P181">
        <v>46.597310863806449</v>
      </c>
      <c r="Q181">
        <v>45.536925778595077</v>
      </c>
      <c r="S181" t="str">
        <f t="shared" si="2"/>
        <v>WSHC_TC_TRR_PR19CA009</v>
      </c>
    </row>
    <row r="182" spans="1:19" x14ac:dyDescent="0.3">
      <c r="A182" t="s">
        <v>40</v>
      </c>
      <c r="B182" t="s">
        <v>264</v>
      </c>
      <c r="C182" t="s">
        <v>265</v>
      </c>
      <c r="D182" t="s">
        <v>15</v>
      </c>
      <c r="E182" t="s">
        <v>147</v>
      </c>
      <c r="F182">
        <v>24.818575557809318</v>
      </c>
      <c r="G182">
        <v>30.12329322303</v>
      </c>
      <c r="H182">
        <v>30.065381198003315</v>
      </c>
      <c r="I182">
        <v>27.231755985227746</v>
      </c>
      <c r="J182">
        <v>29.863000000000007</v>
      </c>
      <c r="K182">
        <v>29.088297995615402</v>
      </c>
      <c r="L182">
        <v>23.941344381013458</v>
      </c>
      <c r="M182">
        <v>24.148346118885851</v>
      </c>
      <c r="N182">
        <v>24.434949478529461</v>
      </c>
      <c r="O182">
        <v>23.952226858994202</v>
      </c>
      <c r="P182">
        <v>22.896408150740406</v>
      </c>
      <c r="Q182">
        <v>22.827142270630581</v>
      </c>
      <c r="S182" t="str">
        <f t="shared" si="2"/>
        <v>WSHC_OC_TR_PR19CA009</v>
      </c>
    </row>
    <row r="183" spans="1:19" x14ac:dyDescent="0.3">
      <c r="A183" t="s">
        <v>40</v>
      </c>
      <c r="B183" t="s">
        <v>266</v>
      </c>
      <c r="C183" t="s">
        <v>267</v>
      </c>
      <c r="D183" t="s">
        <v>16</v>
      </c>
      <c r="E183" t="s">
        <v>147</v>
      </c>
      <c r="F183">
        <v>1.0569641649763351</v>
      </c>
      <c r="G183">
        <v>1.0450405281189941</v>
      </c>
      <c r="H183">
        <v>1.0404326123128118</v>
      </c>
      <c r="I183">
        <v>1.0263438654082888</v>
      </c>
      <c r="J183">
        <v>1</v>
      </c>
      <c r="K183">
        <v>0.97917319135609127</v>
      </c>
      <c r="L183">
        <v>0.95715605409241067</v>
      </c>
      <c r="M183">
        <v>0.93406359489753021</v>
      </c>
      <c r="N183">
        <v>0.91574970874824646</v>
      </c>
      <c r="O183">
        <v>0.89779327782129015</v>
      </c>
      <c r="P183">
        <v>0.88019098722717137</v>
      </c>
      <c r="Q183">
        <v>0.86293207842704334</v>
      </c>
      <c r="S183" t="str">
        <f t="shared" si="2"/>
        <v>WSHC_CD0014R_PR19</v>
      </c>
    </row>
    <row r="184" spans="1:19" x14ac:dyDescent="0.3">
      <c r="A184" t="s">
        <v>40</v>
      </c>
      <c r="B184" t="s">
        <v>268</v>
      </c>
      <c r="C184" t="s">
        <v>269</v>
      </c>
      <c r="D184" t="s">
        <v>15</v>
      </c>
      <c r="E184" t="s">
        <v>147</v>
      </c>
      <c r="F184">
        <v>59.100151284651766</v>
      </c>
      <c r="G184">
        <v>65.66407654382887</v>
      </c>
      <c r="H184">
        <v>64.818951747088164</v>
      </c>
      <c r="I184">
        <v>59.509244208453019</v>
      </c>
      <c r="J184">
        <v>58.936000000000007</v>
      </c>
      <c r="K184">
        <v>55.356577200125272</v>
      </c>
      <c r="L184">
        <v>52.263592021607892</v>
      </c>
      <c r="M184">
        <v>50.794378290527696</v>
      </c>
      <c r="N184">
        <v>49.883633884643231</v>
      </c>
      <c r="O184">
        <v>48.9081866025926</v>
      </c>
      <c r="P184">
        <v>46.871050260834103</v>
      </c>
      <c r="Q184">
        <v>45.804434722907459</v>
      </c>
      <c r="S184" t="str">
        <f t="shared" si="2"/>
        <v>WSHC_BPTOTEX_PR19CA009</v>
      </c>
    </row>
    <row r="185" spans="1:19" x14ac:dyDescent="0.3">
      <c r="A185" t="s">
        <v>40</v>
      </c>
      <c r="B185" t="s">
        <v>273</v>
      </c>
      <c r="C185" t="s">
        <v>274</v>
      </c>
      <c r="D185" t="s">
        <v>12</v>
      </c>
      <c r="E185" t="s">
        <v>147</v>
      </c>
      <c r="F185">
        <v>0.26160547863944855</v>
      </c>
      <c r="G185">
        <v>0.26158725080760237</v>
      </c>
      <c r="H185">
        <v>0.26120069037606169</v>
      </c>
      <c r="I185">
        <v>0.25276383750654502</v>
      </c>
      <c r="J185">
        <v>0.25311883908936045</v>
      </c>
      <c r="K185">
        <v>0.24333123476941571</v>
      </c>
      <c r="L185" t="s">
        <v>293</v>
      </c>
      <c r="M185" t="s">
        <v>293</v>
      </c>
      <c r="N185" t="s">
        <v>293</v>
      </c>
      <c r="O185" t="s">
        <v>293</v>
      </c>
      <c r="P185" t="s">
        <v>293</v>
      </c>
      <c r="Q185" t="s">
        <v>293</v>
      </c>
      <c r="S185" t="str">
        <f t="shared" si="2"/>
        <v>WSHC_CD0018_PR19RR1</v>
      </c>
    </row>
    <row r="186" spans="1:19" x14ac:dyDescent="0.3">
      <c r="A186" t="s">
        <v>40</v>
      </c>
      <c r="B186" t="s">
        <v>275</v>
      </c>
      <c r="C186" t="s">
        <v>154</v>
      </c>
      <c r="D186" t="s">
        <v>12</v>
      </c>
      <c r="E186" t="s">
        <v>147</v>
      </c>
      <c r="F186">
        <v>9.5180095976945531E-2</v>
      </c>
      <c r="G186">
        <v>9.5180095976945531E-2</v>
      </c>
      <c r="H186">
        <v>9.5180095976945531E-2</v>
      </c>
      <c r="I186">
        <v>9.5180095976945531E-2</v>
      </c>
      <c r="J186">
        <v>9.7298917584290101E-2</v>
      </c>
      <c r="K186">
        <v>9.7298917584290101E-2</v>
      </c>
      <c r="L186" t="s">
        <v>293</v>
      </c>
      <c r="M186" t="s">
        <v>293</v>
      </c>
      <c r="N186" t="s">
        <v>293</v>
      </c>
      <c r="O186" t="s">
        <v>293</v>
      </c>
      <c r="P186" t="s">
        <v>293</v>
      </c>
      <c r="Q186" t="s">
        <v>293</v>
      </c>
      <c r="S186" t="str">
        <f t="shared" si="2"/>
        <v>WSHC_CD0019_PR19RR1</v>
      </c>
    </row>
    <row r="187" spans="1:19" x14ac:dyDescent="0.3">
      <c r="A187" t="s">
        <v>40</v>
      </c>
      <c r="B187" t="s">
        <v>276</v>
      </c>
      <c r="C187" t="s">
        <v>153</v>
      </c>
      <c r="D187" t="s">
        <v>12</v>
      </c>
      <c r="E187" t="s">
        <v>147</v>
      </c>
      <c r="F187" t="s">
        <v>293</v>
      </c>
      <c r="G187" t="s">
        <v>293</v>
      </c>
      <c r="H187" t="s">
        <v>293</v>
      </c>
      <c r="I187" t="s">
        <v>293</v>
      </c>
      <c r="J187" t="s">
        <v>293</v>
      </c>
      <c r="K187" t="s">
        <v>293</v>
      </c>
      <c r="L187" t="s">
        <v>293</v>
      </c>
      <c r="M187" t="s">
        <v>293</v>
      </c>
      <c r="N187" t="s">
        <v>293</v>
      </c>
      <c r="O187" t="s">
        <v>293</v>
      </c>
      <c r="P187" t="s">
        <v>293</v>
      </c>
      <c r="Q187" t="s">
        <v>293</v>
      </c>
      <c r="S187" t="str">
        <f t="shared" si="2"/>
        <v>WSHC_CD0020_PR19RR1</v>
      </c>
    </row>
    <row r="188" spans="1:19" x14ac:dyDescent="0.3">
      <c r="A188" t="s">
        <v>40</v>
      </c>
      <c r="B188" t="s">
        <v>277</v>
      </c>
      <c r="C188" t="s">
        <v>278</v>
      </c>
      <c r="D188" t="s">
        <v>12</v>
      </c>
      <c r="E188" t="s">
        <v>147</v>
      </c>
      <c r="F188">
        <v>0.16718571675669286</v>
      </c>
      <c r="G188">
        <v>0.16331800455385387</v>
      </c>
      <c r="H188">
        <v>0.16187856663007116</v>
      </c>
      <c r="I188">
        <v>0.15747389872823722</v>
      </c>
      <c r="J188">
        <v>0.15747591520069837</v>
      </c>
      <c r="K188">
        <v>0.15747591520069837</v>
      </c>
      <c r="L188" t="s">
        <v>293</v>
      </c>
      <c r="M188" t="s">
        <v>293</v>
      </c>
      <c r="N188" t="s">
        <v>293</v>
      </c>
      <c r="O188" t="s">
        <v>293</v>
      </c>
      <c r="P188" t="s">
        <v>293</v>
      </c>
      <c r="Q188" t="s">
        <v>293</v>
      </c>
      <c r="S188" t="str">
        <f t="shared" si="2"/>
        <v>WSHC_CD0021_PR19RR1</v>
      </c>
    </row>
    <row r="189" spans="1:19" x14ac:dyDescent="0.3">
      <c r="A189" t="s">
        <v>40</v>
      </c>
      <c r="B189" t="s">
        <v>279</v>
      </c>
      <c r="C189" t="s">
        <v>280</v>
      </c>
      <c r="D189" t="s">
        <v>15</v>
      </c>
      <c r="E189" t="s">
        <v>147</v>
      </c>
      <c r="F189">
        <v>587.91048568180827</v>
      </c>
      <c r="G189">
        <v>595.60785386588361</v>
      </c>
      <c r="H189">
        <v>577.52853660565609</v>
      </c>
      <c r="I189">
        <v>566.6023679934334</v>
      </c>
      <c r="J189">
        <v>559.26599999999996</v>
      </c>
      <c r="K189">
        <v>565.60862308174126</v>
      </c>
      <c r="L189">
        <v>541.94941507555563</v>
      </c>
      <c r="M189">
        <v>552.1721311776372</v>
      </c>
      <c r="N189">
        <v>556.1333400783941</v>
      </c>
      <c r="O189">
        <v>560.23338158169997</v>
      </c>
      <c r="P189">
        <v>564.33705808325919</v>
      </c>
      <c r="Q189">
        <v>568.41574804762388</v>
      </c>
      <c r="S189" t="str">
        <f t="shared" si="2"/>
        <v>WSHC_CD0022_PR19RR1</v>
      </c>
    </row>
    <row r="190" spans="1:19" x14ac:dyDescent="0.3">
      <c r="A190" t="s">
        <v>40</v>
      </c>
      <c r="B190" t="s">
        <v>286</v>
      </c>
      <c r="C190" t="s">
        <v>287</v>
      </c>
      <c r="D190" t="s">
        <v>15</v>
      </c>
      <c r="E190" t="s">
        <v>147</v>
      </c>
      <c r="F190" t="s">
        <v>293</v>
      </c>
      <c r="G190" t="s">
        <v>293</v>
      </c>
      <c r="H190" t="s">
        <v>293</v>
      </c>
      <c r="I190" t="s">
        <v>293</v>
      </c>
      <c r="J190">
        <v>8.0640000000000001</v>
      </c>
      <c r="K190">
        <v>7.6620302223614143</v>
      </c>
      <c r="L190">
        <v>9.1169114152302111</v>
      </c>
      <c r="M190">
        <v>8.2262980802625485</v>
      </c>
      <c r="N190">
        <v>3.2646477116874988</v>
      </c>
      <c r="O190">
        <v>2.9833670622001471</v>
      </c>
      <c r="P190">
        <v>2.7954865754334963</v>
      </c>
      <c r="Q190">
        <v>2.0917473581071531</v>
      </c>
      <c r="S190" t="str">
        <f t="shared" si="2"/>
        <v>WSHC_BM4017_PR19CA009</v>
      </c>
    </row>
    <row r="191" spans="1:19" x14ac:dyDescent="0.3">
      <c r="A191" t="s">
        <v>40</v>
      </c>
      <c r="B191" t="s">
        <v>289</v>
      </c>
      <c r="C191" t="s">
        <v>290</v>
      </c>
      <c r="D191" t="s">
        <v>146</v>
      </c>
      <c r="E191" t="s">
        <v>147</v>
      </c>
      <c r="F191" t="s">
        <v>314</v>
      </c>
      <c r="G191" t="s">
        <v>314</v>
      </c>
      <c r="H191" t="s">
        <v>314</v>
      </c>
      <c r="I191" t="s">
        <v>314</v>
      </c>
      <c r="J191" t="s">
        <v>314</v>
      </c>
      <c r="K191" t="s">
        <v>314</v>
      </c>
      <c r="L191" t="s">
        <v>314</v>
      </c>
      <c r="M191" t="s">
        <v>314</v>
      </c>
      <c r="N191" t="s">
        <v>314</v>
      </c>
      <c r="O191" t="s">
        <v>314</v>
      </c>
      <c r="P191" t="s">
        <v>314</v>
      </c>
      <c r="Q191" t="s">
        <v>314</v>
      </c>
      <c r="S191" t="str">
        <f t="shared" si="2"/>
        <v>WSHPR19QA_CA009_OUT_1</v>
      </c>
    </row>
    <row r="192" spans="1:19" x14ac:dyDescent="0.3">
      <c r="A192" t="s">
        <v>40</v>
      </c>
      <c r="B192" t="s">
        <v>291</v>
      </c>
      <c r="C192" t="s">
        <v>292</v>
      </c>
      <c r="D192" t="s">
        <v>146</v>
      </c>
      <c r="E192" t="s">
        <v>147</v>
      </c>
      <c r="F192" t="s">
        <v>315</v>
      </c>
      <c r="G192" t="s">
        <v>315</v>
      </c>
      <c r="H192" t="s">
        <v>315</v>
      </c>
      <c r="I192" t="s">
        <v>315</v>
      </c>
      <c r="J192" t="s">
        <v>315</v>
      </c>
      <c r="K192" t="s">
        <v>315</v>
      </c>
      <c r="L192" t="s">
        <v>315</v>
      </c>
      <c r="M192" t="s">
        <v>315</v>
      </c>
      <c r="N192" t="s">
        <v>315</v>
      </c>
      <c r="O192" t="s">
        <v>315</v>
      </c>
      <c r="P192" t="s">
        <v>315</v>
      </c>
      <c r="Q192" t="s">
        <v>315</v>
      </c>
      <c r="S192" t="str">
        <f t="shared" si="2"/>
        <v>WSHPR19QA_CA009_OUT_2</v>
      </c>
    </row>
    <row r="193" spans="1:19" x14ac:dyDescent="0.3">
      <c r="A193" t="s">
        <v>25</v>
      </c>
      <c r="B193" t="s">
        <v>244</v>
      </c>
      <c r="C193" t="s">
        <v>245</v>
      </c>
      <c r="D193" t="s">
        <v>15</v>
      </c>
      <c r="E193" t="s">
        <v>147</v>
      </c>
      <c r="F193">
        <v>0.97557792427315726</v>
      </c>
      <c r="G193">
        <v>0.99174346118492529</v>
      </c>
      <c r="H193">
        <v>0.95511713810316112</v>
      </c>
      <c r="I193">
        <v>1.1412943783340173</v>
      </c>
      <c r="J193">
        <v>1.038</v>
      </c>
      <c r="K193">
        <v>0.68052536799248342</v>
      </c>
      <c r="L193">
        <v>0.27743453383422861</v>
      </c>
      <c r="M193">
        <v>0.35564760758350888</v>
      </c>
      <c r="N193">
        <v>0.47503982888331903</v>
      </c>
      <c r="O193">
        <v>0.61860746311831449</v>
      </c>
      <c r="P193">
        <v>0.77048663594470068</v>
      </c>
      <c r="Q193">
        <v>0.90917959410620242</v>
      </c>
      <c r="S193" t="str">
        <f t="shared" si="2"/>
        <v>WSXC_DEP_PR19CA009</v>
      </c>
    </row>
    <row r="194" spans="1:19" x14ac:dyDescent="0.3">
      <c r="A194" t="s">
        <v>25</v>
      </c>
      <c r="B194" t="s">
        <v>246</v>
      </c>
      <c r="C194" t="s">
        <v>247</v>
      </c>
      <c r="D194" t="s">
        <v>15</v>
      </c>
      <c r="E194" t="s">
        <v>147</v>
      </c>
      <c r="F194">
        <v>27.81059950204687</v>
      </c>
      <c r="G194">
        <v>29.284308023672697</v>
      </c>
      <c r="H194">
        <v>28.279839037947497</v>
      </c>
      <c r="I194">
        <v>28.237452445486145</v>
      </c>
      <c r="J194">
        <v>30.596798331177688</v>
      </c>
      <c r="K194">
        <v>34.120944034531341</v>
      </c>
      <c r="L194">
        <v>29.407100605342308</v>
      </c>
      <c r="M194">
        <v>28.826273547998795</v>
      </c>
      <c r="N194">
        <v>29.246772532822128</v>
      </c>
      <c r="O194">
        <v>29.656077957767035</v>
      </c>
      <c r="P194">
        <v>30.08267096774194</v>
      </c>
      <c r="Q194">
        <v>30.479246316374848</v>
      </c>
      <c r="S194" t="str">
        <f t="shared" si="2"/>
        <v>WSXC_STC_TR_PR19CA009</v>
      </c>
    </row>
    <row r="195" spans="1:19" x14ac:dyDescent="0.3">
      <c r="A195" t="s">
        <v>25</v>
      </c>
      <c r="B195" t="s">
        <v>248</v>
      </c>
      <c r="C195" t="s">
        <v>249</v>
      </c>
      <c r="D195" t="s">
        <v>15</v>
      </c>
      <c r="E195" t="s">
        <v>147</v>
      </c>
      <c r="F195">
        <v>12.484619109890012</v>
      </c>
      <c r="G195">
        <v>14.444732524382982</v>
      </c>
      <c r="H195">
        <v>14.48011291317448</v>
      </c>
      <c r="I195">
        <v>15.088047866022182</v>
      </c>
      <c r="J195">
        <v>17.46713389792334</v>
      </c>
      <c r="K195">
        <v>19.98750056665628</v>
      </c>
      <c r="L195">
        <v>16.324478366266639</v>
      </c>
      <c r="M195">
        <v>16.566780619921754</v>
      </c>
      <c r="N195">
        <v>16.976908836111626</v>
      </c>
      <c r="O195">
        <v>17.397882701764647</v>
      </c>
      <c r="P195">
        <v>17.83379539170507</v>
      </c>
      <c r="Q195">
        <v>18.238351264943063</v>
      </c>
      <c r="S195" t="str">
        <f t="shared" si="2"/>
        <v>WSXC_SOC_TR_PR19CA009</v>
      </c>
    </row>
    <row r="196" spans="1:19" x14ac:dyDescent="0.3">
      <c r="A196" t="s">
        <v>25</v>
      </c>
      <c r="B196" t="s">
        <v>250</v>
      </c>
      <c r="C196" t="s">
        <v>251</v>
      </c>
      <c r="D196" t="s">
        <v>15</v>
      </c>
      <c r="E196" t="s">
        <v>147</v>
      </c>
      <c r="F196">
        <v>15.325980392156858</v>
      </c>
      <c r="G196">
        <v>14.839575499289715</v>
      </c>
      <c r="H196">
        <v>13.799726124773017</v>
      </c>
      <c r="I196">
        <v>13.149404579463964</v>
      </c>
      <c r="J196">
        <v>13.12966443325435</v>
      </c>
      <c r="K196">
        <v>14.133443467875061</v>
      </c>
      <c r="L196">
        <v>13.082622239075667</v>
      </c>
      <c r="M196">
        <v>12.259492928077041</v>
      </c>
      <c r="N196">
        <v>12.269863696710503</v>
      </c>
      <c r="O196">
        <v>12.258195256002388</v>
      </c>
      <c r="P196">
        <v>12.24887557603687</v>
      </c>
      <c r="Q196">
        <v>12.240895051431783</v>
      </c>
      <c r="S196" t="str">
        <f t="shared" si="2"/>
        <v>WSXC_DC_T_PR19CA009</v>
      </c>
    </row>
    <row r="197" spans="1:19" x14ac:dyDescent="0.3">
      <c r="A197" t="s">
        <v>25</v>
      </c>
      <c r="B197" t="s">
        <v>252</v>
      </c>
      <c r="C197" t="s">
        <v>253</v>
      </c>
      <c r="D197" t="s">
        <v>13</v>
      </c>
      <c r="E197" t="s">
        <v>147</v>
      </c>
      <c r="F197">
        <v>1131.2399999999998</v>
      </c>
      <c r="G197">
        <v>1140.3489999999997</v>
      </c>
      <c r="H197">
        <v>1173.317</v>
      </c>
      <c r="I197">
        <v>1181.95</v>
      </c>
      <c r="J197">
        <v>1191.4110000000001</v>
      </c>
      <c r="K197">
        <v>1198.5569999999998</v>
      </c>
      <c r="L197">
        <v>1220.0339999999999</v>
      </c>
      <c r="M197">
        <v>1233.1279999999999</v>
      </c>
      <c r="N197">
        <v>1246.037</v>
      </c>
      <c r="O197">
        <v>1258.7070000000001</v>
      </c>
      <c r="P197">
        <v>1271.076</v>
      </c>
      <c r="Q197">
        <v>1282.8720000000001</v>
      </c>
      <c r="S197" t="str">
        <f t="shared" ref="S197:S260" si="3">A197&amp;B197</f>
        <v>WSXC_HH_T_PR19CA009</v>
      </c>
    </row>
    <row r="198" spans="1:19" x14ac:dyDescent="0.3">
      <c r="A198" t="s">
        <v>25</v>
      </c>
      <c r="B198" t="s">
        <v>254</v>
      </c>
      <c r="C198" t="s">
        <v>255</v>
      </c>
      <c r="D198" t="s">
        <v>12</v>
      </c>
      <c r="E198" t="s">
        <v>147</v>
      </c>
      <c r="F198">
        <v>0.5076279127329304</v>
      </c>
      <c r="G198">
        <v>0.52886879367632211</v>
      </c>
      <c r="H198">
        <v>0.55486454214845604</v>
      </c>
      <c r="I198">
        <v>0.57190659503363084</v>
      </c>
      <c r="J198">
        <v>0.59353992870638261</v>
      </c>
      <c r="K198">
        <v>0.61902437681311784</v>
      </c>
      <c r="L198">
        <v>0.63748715199740336</v>
      </c>
      <c r="M198">
        <v>0.65779302716344135</v>
      </c>
      <c r="N198">
        <v>0.67495748521111343</v>
      </c>
      <c r="O198">
        <v>0.69124109105613929</v>
      </c>
      <c r="P198">
        <v>0.70677441789476003</v>
      </c>
      <c r="Q198">
        <v>0.72162850229796893</v>
      </c>
      <c r="S198" t="str">
        <f t="shared" si="3"/>
        <v>WSXC_HHM_HH_PR19CA009</v>
      </c>
    </row>
    <row r="199" spans="1:19" x14ac:dyDescent="0.3">
      <c r="A199" t="s">
        <v>25</v>
      </c>
      <c r="B199" t="s">
        <v>256</v>
      </c>
      <c r="C199" t="s">
        <v>257</v>
      </c>
      <c r="D199" t="s">
        <v>12</v>
      </c>
      <c r="E199" t="s">
        <v>147</v>
      </c>
      <c r="F199">
        <v>0.43385223294791564</v>
      </c>
      <c r="G199">
        <v>0.4345292537635409</v>
      </c>
      <c r="H199">
        <v>0.42919688370661979</v>
      </c>
      <c r="I199">
        <v>0.43009264351283888</v>
      </c>
      <c r="J199">
        <v>0.43030071066995346</v>
      </c>
      <c r="K199">
        <v>0.43015392676360004</v>
      </c>
      <c r="L199">
        <v>0.43118880293500017</v>
      </c>
      <c r="M199">
        <v>0.43194867037322981</v>
      </c>
      <c r="N199">
        <v>0.43239165450143136</v>
      </c>
      <c r="O199">
        <v>0.43271309367469946</v>
      </c>
      <c r="P199">
        <v>0.43300715299478548</v>
      </c>
      <c r="Q199">
        <v>0.43329420238340222</v>
      </c>
      <c r="S199" t="str">
        <f t="shared" si="3"/>
        <v>WSXC_HHDU_HH_PR19CA009</v>
      </c>
    </row>
    <row r="200" spans="1:19" x14ac:dyDescent="0.3">
      <c r="A200" t="s">
        <v>25</v>
      </c>
      <c r="B200" t="s">
        <v>258</v>
      </c>
      <c r="C200" t="s">
        <v>259</v>
      </c>
      <c r="D200" t="s">
        <v>228</v>
      </c>
      <c r="E200" t="s">
        <v>147</v>
      </c>
      <c r="F200">
        <v>368.09084316189688</v>
      </c>
      <c r="G200">
        <v>381.01886328124112</v>
      </c>
      <c r="H200">
        <v>343.66865226225241</v>
      </c>
      <c r="I200">
        <v>341.06356359675726</v>
      </c>
      <c r="J200">
        <v>340.53417838176762</v>
      </c>
      <c r="K200">
        <v>338.824378846098</v>
      </c>
      <c r="L200">
        <v>326.55118121090186</v>
      </c>
      <c r="M200">
        <v>296.0698512089881</v>
      </c>
      <c r="N200">
        <v>301.07273148150517</v>
      </c>
      <c r="O200">
        <v>307.00424656426776</v>
      </c>
      <c r="P200">
        <v>311.19677735908158</v>
      </c>
      <c r="Q200">
        <v>315.99805137767157</v>
      </c>
      <c r="S200" t="str">
        <f t="shared" si="3"/>
        <v>WSXC_REV_HH_PR19CA009</v>
      </c>
    </row>
    <row r="201" spans="1:19" x14ac:dyDescent="0.3">
      <c r="A201" t="s">
        <v>25</v>
      </c>
      <c r="B201" t="s">
        <v>260</v>
      </c>
      <c r="C201" t="s">
        <v>261</v>
      </c>
      <c r="D201" t="s">
        <v>15</v>
      </c>
      <c r="E201" t="s">
        <v>147</v>
      </c>
      <c r="F201">
        <v>26.323000000000008</v>
      </c>
      <c r="G201">
        <v>28.049000000000007</v>
      </c>
      <c r="H201">
        <v>27.172587758045776</v>
      </c>
      <c r="I201">
        <v>27.685689046203287</v>
      </c>
      <c r="J201">
        <v>30.67108861952973</v>
      </c>
      <c r="K201">
        <v>34.557481750509098</v>
      </c>
      <c r="L201">
        <v>30.632999999999999</v>
      </c>
      <c r="M201">
        <v>30.638000000000002</v>
      </c>
      <c r="N201">
        <v>31.707000000000004</v>
      </c>
      <c r="O201">
        <v>32.791000000000004</v>
      </c>
      <c r="P201">
        <v>33.929000000000002</v>
      </c>
      <c r="Q201">
        <v>35.066000000000003</v>
      </c>
      <c r="S201" t="str">
        <f t="shared" si="3"/>
        <v>WSXC_TC_TRN_PR19CA009</v>
      </c>
    </row>
    <row r="202" spans="1:19" x14ac:dyDescent="0.3">
      <c r="A202" t="s">
        <v>25</v>
      </c>
      <c r="B202" t="s">
        <v>262</v>
      </c>
      <c r="C202" t="s">
        <v>263</v>
      </c>
      <c r="D202" t="s">
        <v>15</v>
      </c>
      <c r="E202" t="s">
        <v>147</v>
      </c>
      <c r="F202">
        <v>27.822467714672076</v>
      </c>
      <c r="G202">
        <v>29.31234177320967</v>
      </c>
      <c r="H202">
        <v>28.271246464402697</v>
      </c>
      <c r="I202">
        <v>28.4150371121722</v>
      </c>
      <c r="J202">
        <v>30.67108861952973</v>
      </c>
      <c r="K202">
        <v>33.837759690875878</v>
      </c>
      <c r="L202">
        <v>29.407100605342301</v>
      </c>
      <c r="M202">
        <v>28.826273547998799</v>
      </c>
      <c r="N202">
        <v>29.246772532822131</v>
      </c>
      <c r="O202">
        <v>29.656077957767035</v>
      </c>
      <c r="P202">
        <v>30.082670967741944</v>
      </c>
      <c r="Q202">
        <v>30.479246316374851</v>
      </c>
      <c r="S202" t="str">
        <f t="shared" si="3"/>
        <v>WSXC_TC_TRR_PR19CA009</v>
      </c>
    </row>
    <row r="203" spans="1:19" x14ac:dyDescent="0.3">
      <c r="A203" t="s">
        <v>25</v>
      </c>
      <c r="B203" t="s">
        <v>264</v>
      </c>
      <c r="C203" t="s">
        <v>265</v>
      </c>
      <c r="D203" t="s">
        <v>15</v>
      </c>
      <c r="E203" t="s">
        <v>147</v>
      </c>
      <c r="F203">
        <v>12.496487322515216</v>
      </c>
      <c r="G203">
        <v>14.472766273919957</v>
      </c>
      <c r="H203">
        <v>14.471520339629679</v>
      </c>
      <c r="I203">
        <v>15.265632532708239</v>
      </c>
      <c r="J203">
        <v>17.541424186275378</v>
      </c>
      <c r="K203">
        <v>19.704316223000816</v>
      </c>
      <c r="L203">
        <v>16.324478366266636</v>
      </c>
      <c r="M203">
        <v>16.566780619921758</v>
      </c>
      <c r="N203">
        <v>16.97690883611163</v>
      </c>
      <c r="O203">
        <v>17.397882701764647</v>
      </c>
      <c r="P203">
        <v>17.833795391705074</v>
      </c>
      <c r="Q203">
        <v>18.238351264943066</v>
      </c>
      <c r="S203" t="str">
        <f t="shared" si="3"/>
        <v>WSXC_OC_TR_PR19CA009</v>
      </c>
    </row>
    <row r="204" spans="1:19" x14ac:dyDescent="0.3">
      <c r="A204" t="s">
        <v>25</v>
      </c>
      <c r="B204" t="s">
        <v>266</v>
      </c>
      <c r="C204" t="s">
        <v>267</v>
      </c>
      <c r="D204" t="s">
        <v>16</v>
      </c>
      <c r="E204" t="s">
        <v>147</v>
      </c>
      <c r="F204">
        <v>1.0569641649763351</v>
      </c>
      <c r="G204">
        <v>1.0450405281189941</v>
      </c>
      <c r="H204">
        <v>1.0404326123128118</v>
      </c>
      <c r="I204">
        <v>1.0263438654082888</v>
      </c>
      <c r="J204">
        <v>1</v>
      </c>
      <c r="K204">
        <v>0.97917319135609127</v>
      </c>
      <c r="L204">
        <v>0.95998108593158693</v>
      </c>
      <c r="M204">
        <v>0.94086668672885954</v>
      </c>
      <c r="N204">
        <v>0.92240743472489128</v>
      </c>
      <c r="O204">
        <v>0.90439687590396856</v>
      </c>
      <c r="P204">
        <v>0.88663594470046103</v>
      </c>
      <c r="Q204">
        <v>0.86919655268279383</v>
      </c>
      <c r="S204" t="str">
        <f t="shared" si="3"/>
        <v>WSXC_CD0014R_PR19</v>
      </c>
    </row>
    <row r="205" spans="1:19" x14ac:dyDescent="0.3">
      <c r="A205" t="s">
        <v>25</v>
      </c>
      <c r="B205" t="s">
        <v>268</v>
      </c>
      <c r="C205" t="s">
        <v>269</v>
      </c>
      <c r="D205" t="s">
        <v>15</v>
      </c>
      <c r="E205" t="s">
        <v>147</v>
      </c>
      <c r="F205">
        <v>27.822467714672076</v>
      </c>
      <c r="G205">
        <v>29.31234177320967</v>
      </c>
      <c r="H205">
        <v>28.271246464402697</v>
      </c>
      <c r="I205">
        <v>28.4150371121722</v>
      </c>
      <c r="J205">
        <v>30.67108861952973</v>
      </c>
      <c r="K205">
        <v>33.837759690875878</v>
      </c>
      <c r="L205">
        <v>29.909170713284521</v>
      </c>
      <c r="M205">
        <v>29.329637225398741</v>
      </c>
      <c r="N205">
        <v>29.754096621920823</v>
      </c>
      <c r="O205">
        <v>30.167062192652775</v>
      </c>
      <c r="P205">
        <v>30.596919815668208</v>
      </c>
      <c r="Q205">
        <v>30.995549068668431</v>
      </c>
      <c r="S205" t="str">
        <f t="shared" si="3"/>
        <v>WSXC_BPTOTEX_PR19CA009</v>
      </c>
    </row>
    <row r="206" spans="1:19" x14ac:dyDescent="0.3">
      <c r="A206" t="s">
        <v>25</v>
      </c>
      <c r="B206" t="s">
        <v>273</v>
      </c>
      <c r="C206" t="s">
        <v>274</v>
      </c>
      <c r="D206" t="s">
        <v>12</v>
      </c>
      <c r="E206" t="s">
        <v>147</v>
      </c>
      <c r="F206">
        <v>0.20779039573364463</v>
      </c>
      <c r="G206">
        <v>0.20640646707211002</v>
      </c>
      <c r="H206">
        <v>0.20340090217971052</v>
      </c>
      <c r="I206">
        <v>0.19348495511128042</v>
      </c>
      <c r="J206">
        <v>0.19680162882735139</v>
      </c>
      <c r="K206">
        <v>0.18776764745454319</v>
      </c>
      <c r="L206" t="s">
        <v>293</v>
      </c>
      <c r="M206" t="s">
        <v>293</v>
      </c>
      <c r="N206" t="s">
        <v>293</v>
      </c>
      <c r="O206" t="s">
        <v>293</v>
      </c>
      <c r="P206" t="s">
        <v>293</v>
      </c>
      <c r="Q206" t="s">
        <v>293</v>
      </c>
      <c r="S206" t="str">
        <f t="shared" si="3"/>
        <v>WSXC_CD0018_PR19RR1</v>
      </c>
    </row>
    <row r="207" spans="1:19" x14ac:dyDescent="0.3">
      <c r="A207" t="s">
        <v>25</v>
      </c>
      <c r="B207" t="s">
        <v>275</v>
      </c>
      <c r="C207" t="s">
        <v>154</v>
      </c>
      <c r="D207" t="s">
        <v>12</v>
      </c>
      <c r="E207" t="s">
        <v>147</v>
      </c>
      <c r="F207">
        <v>0.12515093207351102</v>
      </c>
      <c r="G207">
        <v>0.12515093207351102</v>
      </c>
      <c r="H207">
        <v>0.12515093207351102</v>
      </c>
      <c r="I207">
        <v>0.12515093207351102</v>
      </c>
      <c r="J207">
        <v>0.12632162585615211</v>
      </c>
      <c r="K207">
        <v>0.12632162585615211</v>
      </c>
      <c r="L207" t="s">
        <v>293</v>
      </c>
      <c r="M207" t="s">
        <v>293</v>
      </c>
      <c r="N207" t="s">
        <v>293</v>
      </c>
      <c r="O207" t="s">
        <v>293</v>
      </c>
      <c r="P207" t="s">
        <v>293</v>
      </c>
      <c r="Q207" t="s">
        <v>293</v>
      </c>
      <c r="S207" t="str">
        <f t="shared" si="3"/>
        <v>WSXC_CD0019_PR19RR1</v>
      </c>
    </row>
    <row r="208" spans="1:19" x14ac:dyDescent="0.3">
      <c r="A208" t="s">
        <v>25</v>
      </c>
      <c r="B208" t="s">
        <v>276</v>
      </c>
      <c r="C208" t="s">
        <v>153</v>
      </c>
      <c r="D208" t="s">
        <v>12</v>
      </c>
      <c r="E208" t="s">
        <v>147</v>
      </c>
      <c r="F208" t="s">
        <v>293</v>
      </c>
      <c r="G208" t="s">
        <v>293</v>
      </c>
      <c r="H208" t="s">
        <v>293</v>
      </c>
      <c r="I208" t="s">
        <v>293</v>
      </c>
      <c r="J208" t="s">
        <v>293</v>
      </c>
      <c r="K208" t="s">
        <v>293</v>
      </c>
      <c r="L208" t="s">
        <v>293</v>
      </c>
      <c r="M208" t="s">
        <v>293</v>
      </c>
      <c r="N208" t="s">
        <v>293</v>
      </c>
      <c r="O208" t="s">
        <v>293</v>
      </c>
      <c r="P208" t="s">
        <v>293</v>
      </c>
      <c r="Q208" t="s">
        <v>293</v>
      </c>
      <c r="S208" t="str">
        <f t="shared" si="3"/>
        <v>WSXC_CD0020_PR19RR1</v>
      </c>
    </row>
    <row r="209" spans="1:19" x14ac:dyDescent="0.3">
      <c r="A209" t="s">
        <v>25</v>
      </c>
      <c r="B209" t="s">
        <v>277</v>
      </c>
      <c r="C209" t="s">
        <v>278</v>
      </c>
      <c r="D209" t="s">
        <v>12</v>
      </c>
      <c r="E209" t="s">
        <v>147</v>
      </c>
      <c r="F209">
        <v>0.10969159285535456</v>
      </c>
      <c r="G209">
        <v>0.10972464175341096</v>
      </c>
      <c r="H209">
        <v>0.10974492728303818</v>
      </c>
      <c r="I209">
        <v>0.10973999387637591</v>
      </c>
      <c r="J209">
        <v>0.10973138627472681</v>
      </c>
      <c r="K209">
        <v>0.10973138627472681</v>
      </c>
      <c r="L209" t="s">
        <v>293</v>
      </c>
      <c r="M209" t="s">
        <v>293</v>
      </c>
      <c r="N209" t="s">
        <v>293</v>
      </c>
      <c r="O209" t="s">
        <v>293</v>
      </c>
      <c r="P209" t="s">
        <v>293</v>
      </c>
      <c r="Q209" t="s">
        <v>293</v>
      </c>
      <c r="S209" t="str">
        <f t="shared" si="3"/>
        <v>WSXC_CD0021_PR19RR1</v>
      </c>
    </row>
    <row r="210" spans="1:19" x14ac:dyDescent="0.3">
      <c r="A210" t="s">
        <v>25</v>
      </c>
      <c r="B210" t="s">
        <v>279</v>
      </c>
      <c r="C210" t="s">
        <v>280</v>
      </c>
      <c r="D210" t="s">
        <v>15</v>
      </c>
      <c r="E210" t="s">
        <v>147</v>
      </c>
      <c r="F210">
        <v>416.39908541846415</v>
      </c>
      <c r="G210">
        <v>434.49447972389999</v>
      </c>
      <c r="H210">
        <v>403.23227206638921</v>
      </c>
      <c r="I210">
        <v>403.12007899318729</v>
      </c>
      <c r="J210">
        <v>405.71616600000016</v>
      </c>
      <c r="K210">
        <v>406.10033103664256</v>
      </c>
      <c r="L210">
        <v>398.40354381746135</v>
      </c>
      <c r="M210">
        <v>365.09202348163706</v>
      </c>
      <c r="N210">
        <v>375.14776311702019</v>
      </c>
      <c r="O210">
        <v>386.42839418016985</v>
      </c>
      <c r="P210">
        <v>395.55475497847198</v>
      </c>
      <c r="Q210">
        <v>405.38505216697627</v>
      </c>
      <c r="S210" t="str">
        <f t="shared" si="3"/>
        <v>WSXC_CD0022_PR19RR1</v>
      </c>
    </row>
    <row r="211" spans="1:19" x14ac:dyDescent="0.3">
      <c r="A211" t="s">
        <v>25</v>
      </c>
      <c r="B211" t="s">
        <v>286</v>
      </c>
      <c r="C211" t="s">
        <v>287</v>
      </c>
      <c r="D211" t="s">
        <v>15</v>
      </c>
      <c r="E211" t="s">
        <v>147</v>
      </c>
      <c r="F211" t="s">
        <v>293</v>
      </c>
      <c r="G211" t="s">
        <v>293</v>
      </c>
      <c r="H211" t="s">
        <v>293</v>
      </c>
      <c r="I211" t="s">
        <v>293</v>
      </c>
      <c r="J211">
        <v>1.41279405</v>
      </c>
      <c r="K211">
        <v>2.0368106731703617</v>
      </c>
      <c r="L211">
        <v>1.4111721963194328</v>
      </c>
      <c r="M211">
        <v>1.2485300932891965</v>
      </c>
      <c r="N211">
        <v>1.2286467030535553</v>
      </c>
      <c r="O211">
        <v>1.2028478449522781</v>
      </c>
      <c r="P211">
        <v>1.1792258064516132</v>
      </c>
      <c r="Q211">
        <v>1.1560314150681159</v>
      </c>
      <c r="S211" t="str">
        <f t="shared" si="3"/>
        <v>WSXC_BM4017_PR19CA009</v>
      </c>
    </row>
    <row r="212" spans="1:19" x14ac:dyDescent="0.3">
      <c r="A212" t="s">
        <v>25</v>
      </c>
      <c r="B212" t="s">
        <v>289</v>
      </c>
      <c r="C212" t="s">
        <v>290</v>
      </c>
      <c r="D212" t="s">
        <v>146</v>
      </c>
      <c r="E212" t="s">
        <v>147</v>
      </c>
      <c r="F212" t="s">
        <v>314</v>
      </c>
      <c r="G212" t="s">
        <v>314</v>
      </c>
      <c r="H212" t="s">
        <v>314</v>
      </c>
      <c r="I212" t="s">
        <v>314</v>
      </c>
      <c r="J212" t="s">
        <v>314</v>
      </c>
      <c r="K212" t="s">
        <v>314</v>
      </c>
      <c r="L212" t="s">
        <v>314</v>
      </c>
      <c r="M212" t="s">
        <v>314</v>
      </c>
      <c r="N212" t="s">
        <v>314</v>
      </c>
      <c r="O212" t="s">
        <v>314</v>
      </c>
      <c r="P212" t="s">
        <v>314</v>
      </c>
      <c r="Q212" t="s">
        <v>314</v>
      </c>
      <c r="S212" t="str">
        <f t="shared" si="3"/>
        <v>WSXPR19QA_CA009_OUT_1</v>
      </c>
    </row>
    <row r="213" spans="1:19" x14ac:dyDescent="0.3">
      <c r="A213" t="s">
        <v>25</v>
      </c>
      <c r="B213" t="s">
        <v>291</v>
      </c>
      <c r="C213" t="s">
        <v>292</v>
      </c>
      <c r="D213" t="s">
        <v>146</v>
      </c>
      <c r="E213" t="s">
        <v>147</v>
      </c>
      <c r="F213" t="s">
        <v>315</v>
      </c>
      <c r="G213" t="s">
        <v>315</v>
      </c>
      <c r="H213" t="s">
        <v>315</v>
      </c>
      <c r="I213" t="s">
        <v>315</v>
      </c>
      <c r="J213" t="s">
        <v>315</v>
      </c>
      <c r="K213" t="s">
        <v>315</v>
      </c>
      <c r="L213" t="s">
        <v>315</v>
      </c>
      <c r="M213" t="s">
        <v>315</v>
      </c>
      <c r="N213" t="s">
        <v>315</v>
      </c>
      <c r="O213" t="s">
        <v>315</v>
      </c>
      <c r="P213" t="s">
        <v>315</v>
      </c>
      <c r="Q213" t="s">
        <v>315</v>
      </c>
      <c r="S213" t="str">
        <f t="shared" si="3"/>
        <v>WSXPR19QA_CA009_OUT_2</v>
      </c>
    </row>
    <row r="214" spans="1:19" x14ac:dyDescent="0.3">
      <c r="A214" t="s">
        <v>26</v>
      </c>
      <c r="B214" t="s">
        <v>244</v>
      </c>
      <c r="C214" t="s">
        <v>245</v>
      </c>
      <c r="D214" t="s">
        <v>15</v>
      </c>
      <c r="E214" t="s">
        <v>147</v>
      </c>
      <c r="F214">
        <v>5.3905172413793085</v>
      </c>
      <c r="G214">
        <v>5.2262476811230894</v>
      </c>
      <c r="H214">
        <v>4.9701465890183014</v>
      </c>
      <c r="I214">
        <v>3.0010294624538369</v>
      </c>
      <c r="J214">
        <v>2.802</v>
      </c>
      <c r="K214">
        <v>1.9789090197306605</v>
      </c>
      <c r="L214">
        <v>2.3522675675049509</v>
      </c>
      <c r="M214">
        <v>2.2910041158422652</v>
      </c>
      <c r="N214">
        <v>1.9847734976887583</v>
      </c>
      <c r="O214">
        <v>1.945937558449033</v>
      </c>
      <c r="P214">
        <v>1.2663857273817118</v>
      </c>
      <c r="Q214">
        <v>0.84307197676830792</v>
      </c>
      <c r="S214" t="str">
        <f t="shared" si="3"/>
        <v>YKYC_DEP_PR19CA009</v>
      </c>
    </row>
    <row r="215" spans="1:19" x14ac:dyDescent="0.3">
      <c r="A215" t="s">
        <v>26</v>
      </c>
      <c r="B215" t="s">
        <v>246</v>
      </c>
      <c r="C215" t="s">
        <v>247</v>
      </c>
      <c r="D215" t="s">
        <v>15</v>
      </c>
      <c r="E215" t="s">
        <v>147</v>
      </c>
      <c r="F215">
        <v>56.848712997598589</v>
      </c>
      <c r="G215">
        <v>58.132411741659986</v>
      </c>
      <c r="H215">
        <v>57.646083324663827</v>
      </c>
      <c r="I215">
        <v>56.561643785710444</v>
      </c>
      <c r="J215">
        <v>60.132808332284199</v>
      </c>
      <c r="K215">
        <v>62.378864705600826</v>
      </c>
      <c r="L215">
        <v>53.343699164685219</v>
      </c>
      <c r="M215">
        <v>50.655893627399955</v>
      </c>
      <c r="N215">
        <v>51.070725914847237</v>
      </c>
      <c r="O215">
        <v>50.164184218806554</v>
      </c>
      <c r="P215">
        <v>47.756077030916629</v>
      </c>
      <c r="Q215">
        <v>46.252476303186555</v>
      </c>
      <c r="S215" t="str">
        <f t="shared" si="3"/>
        <v>YKYC_STC_TR_PR19CA009</v>
      </c>
    </row>
    <row r="216" spans="1:19" x14ac:dyDescent="0.3">
      <c r="A216" t="s">
        <v>26</v>
      </c>
      <c r="B216" t="s">
        <v>248</v>
      </c>
      <c r="C216" t="s">
        <v>249</v>
      </c>
      <c r="D216" t="s">
        <v>15</v>
      </c>
      <c r="E216" t="s">
        <v>147</v>
      </c>
      <c r="F216">
        <v>35.815126114569523</v>
      </c>
      <c r="G216">
        <v>35.246024175854018</v>
      </c>
      <c r="H216">
        <v>35.582669347958344</v>
      </c>
      <c r="I216">
        <v>33.736782562895513</v>
      </c>
      <c r="J216">
        <v>36.177808332284201</v>
      </c>
      <c r="K216">
        <v>36.745089729089713</v>
      </c>
      <c r="L216">
        <v>30.620813688313323</v>
      </c>
      <c r="M216">
        <v>27.580956821073286</v>
      </c>
      <c r="N216">
        <v>27.755630493800069</v>
      </c>
      <c r="O216">
        <v>26.609773973095464</v>
      </c>
      <c r="P216">
        <v>23.970494746491866</v>
      </c>
      <c r="Q216">
        <v>22.230294821268135</v>
      </c>
      <c r="S216" t="str">
        <f t="shared" si="3"/>
        <v>YKYC_SOC_TR_PR19CA009</v>
      </c>
    </row>
    <row r="217" spans="1:19" x14ac:dyDescent="0.3">
      <c r="A217" t="s">
        <v>26</v>
      </c>
      <c r="B217" t="s">
        <v>250</v>
      </c>
      <c r="C217" t="s">
        <v>251</v>
      </c>
      <c r="D217" t="s">
        <v>15</v>
      </c>
      <c r="E217" t="s">
        <v>147</v>
      </c>
      <c r="F217">
        <v>21.033586883029066</v>
      </c>
      <c r="G217">
        <v>22.886387565805972</v>
      </c>
      <c r="H217">
        <v>22.063413976705487</v>
      </c>
      <c r="I217">
        <v>22.824861222814935</v>
      </c>
      <c r="J217">
        <v>23.954999999999998</v>
      </c>
      <c r="K217">
        <v>25.633774976511116</v>
      </c>
      <c r="L217">
        <v>22.722885476371896</v>
      </c>
      <c r="M217">
        <v>23.074936806326669</v>
      </c>
      <c r="N217">
        <v>23.315095421047168</v>
      </c>
      <c r="O217">
        <v>23.55441024571109</v>
      </c>
      <c r="P217">
        <v>23.785582284424763</v>
      </c>
      <c r="Q217">
        <v>24.02218148191842</v>
      </c>
      <c r="S217" t="str">
        <f t="shared" si="3"/>
        <v>YKYC_DC_T_PR19CA009</v>
      </c>
    </row>
    <row r="218" spans="1:19" x14ac:dyDescent="0.3">
      <c r="A218" t="s">
        <v>26</v>
      </c>
      <c r="B218" t="s">
        <v>252</v>
      </c>
      <c r="C218" t="s">
        <v>253</v>
      </c>
      <c r="D218" t="s">
        <v>13</v>
      </c>
      <c r="E218" t="s">
        <v>147</v>
      </c>
      <c r="F218">
        <v>2107.5749999999998</v>
      </c>
      <c r="G218">
        <v>2120.9061273972602</v>
      </c>
      <c r="H218">
        <v>2133.4749999999999</v>
      </c>
      <c r="I218">
        <v>2153.0641643835615</v>
      </c>
      <c r="J218">
        <v>2164.7560000000003</v>
      </c>
      <c r="K218">
        <v>2177.8379999999997</v>
      </c>
      <c r="L218">
        <v>2194.7600000000002</v>
      </c>
      <c r="M218">
        <v>2218.79</v>
      </c>
      <c r="N218">
        <v>2239.7139999999999</v>
      </c>
      <c r="O218">
        <v>2260.739</v>
      </c>
      <c r="P218">
        <v>2281.7280000000001</v>
      </c>
      <c r="Q218">
        <v>2302.7640000000001</v>
      </c>
      <c r="S218" t="str">
        <f t="shared" si="3"/>
        <v>YKYC_HH_T_PR19CA009</v>
      </c>
    </row>
    <row r="219" spans="1:19" x14ac:dyDescent="0.3">
      <c r="A219" t="s">
        <v>26</v>
      </c>
      <c r="B219" t="s">
        <v>254</v>
      </c>
      <c r="C219" t="s">
        <v>255</v>
      </c>
      <c r="D219" t="s">
        <v>12</v>
      </c>
      <c r="E219" t="s">
        <v>147</v>
      </c>
      <c r="F219">
        <v>0.45262588519981506</v>
      </c>
      <c r="G219">
        <v>0.47149768222644395</v>
      </c>
      <c r="H219">
        <v>0.48976013311616029</v>
      </c>
      <c r="I219">
        <v>0.5080289643144078</v>
      </c>
      <c r="J219">
        <v>0.52454364371781381</v>
      </c>
      <c r="K219">
        <v>0.5413414588229245</v>
      </c>
      <c r="L219">
        <v>0.56749302885053488</v>
      </c>
      <c r="M219">
        <v>0.5896177646374825</v>
      </c>
      <c r="N219">
        <v>0.60857814881721506</v>
      </c>
      <c r="O219">
        <v>0.62602405673543038</v>
      </c>
      <c r="P219">
        <v>0.64207302535622124</v>
      </c>
      <c r="Q219">
        <v>0.65686409896975984</v>
      </c>
      <c r="S219" t="str">
        <f t="shared" si="3"/>
        <v>YKYC_HHM_HH_PR19CA009</v>
      </c>
    </row>
    <row r="220" spans="1:19" x14ac:dyDescent="0.3">
      <c r="A220" t="s">
        <v>26</v>
      </c>
      <c r="B220" t="s">
        <v>256</v>
      </c>
      <c r="C220" t="s">
        <v>257</v>
      </c>
      <c r="D220" t="s">
        <v>12</v>
      </c>
      <c r="E220" t="s">
        <v>147</v>
      </c>
      <c r="F220">
        <v>0.89748217738396041</v>
      </c>
      <c r="G220">
        <v>0.89734173150222163</v>
      </c>
      <c r="H220">
        <v>0.89657389938949383</v>
      </c>
      <c r="I220">
        <v>0.89717846786616007</v>
      </c>
      <c r="J220">
        <v>0.89922651790779184</v>
      </c>
      <c r="K220">
        <v>0.89774675618664024</v>
      </c>
      <c r="L220">
        <v>0.90060325502560645</v>
      </c>
      <c r="M220">
        <v>0.90018974305815325</v>
      </c>
      <c r="N220">
        <v>0.90050961863880841</v>
      </c>
      <c r="O220">
        <v>0.90082579192025269</v>
      </c>
      <c r="P220">
        <v>0.90113501696959508</v>
      </c>
      <c r="Q220">
        <v>0.90143844527706707</v>
      </c>
      <c r="S220" t="str">
        <f t="shared" si="3"/>
        <v>YKYC_HHDU_HH_PR19CA009</v>
      </c>
    </row>
    <row r="221" spans="1:19" x14ac:dyDescent="0.3">
      <c r="A221" t="s">
        <v>26</v>
      </c>
      <c r="B221" t="s">
        <v>258</v>
      </c>
      <c r="C221" t="s">
        <v>259</v>
      </c>
      <c r="D221" t="s">
        <v>228</v>
      </c>
      <c r="E221" t="s">
        <v>147</v>
      </c>
      <c r="F221">
        <v>377.52034325994288</v>
      </c>
      <c r="G221">
        <v>390.77310637870158</v>
      </c>
      <c r="H221">
        <v>358.42652953506951</v>
      </c>
      <c r="I221">
        <v>358.29392638367233</v>
      </c>
      <c r="J221">
        <v>354.81170150693953</v>
      </c>
      <c r="K221">
        <v>359.44580925397418</v>
      </c>
      <c r="L221">
        <v>363.66086573621362</v>
      </c>
      <c r="M221">
        <v>360.83132827339415</v>
      </c>
      <c r="N221">
        <v>360.88513179309342</v>
      </c>
      <c r="O221">
        <v>360.90394099196249</v>
      </c>
      <c r="P221">
        <v>360.91820465205518</v>
      </c>
      <c r="Q221">
        <v>360.94514556161363</v>
      </c>
      <c r="S221" t="str">
        <f t="shared" si="3"/>
        <v>YKYC_REV_HH_PR19CA009</v>
      </c>
    </row>
    <row r="222" spans="1:19" x14ac:dyDescent="0.3">
      <c r="A222" t="s">
        <v>26</v>
      </c>
      <c r="B222" t="s">
        <v>260</v>
      </c>
      <c r="C222" t="s">
        <v>261</v>
      </c>
      <c r="D222" t="s">
        <v>15</v>
      </c>
      <c r="E222" t="s">
        <v>147</v>
      </c>
      <c r="F222">
        <v>55.2</v>
      </c>
      <c r="G222">
        <v>56.901000000000003</v>
      </c>
      <c r="H222">
        <v>56.439428067200005</v>
      </c>
      <c r="I222">
        <v>54.238999999999898</v>
      </c>
      <c r="J222">
        <v>59.04</v>
      </c>
      <c r="K222">
        <v>61.749000000000002</v>
      </c>
      <c r="L222">
        <v>55.491999999999997</v>
      </c>
      <c r="M222">
        <v>54.127195469609894</v>
      </c>
      <c r="N222">
        <v>55.656718654521896</v>
      </c>
      <c r="O222">
        <v>55.759821271839897</v>
      </c>
      <c r="P222">
        <v>54.152321155879292</v>
      </c>
      <c r="Q222">
        <v>53.490289842714304</v>
      </c>
      <c r="S222" t="str">
        <f t="shared" si="3"/>
        <v>YKYC_TC_TRN_PR19CA009</v>
      </c>
    </row>
    <row r="223" spans="1:19" x14ac:dyDescent="0.3">
      <c r="A223" t="s">
        <v>26</v>
      </c>
      <c r="B223" t="s">
        <v>262</v>
      </c>
      <c r="C223" t="s">
        <v>263</v>
      </c>
      <c r="D223" t="s">
        <v>15</v>
      </c>
      <c r="E223" t="s">
        <v>147</v>
      </c>
      <c r="F223">
        <v>58.344421906693697</v>
      </c>
      <c r="G223">
        <v>59.463851090498885</v>
      </c>
      <c r="H223">
        <v>58.721421581397934</v>
      </c>
      <c r="I223">
        <v>55.667864915880074</v>
      </c>
      <c r="J223">
        <v>59.04</v>
      </c>
      <c r="K223">
        <v>60.462965393047284</v>
      </c>
      <c r="L223">
        <v>53.343699164685219</v>
      </c>
      <c r="M223">
        <v>50.655893627399948</v>
      </c>
      <c r="N223">
        <v>51.070725914847237</v>
      </c>
      <c r="O223">
        <v>50.164184218806554</v>
      </c>
      <c r="P223">
        <v>47.756077030916622</v>
      </c>
      <c r="Q223">
        <v>46.252476303186555</v>
      </c>
      <c r="S223" t="str">
        <f t="shared" si="3"/>
        <v>YKYC_TC_TRR_PR19CA009</v>
      </c>
    </row>
    <row r="224" spans="1:19" x14ac:dyDescent="0.3">
      <c r="A224" t="s">
        <v>26</v>
      </c>
      <c r="B224" t="s">
        <v>264</v>
      </c>
      <c r="C224" t="s">
        <v>265</v>
      </c>
      <c r="D224" t="s">
        <v>15</v>
      </c>
      <c r="E224" t="s">
        <v>147</v>
      </c>
      <c r="F224">
        <v>37.31083502366463</v>
      </c>
      <c r="G224">
        <v>36.577463524692917</v>
      </c>
      <c r="H224">
        <v>36.65800760469245</v>
      </c>
      <c r="I224">
        <v>32.843003693065135</v>
      </c>
      <c r="J224">
        <v>35.085000000000001</v>
      </c>
      <c r="K224">
        <v>34.829190416536164</v>
      </c>
      <c r="L224">
        <v>30.620813688313326</v>
      </c>
      <c r="M224">
        <v>27.580956821073279</v>
      </c>
      <c r="N224">
        <v>27.755630493800069</v>
      </c>
      <c r="O224">
        <v>26.609773973095468</v>
      </c>
      <c r="P224">
        <v>23.970494746491855</v>
      </c>
      <c r="Q224">
        <v>22.230294821268135</v>
      </c>
      <c r="S224" t="str">
        <f t="shared" si="3"/>
        <v>YKYC_OC_TR_PR19CA009</v>
      </c>
    </row>
    <row r="225" spans="1:19" x14ac:dyDescent="0.3">
      <c r="A225" t="s">
        <v>26</v>
      </c>
      <c r="B225" t="s">
        <v>266</v>
      </c>
      <c r="C225" t="s">
        <v>267</v>
      </c>
      <c r="D225" t="s">
        <v>16</v>
      </c>
      <c r="E225" t="s">
        <v>147</v>
      </c>
      <c r="F225">
        <v>1.0569641649763351</v>
      </c>
      <c r="G225">
        <v>1.0450405281189941</v>
      </c>
      <c r="H225">
        <v>1.0404326123128118</v>
      </c>
      <c r="I225">
        <v>1.0263438654082888</v>
      </c>
      <c r="J225">
        <v>1</v>
      </c>
      <c r="K225">
        <v>0.97917319135609127</v>
      </c>
      <c r="L225">
        <v>0.96128629648751573</v>
      </c>
      <c r="M225">
        <v>0.93586769438001027</v>
      </c>
      <c r="N225">
        <v>0.9176021718394628</v>
      </c>
      <c r="O225">
        <v>0.89964750737357047</v>
      </c>
      <c r="P225">
        <v>0.88188421126860161</v>
      </c>
      <c r="Q225">
        <v>0.86468920694185425</v>
      </c>
      <c r="S225" t="str">
        <f t="shared" si="3"/>
        <v>YKYC_CD0014R_PR19</v>
      </c>
    </row>
    <row r="226" spans="1:19" x14ac:dyDescent="0.3">
      <c r="A226" t="s">
        <v>26</v>
      </c>
      <c r="B226" t="s">
        <v>268</v>
      </c>
      <c r="C226" t="s">
        <v>269</v>
      </c>
      <c r="D226" t="s">
        <v>15</v>
      </c>
      <c r="E226" t="s">
        <v>147</v>
      </c>
      <c r="F226">
        <v>58.344421906693697</v>
      </c>
      <c r="G226">
        <v>59.463851090498885</v>
      </c>
      <c r="H226">
        <v>58.721421581397934</v>
      </c>
      <c r="I226">
        <v>55.667864915880074</v>
      </c>
      <c r="J226">
        <v>59.04</v>
      </c>
      <c r="K226">
        <v>60.462965393047284</v>
      </c>
      <c r="L226">
        <v>54.792357613491902</v>
      </c>
      <c r="M226">
        <v>52.094322273662023</v>
      </c>
      <c r="N226">
        <v>52.509526120291511</v>
      </c>
      <c r="O226">
        <v>50.164184218806554</v>
      </c>
      <c r="P226">
        <v>47.756077030916622</v>
      </c>
      <c r="Q226">
        <v>46.252476303186555</v>
      </c>
      <c r="S226" t="str">
        <f t="shared" si="3"/>
        <v>YKYC_BPTOTEX_PR19CA009</v>
      </c>
    </row>
    <row r="227" spans="1:19" x14ac:dyDescent="0.3">
      <c r="A227" t="s">
        <v>26</v>
      </c>
      <c r="B227" t="s">
        <v>273</v>
      </c>
      <c r="C227" t="s">
        <v>274</v>
      </c>
      <c r="D227" t="s">
        <v>12</v>
      </c>
      <c r="E227" t="s">
        <v>147</v>
      </c>
      <c r="F227">
        <v>0.27231853485376795</v>
      </c>
      <c r="G227">
        <v>0.27258263161664692</v>
      </c>
      <c r="H227">
        <v>0.27011958515483142</v>
      </c>
      <c r="I227">
        <v>0.26163613029894184</v>
      </c>
      <c r="J227">
        <v>0.26216530729733983</v>
      </c>
      <c r="K227">
        <v>0.25284817907939483</v>
      </c>
      <c r="L227" t="s">
        <v>293</v>
      </c>
      <c r="M227" t="s">
        <v>293</v>
      </c>
      <c r="N227" t="s">
        <v>293</v>
      </c>
      <c r="O227" t="s">
        <v>293</v>
      </c>
      <c r="P227" t="s">
        <v>293</v>
      </c>
      <c r="Q227" t="s">
        <v>293</v>
      </c>
      <c r="S227" t="str">
        <f t="shared" si="3"/>
        <v>YKYC_CD0018_PR19RR1</v>
      </c>
    </row>
    <row r="228" spans="1:19" x14ac:dyDescent="0.3">
      <c r="A228" t="s">
        <v>26</v>
      </c>
      <c r="B228" t="s">
        <v>275</v>
      </c>
      <c r="C228" t="s">
        <v>154</v>
      </c>
      <c r="D228" t="s">
        <v>12</v>
      </c>
      <c r="E228" t="s">
        <v>147</v>
      </c>
      <c r="F228">
        <v>0.10363306601728665</v>
      </c>
      <c r="G228">
        <v>0.10363306601728665</v>
      </c>
      <c r="H228">
        <v>0.10363306601728665</v>
      </c>
      <c r="I228">
        <v>0.10363306601728665</v>
      </c>
      <c r="J228">
        <v>0.10530345434566706</v>
      </c>
      <c r="K228">
        <v>0.10530345434566706</v>
      </c>
      <c r="L228" t="s">
        <v>293</v>
      </c>
      <c r="M228" t="s">
        <v>293</v>
      </c>
      <c r="N228" t="s">
        <v>293</v>
      </c>
      <c r="O228" t="s">
        <v>293</v>
      </c>
      <c r="P228" t="s">
        <v>293</v>
      </c>
      <c r="Q228" t="s">
        <v>293</v>
      </c>
      <c r="S228" t="str">
        <f t="shared" si="3"/>
        <v>YKYC_CD0019_PR19RR1</v>
      </c>
    </row>
    <row r="229" spans="1:19" x14ac:dyDescent="0.3">
      <c r="A229" t="s">
        <v>26</v>
      </c>
      <c r="B229" t="s">
        <v>276</v>
      </c>
      <c r="C229" t="s">
        <v>153</v>
      </c>
      <c r="D229" t="s">
        <v>12</v>
      </c>
      <c r="E229" t="s">
        <v>147</v>
      </c>
      <c r="F229" t="s">
        <v>293</v>
      </c>
      <c r="G229" t="s">
        <v>293</v>
      </c>
      <c r="H229" t="s">
        <v>293</v>
      </c>
      <c r="I229" t="s">
        <v>293</v>
      </c>
      <c r="J229" t="s">
        <v>293</v>
      </c>
      <c r="K229" t="s">
        <v>293</v>
      </c>
      <c r="L229" t="s">
        <v>293</v>
      </c>
      <c r="M229" t="s">
        <v>293</v>
      </c>
      <c r="N229" t="s">
        <v>293</v>
      </c>
      <c r="O229" t="s">
        <v>293</v>
      </c>
      <c r="P229" t="s">
        <v>293</v>
      </c>
      <c r="Q229" t="s">
        <v>293</v>
      </c>
      <c r="S229" t="str">
        <f t="shared" si="3"/>
        <v>YKYC_CD0020_PR19RR1</v>
      </c>
    </row>
    <row r="230" spans="1:19" x14ac:dyDescent="0.3">
      <c r="A230" t="s">
        <v>26</v>
      </c>
      <c r="B230" t="s">
        <v>277</v>
      </c>
      <c r="C230" t="s">
        <v>278</v>
      </c>
      <c r="D230" t="s">
        <v>12</v>
      </c>
      <c r="E230" t="s">
        <v>147</v>
      </c>
      <c r="F230">
        <v>0.16054488027424818</v>
      </c>
      <c r="G230">
        <v>0.16057149066384921</v>
      </c>
      <c r="H230">
        <v>0.16057388465663058</v>
      </c>
      <c r="I230">
        <v>0.16058658878283544</v>
      </c>
      <c r="J230">
        <v>0.16056556405608163</v>
      </c>
      <c r="K230">
        <v>0.16056556405608163</v>
      </c>
      <c r="L230" t="s">
        <v>293</v>
      </c>
      <c r="M230" t="s">
        <v>293</v>
      </c>
      <c r="N230" t="s">
        <v>293</v>
      </c>
      <c r="O230" t="s">
        <v>293</v>
      </c>
      <c r="P230" t="s">
        <v>293</v>
      </c>
      <c r="Q230" t="s">
        <v>293</v>
      </c>
      <c r="S230" t="str">
        <f t="shared" si="3"/>
        <v>YKYC_CD0021_PR19RR1</v>
      </c>
    </row>
    <row r="231" spans="1:19" x14ac:dyDescent="0.3">
      <c r="A231" t="s">
        <v>26</v>
      </c>
      <c r="B231" t="s">
        <v>279</v>
      </c>
      <c r="C231" t="s">
        <v>280</v>
      </c>
      <c r="D231" t="s">
        <v>15</v>
      </c>
      <c r="E231" t="s">
        <v>147</v>
      </c>
      <c r="F231">
        <v>795.65243744607415</v>
      </c>
      <c r="G231">
        <v>828.79307574064967</v>
      </c>
      <c r="H231">
        <v>764.69404009983236</v>
      </c>
      <c r="I231">
        <v>771.42981321296668</v>
      </c>
      <c r="J231">
        <v>768.08075970735649</v>
      </c>
      <c r="K231">
        <v>782.8147423340564</v>
      </c>
      <c r="L231">
        <v>798.14832168321232</v>
      </c>
      <c r="M231">
        <v>800.60894285972415</v>
      </c>
      <c r="N231">
        <v>808.27948206883639</v>
      </c>
      <c r="O231">
        <v>815.90961465422833</v>
      </c>
      <c r="P231">
        <v>823.51717326432458</v>
      </c>
      <c r="Q231">
        <v>831.17148717404359</v>
      </c>
      <c r="S231" t="str">
        <f t="shared" si="3"/>
        <v>YKYC_CD0022_PR19RR1</v>
      </c>
    </row>
    <row r="232" spans="1:19" x14ac:dyDescent="0.3">
      <c r="A232" t="s">
        <v>26</v>
      </c>
      <c r="B232" t="s">
        <v>286</v>
      </c>
      <c r="C232" t="s">
        <v>287</v>
      </c>
      <c r="D232" t="s">
        <v>15</v>
      </c>
      <c r="E232" t="s">
        <v>147</v>
      </c>
      <c r="F232" t="s">
        <v>293</v>
      </c>
      <c r="G232" t="s">
        <v>293</v>
      </c>
      <c r="H232" t="s">
        <v>293</v>
      </c>
      <c r="I232" t="s">
        <v>293</v>
      </c>
      <c r="J232">
        <v>0.96299999999999997</v>
      </c>
      <c r="K232">
        <v>2.6006839962417785</v>
      </c>
      <c r="L232">
        <v>3.8182291696484123</v>
      </c>
      <c r="M232">
        <v>1.8221344009578802</v>
      </c>
      <c r="N232">
        <v>1.7856538263995945</v>
      </c>
      <c r="O232">
        <v>1.7525133443637153</v>
      </c>
      <c r="P232">
        <v>1.7170285593399675</v>
      </c>
      <c r="Q232">
        <v>1.6835498859157902</v>
      </c>
      <c r="S232" t="str">
        <f t="shared" si="3"/>
        <v>YKYC_BM4017_PR19CA009</v>
      </c>
    </row>
    <row r="233" spans="1:19" x14ac:dyDescent="0.3">
      <c r="A233" t="s">
        <v>26</v>
      </c>
      <c r="B233" t="s">
        <v>289</v>
      </c>
      <c r="C233" t="s">
        <v>290</v>
      </c>
      <c r="D233" t="s">
        <v>146</v>
      </c>
      <c r="E233" t="s">
        <v>147</v>
      </c>
      <c r="F233" t="s">
        <v>314</v>
      </c>
      <c r="G233" t="s">
        <v>314</v>
      </c>
      <c r="H233" t="s">
        <v>314</v>
      </c>
      <c r="I233" t="s">
        <v>314</v>
      </c>
      <c r="J233" t="s">
        <v>314</v>
      </c>
      <c r="K233" t="s">
        <v>314</v>
      </c>
      <c r="L233" t="s">
        <v>314</v>
      </c>
      <c r="M233" t="s">
        <v>314</v>
      </c>
      <c r="N233" t="s">
        <v>314</v>
      </c>
      <c r="O233" t="s">
        <v>314</v>
      </c>
      <c r="P233" t="s">
        <v>314</v>
      </c>
      <c r="Q233" t="s">
        <v>314</v>
      </c>
      <c r="S233" t="str">
        <f t="shared" si="3"/>
        <v>YKYPR19QA_CA009_OUT_1</v>
      </c>
    </row>
    <row r="234" spans="1:19" x14ac:dyDescent="0.3">
      <c r="A234" t="s">
        <v>26</v>
      </c>
      <c r="B234" t="s">
        <v>291</v>
      </c>
      <c r="C234" t="s">
        <v>292</v>
      </c>
      <c r="D234" t="s">
        <v>146</v>
      </c>
      <c r="E234" t="s">
        <v>147</v>
      </c>
      <c r="F234" t="s">
        <v>315</v>
      </c>
      <c r="G234" t="s">
        <v>315</v>
      </c>
      <c r="H234" t="s">
        <v>315</v>
      </c>
      <c r="I234" t="s">
        <v>315</v>
      </c>
      <c r="J234" t="s">
        <v>315</v>
      </c>
      <c r="K234" t="s">
        <v>315</v>
      </c>
      <c r="L234" t="s">
        <v>315</v>
      </c>
      <c r="M234" t="s">
        <v>315</v>
      </c>
      <c r="N234" t="s">
        <v>315</v>
      </c>
      <c r="O234" t="s">
        <v>315</v>
      </c>
      <c r="P234" t="s">
        <v>315</v>
      </c>
      <c r="Q234" t="s">
        <v>315</v>
      </c>
      <c r="S234" t="str">
        <f t="shared" si="3"/>
        <v>YKYPR19QA_CA009_OUT_2</v>
      </c>
    </row>
    <row r="235" spans="1:19" x14ac:dyDescent="0.3">
      <c r="A235" t="s">
        <v>27</v>
      </c>
      <c r="B235" t="s">
        <v>244</v>
      </c>
      <c r="C235" t="s">
        <v>245</v>
      </c>
      <c r="D235" t="s">
        <v>15</v>
      </c>
      <c r="E235" t="s">
        <v>147</v>
      </c>
      <c r="F235">
        <v>0.73751425809987214</v>
      </c>
      <c r="G235">
        <v>0.98116731255973177</v>
      </c>
      <c r="H235">
        <v>0.72934326123128101</v>
      </c>
      <c r="I235">
        <v>1.8207340172343043</v>
      </c>
      <c r="J235">
        <v>1.4239999999999999</v>
      </c>
      <c r="K235">
        <v>0.71479642968994661</v>
      </c>
      <c r="L235">
        <v>0.6720042987641095</v>
      </c>
      <c r="M235">
        <v>0.79409148359915749</v>
      </c>
      <c r="N235">
        <v>0.83859206255532637</v>
      </c>
      <c r="O235">
        <v>0.87726496962684952</v>
      </c>
      <c r="P235">
        <v>0.90177268859898418</v>
      </c>
      <c r="Q235">
        <v>0.37810050041701532</v>
      </c>
      <c r="S235" t="str">
        <f t="shared" si="3"/>
        <v>AFWC_DEP_PR19CA009</v>
      </c>
    </row>
    <row r="236" spans="1:19" x14ac:dyDescent="0.3">
      <c r="A236" t="s">
        <v>27</v>
      </c>
      <c r="B236" t="s">
        <v>246</v>
      </c>
      <c r="C236" t="s">
        <v>247</v>
      </c>
      <c r="D236" t="s">
        <v>15</v>
      </c>
      <c r="E236" t="s">
        <v>147</v>
      </c>
      <c r="F236">
        <v>28.710709686428615</v>
      </c>
      <c r="G236">
        <v>31.51100150443694</v>
      </c>
      <c r="H236">
        <v>34.319402925864487</v>
      </c>
      <c r="I236">
        <v>32.499706757931364</v>
      </c>
      <c r="J236">
        <v>33.299925879802529</v>
      </c>
      <c r="K236">
        <v>28.331045046730171</v>
      </c>
      <c r="L236">
        <v>27.848818146925787</v>
      </c>
      <c r="M236">
        <v>26.475988564550104</v>
      </c>
      <c r="N236">
        <v>26.449322809088237</v>
      </c>
      <c r="O236">
        <v>26.34688978883441</v>
      </c>
      <c r="P236">
        <v>26.382836358480017</v>
      </c>
      <c r="Q236">
        <v>25.868158604392629</v>
      </c>
      <c r="S236" t="str">
        <f t="shared" si="3"/>
        <v>AFWC_STC_TR_PR19CA009</v>
      </c>
    </row>
    <row r="237" spans="1:19" x14ac:dyDescent="0.3">
      <c r="A237" t="s">
        <v>27</v>
      </c>
      <c r="B237" t="s">
        <v>248</v>
      </c>
      <c r="C237" t="s">
        <v>249</v>
      </c>
      <c r="D237" t="s">
        <v>15</v>
      </c>
      <c r="E237" t="s">
        <v>147</v>
      </c>
      <c r="F237">
        <v>20.02352121448812</v>
      </c>
      <c r="G237">
        <v>22.118177237703421</v>
      </c>
      <c r="H237">
        <v>23.898429880939361</v>
      </c>
      <c r="I237">
        <v>22.178792847385623</v>
      </c>
      <c r="J237">
        <v>22.63192587980253</v>
      </c>
      <c r="K237">
        <v>19.893509656814736</v>
      </c>
      <c r="L237">
        <v>18.445557994933711</v>
      </c>
      <c r="M237">
        <v>17.926332982244958</v>
      </c>
      <c r="N237">
        <v>18.236840365889648</v>
      </c>
      <c r="O237">
        <v>18.465975412207229</v>
      </c>
      <c r="P237">
        <v>18.826389109472597</v>
      </c>
      <c r="Q237">
        <v>18.63209730330837</v>
      </c>
      <c r="S237" t="str">
        <f t="shared" si="3"/>
        <v>AFWC_SOC_TR_PR19CA009</v>
      </c>
    </row>
    <row r="238" spans="1:19" x14ac:dyDescent="0.3">
      <c r="A238" t="s">
        <v>27</v>
      </c>
      <c r="B238" t="s">
        <v>250</v>
      </c>
      <c r="C238" t="s">
        <v>251</v>
      </c>
      <c r="D238" t="s">
        <v>15</v>
      </c>
      <c r="E238" t="s">
        <v>147</v>
      </c>
      <c r="F238">
        <v>8.6871884719404964</v>
      </c>
      <c r="G238">
        <v>9.3928242667335198</v>
      </c>
      <c r="H238">
        <v>10.420973044925125</v>
      </c>
      <c r="I238">
        <v>10.320913910545743</v>
      </c>
      <c r="J238">
        <v>10.668000000000001</v>
      </c>
      <c r="K238">
        <v>8.4375353899154373</v>
      </c>
      <c r="L238">
        <v>9.4032601519920753</v>
      </c>
      <c r="M238">
        <v>8.5496555823051459</v>
      </c>
      <c r="N238">
        <v>8.2124824431985868</v>
      </c>
      <c r="O238">
        <v>7.8809143766271825</v>
      </c>
      <c r="P238">
        <v>7.5564472490074186</v>
      </c>
      <c r="Q238">
        <v>7.2360613010842583</v>
      </c>
      <c r="S238" t="str">
        <f t="shared" si="3"/>
        <v>AFWC_DC_T_PR19CA009</v>
      </c>
    </row>
    <row r="239" spans="1:19" x14ac:dyDescent="0.3">
      <c r="A239" t="s">
        <v>27</v>
      </c>
      <c r="B239" t="s">
        <v>252</v>
      </c>
      <c r="C239" t="s">
        <v>253</v>
      </c>
      <c r="D239" t="s">
        <v>13</v>
      </c>
      <c r="E239" t="s">
        <v>147</v>
      </c>
      <c r="F239">
        <v>1337.7759999999998</v>
      </c>
      <c r="G239">
        <v>1340.078</v>
      </c>
      <c r="H239">
        <v>1346.154</v>
      </c>
      <c r="I239">
        <v>1358.0940000000001</v>
      </c>
      <c r="J239">
        <v>1364.5659999999998</v>
      </c>
      <c r="K239">
        <v>1373.1569999999999</v>
      </c>
      <c r="L239">
        <v>1388.5320000000002</v>
      </c>
      <c r="M239">
        <v>1408.6079999999999</v>
      </c>
      <c r="N239">
        <v>1428.6849999999999</v>
      </c>
      <c r="O239">
        <v>1445.4079999999999</v>
      </c>
      <c r="P239">
        <v>1462.1320000000001</v>
      </c>
      <c r="Q239">
        <v>1478.8559999999998</v>
      </c>
      <c r="S239" t="str">
        <f t="shared" si="3"/>
        <v>AFWC_HH_T_PR19CA009</v>
      </c>
    </row>
    <row r="240" spans="1:19" x14ac:dyDescent="0.3">
      <c r="A240" t="s">
        <v>27</v>
      </c>
      <c r="B240" t="s">
        <v>254</v>
      </c>
      <c r="C240" t="s">
        <v>255</v>
      </c>
      <c r="D240" t="s">
        <v>12</v>
      </c>
      <c r="E240" t="s">
        <v>147</v>
      </c>
      <c r="F240">
        <v>0.48046832952601937</v>
      </c>
      <c r="G240">
        <v>0.4911042491556461</v>
      </c>
      <c r="H240">
        <v>0.5001411428410123</v>
      </c>
      <c r="I240">
        <v>0.51415881374926919</v>
      </c>
      <c r="J240">
        <v>0.53320469658484826</v>
      </c>
      <c r="K240">
        <v>0.55993378761496315</v>
      </c>
      <c r="L240">
        <v>0.58980059516093253</v>
      </c>
      <c r="M240">
        <v>0.61763954201594762</v>
      </c>
      <c r="N240">
        <v>0.65257352040512784</v>
      </c>
      <c r="O240">
        <v>0.69381793929464908</v>
      </c>
      <c r="P240">
        <v>0.73657576744096975</v>
      </c>
      <c r="Q240">
        <v>0.77919824513001945</v>
      </c>
      <c r="S240" t="str">
        <f t="shared" si="3"/>
        <v>AFWC_HHM_HH_PR19CA009</v>
      </c>
    </row>
    <row r="241" spans="1:19" x14ac:dyDescent="0.3">
      <c r="A241" t="s">
        <v>27</v>
      </c>
      <c r="B241" t="s">
        <v>256</v>
      </c>
      <c r="C241" t="s">
        <v>257</v>
      </c>
      <c r="D241" t="s">
        <v>12</v>
      </c>
      <c r="E241" t="s">
        <v>147</v>
      </c>
      <c r="F241" t="s">
        <v>293</v>
      </c>
      <c r="G241" t="s">
        <v>293</v>
      </c>
      <c r="H241" t="s">
        <v>293</v>
      </c>
      <c r="I241" t="s">
        <v>293</v>
      </c>
      <c r="J241" t="s">
        <v>293</v>
      </c>
      <c r="K241" t="s">
        <v>293</v>
      </c>
      <c r="L241" t="s">
        <v>293</v>
      </c>
      <c r="M241" t="s">
        <v>293</v>
      </c>
      <c r="N241" t="s">
        <v>293</v>
      </c>
      <c r="O241" t="s">
        <v>293</v>
      </c>
      <c r="P241" t="s">
        <v>293</v>
      </c>
      <c r="Q241" t="s">
        <v>293</v>
      </c>
      <c r="S241" t="str">
        <f t="shared" si="3"/>
        <v>AFWC_HHDU_HH_PR19CA009</v>
      </c>
    </row>
    <row r="242" spans="1:19" x14ac:dyDescent="0.3">
      <c r="A242" t="s">
        <v>27</v>
      </c>
      <c r="B242" t="s">
        <v>258</v>
      </c>
      <c r="C242" t="s">
        <v>259</v>
      </c>
      <c r="D242" t="s">
        <v>228</v>
      </c>
      <c r="E242" t="s">
        <v>147</v>
      </c>
      <c r="F242">
        <v>187.1009194258605</v>
      </c>
      <c r="G242">
        <v>185.70731917694053</v>
      </c>
      <c r="H242">
        <v>181.14363719185619</v>
      </c>
      <c r="I242">
        <v>182.15133527980717</v>
      </c>
      <c r="J242">
        <v>178.90889850692454</v>
      </c>
      <c r="K242">
        <v>174.93677938461013</v>
      </c>
      <c r="L242">
        <v>164.98727106991359</v>
      </c>
      <c r="M242">
        <v>172.27205640616987</v>
      </c>
      <c r="N242">
        <v>171.69855040696564</v>
      </c>
      <c r="O242">
        <v>171.19445202905192</v>
      </c>
      <c r="P242">
        <v>170.73493368206221</v>
      </c>
      <c r="Q242">
        <v>170.15888368872203</v>
      </c>
      <c r="S242" t="str">
        <f t="shared" si="3"/>
        <v>AFWC_REV_HH_PR19CA009</v>
      </c>
    </row>
    <row r="243" spans="1:19" x14ac:dyDescent="0.3">
      <c r="A243" t="s">
        <v>27</v>
      </c>
      <c r="B243" t="s">
        <v>260</v>
      </c>
      <c r="C243" t="s">
        <v>261</v>
      </c>
      <c r="D243" t="s">
        <v>15</v>
      </c>
      <c r="E243" t="s">
        <v>147</v>
      </c>
      <c r="F243">
        <v>26.850766568194281</v>
      </c>
      <c r="G243">
        <v>30.069879676107657</v>
      </c>
      <c r="H243">
        <v>32.660279873154082</v>
      </c>
      <c r="I243">
        <v>32.398999999999994</v>
      </c>
      <c r="J243">
        <v>33.656000000000006</v>
      </c>
      <c r="K243">
        <v>28.573</v>
      </c>
      <c r="L243">
        <v>29.009</v>
      </c>
      <c r="M243">
        <v>28.14</v>
      </c>
      <c r="N243">
        <v>28.669999999999998</v>
      </c>
      <c r="O243">
        <v>29.132000000000001</v>
      </c>
      <c r="P243">
        <v>29.753999999999998</v>
      </c>
      <c r="Q243">
        <v>29.760999999999996</v>
      </c>
      <c r="S243" t="str">
        <f t="shared" si="3"/>
        <v>AFWC_TC_TRN_PR19CA009</v>
      </c>
    </row>
    <row r="244" spans="1:19" x14ac:dyDescent="0.3">
      <c r="A244" t="s">
        <v>27</v>
      </c>
      <c r="B244" t="s">
        <v>262</v>
      </c>
      <c r="C244" t="s">
        <v>263</v>
      </c>
      <c r="D244" t="s">
        <v>15</v>
      </c>
      <c r="E244" t="s">
        <v>147</v>
      </c>
      <c r="F244">
        <v>28.380298064725963</v>
      </c>
      <c r="G244">
        <v>31.424242937194151</v>
      </c>
      <c r="H244">
        <v>33.98082030729325</v>
      </c>
      <c r="I244">
        <v>33.252514895363142</v>
      </c>
      <c r="J244">
        <v>33.656000000000006</v>
      </c>
      <c r="K244">
        <v>27.977915596617596</v>
      </c>
      <c r="L244">
        <v>27.84881814692579</v>
      </c>
      <c r="M244">
        <v>26.475988564550107</v>
      </c>
      <c r="N244">
        <v>26.449322809088237</v>
      </c>
      <c r="O244">
        <v>26.346889788834414</v>
      </c>
      <c r="P244">
        <v>26.382836358480017</v>
      </c>
      <c r="Q244">
        <v>25.868158604392622</v>
      </c>
      <c r="S244" t="str">
        <f t="shared" si="3"/>
        <v>AFWC_TC_TRR_PR19CA009</v>
      </c>
    </row>
    <row r="245" spans="1:19" x14ac:dyDescent="0.3">
      <c r="A245" t="s">
        <v>27</v>
      </c>
      <c r="B245" t="s">
        <v>264</v>
      </c>
      <c r="C245" t="s">
        <v>265</v>
      </c>
      <c r="D245" t="s">
        <v>15</v>
      </c>
      <c r="E245" t="s">
        <v>147</v>
      </c>
      <c r="F245">
        <v>19.693109592785461</v>
      </c>
      <c r="G245">
        <v>22.031418670460631</v>
      </c>
      <c r="H245">
        <v>23.559847262368127</v>
      </c>
      <c r="I245">
        <v>22.931600984817401</v>
      </c>
      <c r="J245">
        <v>22.988000000000007</v>
      </c>
      <c r="K245">
        <v>19.54038020670216</v>
      </c>
      <c r="L245">
        <v>18.445557994933711</v>
      </c>
      <c r="M245">
        <v>17.926332982244961</v>
      </c>
      <c r="N245">
        <v>18.236840365889652</v>
      </c>
      <c r="O245">
        <v>18.465975412207229</v>
      </c>
      <c r="P245">
        <v>18.826389109472601</v>
      </c>
      <c r="Q245">
        <v>18.632097303308367</v>
      </c>
      <c r="S245" t="str">
        <f t="shared" si="3"/>
        <v>AFWC_OC_TR_PR19CA009</v>
      </c>
    </row>
    <row r="246" spans="1:19" x14ac:dyDescent="0.3">
      <c r="A246" t="s">
        <v>27</v>
      </c>
      <c r="B246" t="s">
        <v>266</v>
      </c>
      <c r="C246" t="s">
        <v>267</v>
      </c>
      <c r="D246" t="s">
        <v>16</v>
      </c>
      <c r="E246" t="s">
        <v>147</v>
      </c>
      <c r="F246">
        <v>1.0569641649763351</v>
      </c>
      <c r="G246">
        <v>1.0450405281189941</v>
      </c>
      <c r="H246">
        <v>1.0404326123128118</v>
      </c>
      <c r="I246">
        <v>1.0263438654082888</v>
      </c>
      <c r="J246">
        <v>1</v>
      </c>
      <c r="K246">
        <v>0.97917319135609127</v>
      </c>
      <c r="L246">
        <v>0.960006141091585</v>
      </c>
      <c r="M246">
        <v>0.94086668672885954</v>
      </c>
      <c r="N246">
        <v>0.92254352316317534</v>
      </c>
      <c r="O246">
        <v>0.90439687590396856</v>
      </c>
      <c r="P246">
        <v>0.88669880884855878</v>
      </c>
      <c r="Q246">
        <v>0.86919655268279383</v>
      </c>
      <c r="S246" t="str">
        <f t="shared" si="3"/>
        <v>AFWC_CD0014R_PR19</v>
      </c>
    </row>
    <row r="247" spans="1:19" x14ac:dyDescent="0.3">
      <c r="A247" t="s">
        <v>27</v>
      </c>
      <c r="B247" t="s">
        <v>268</v>
      </c>
      <c r="C247" t="s">
        <v>269</v>
      </c>
      <c r="D247" t="s">
        <v>15</v>
      </c>
      <c r="E247" t="s">
        <v>147</v>
      </c>
      <c r="F247">
        <v>28.380298064725963</v>
      </c>
      <c r="G247">
        <v>31.424242937194151</v>
      </c>
      <c r="H247">
        <v>33.98082030729325</v>
      </c>
      <c r="I247">
        <v>33.252514895363134</v>
      </c>
      <c r="J247">
        <v>33.656000000000006</v>
      </c>
      <c r="K247">
        <v>27.977915596617596</v>
      </c>
      <c r="L247">
        <v>27.84881814692579</v>
      </c>
      <c r="M247">
        <v>26.475988564550107</v>
      </c>
      <c r="N247">
        <v>26.449322809088237</v>
      </c>
      <c r="O247">
        <v>26.346889788834414</v>
      </c>
      <c r="P247">
        <v>26.382836358480017</v>
      </c>
      <c r="Q247">
        <v>25.868158604392622</v>
      </c>
      <c r="S247" t="str">
        <f t="shared" si="3"/>
        <v>AFWC_BPTOTEX_PR19CA009</v>
      </c>
    </row>
    <row r="248" spans="1:19" x14ac:dyDescent="0.3">
      <c r="A248" t="s">
        <v>27</v>
      </c>
      <c r="B248" t="s">
        <v>273</v>
      </c>
      <c r="C248" t="s">
        <v>274</v>
      </c>
      <c r="D248" t="s">
        <v>12</v>
      </c>
      <c r="E248" t="s">
        <v>147</v>
      </c>
      <c r="F248">
        <v>0.27503200821564999</v>
      </c>
      <c r="G248">
        <v>0.27412112420948342</v>
      </c>
      <c r="H248">
        <v>0.2693392045894703</v>
      </c>
      <c r="I248">
        <v>0.26067561912301762</v>
      </c>
      <c r="J248">
        <v>0.25891333026759389</v>
      </c>
      <c r="K248">
        <v>0.24974942809889139</v>
      </c>
      <c r="L248" t="s">
        <v>293</v>
      </c>
      <c r="M248" t="s">
        <v>293</v>
      </c>
      <c r="N248" t="s">
        <v>293</v>
      </c>
      <c r="O248" t="s">
        <v>293</v>
      </c>
      <c r="P248" t="s">
        <v>293</v>
      </c>
      <c r="Q248" t="s">
        <v>293</v>
      </c>
      <c r="S248" t="str">
        <f t="shared" si="3"/>
        <v>AFWC_CD0018_PR19RR1</v>
      </c>
    </row>
    <row r="249" spans="1:19" x14ac:dyDescent="0.3">
      <c r="A249" t="s">
        <v>27</v>
      </c>
      <c r="B249" t="s">
        <v>275</v>
      </c>
      <c r="C249" t="s">
        <v>154</v>
      </c>
      <c r="D249" t="s">
        <v>12</v>
      </c>
      <c r="E249" t="s">
        <v>147</v>
      </c>
      <c r="F249">
        <v>0.15669624937585769</v>
      </c>
      <c r="G249">
        <v>0.15669624937585769</v>
      </c>
      <c r="H249">
        <v>0.15669624937585769</v>
      </c>
      <c r="I249">
        <v>0.15669624937585769</v>
      </c>
      <c r="J249">
        <v>0.1561889046621954</v>
      </c>
      <c r="K249">
        <v>0.1561889046621954</v>
      </c>
      <c r="L249" t="s">
        <v>293</v>
      </c>
      <c r="M249" t="s">
        <v>293</v>
      </c>
      <c r="N249" t="s">
        <v>293</v>
      </c>
      <c r="O249" t="s">
        <v>293</v>
      </c>
      <c r="P249" t="s">
        <v>293</v>
      </c>
      <c r="Q249" t="s">
        <v>293</v>
      </c>
      <c r="S249" t="str">
        <f t="shared" si="3"/>
        <v>AFWC_CD0019_PR19RR1</v>
      </c>
    </row>
    <row r="250" spans="1:19" x14ac:dyDescent="0.3">
      <c r="A250" t="s">
        <v>27</v>
      </c>
      <c r="B250" t="s">
        <v>276</v>
      </c>
      <c r="C250" t="s">
        <v>153</v>
      </c>
      <c r="D250" t="s">
        <v>12</v>
      </c>
      <c r="E250" t="s">
        <v>147</v>
      </c>
      <c r="F250" t="s">
        <v>293</v>
      </c>
      <c r="G250" t="s">
        <v>293</v>
      </c>
      <c r="H250" t="s">
        <v>293</v>
      </c>
      <c r="I250" t="s">
        <v>293</v>
      </c>
      <c r="J250" t="s">
        <v>293</v>
      </c>
      <c r="K250" t="s">
        <v>293</v>
      </c>
      <c r="L250" t="s">
        <v>293</v>
      </c>
      <c r="M250" t="s">
        <v>293</v>
      </c>
      <c r="N250" t="s">
        <v>293</v>
      </c>
      <c r="O250" t="s">
        <v>293</v>
      </c>
      <c r="P250" t="s">
        <v>293</v>
      </c>
      <c r="Q250" t="s">
        <v>293</v>
      </c>
      <c r="S250" t="str">
        <f t="shared" si="3"/>
        <v>AFWC_CD0020_PR19RR1</v>
      </c>
    </row>
    <row r="251" spans="1:19" x14ac:dyDescent="0.3">
      <c r="A251" t="s">
        <v>27</v>
      </c>
      <c r="B251" t="s">
        <v>277</v>
      </c>
      <c r="C251" t="s">
        <v>278</v>
      </c>
      <c r="D251" t="s">
        <v>12</v>
      </c>
      <c r="E251" t="s">
        <v>147</v>
      </c>
      <c r="F251">
        <v>0.12335341394246332</v>
      </c>
      <c r="G251">
        <v>0.12336138295783536</v>
      </c>
      <c r="H251">
        <v>0.12336285892204868</v>
      </c>
      <c r="I251">
        <v>0.12333792174925624</v>
      </c>
      <c r="J251">
        <v>0.12331170103658724</v>
      </c>
      <c r="K251">
        <v>0.12331170103658724</v>
      </c>
      <c r="L251" t="s">
        <v>293</v>
      </c>
      <c r="M251" t="s">
        <v>293</v>
      </c>
      <c r="N251" t="s">
        <v>293</v>
      </c>
      <c r="O251" t="s">
        <v>293</v>
      </c>
      <c r="P251" t="s">
        <v>293</v>
      </c>
      <c r="Q251" t="s">
        <v>293</v>
      </c>
      <c r="S251" t="str">
        <f t="shared" si="3"/>
        <v>AFWC_CD0021_PR19RR1</v>
      </c>
    </row>
    <row r="252" spans="1:19" x14ac:dyDescent="0.3">
      <c r="A252" t="s">
        <v>27</v>
      </c>
      <c r="B252" t="s">
        <v>279</v>
      </c>
      <c r="C252" t="s">
        <v>280</v>
      </c>
      <c r="D252" t="s">
        <v>15</v>
      </c>
      <c r="E252" t="s">
        <v>147</v>
      </c>
      <c r="F252">
        <v>250.29911958584992</v>
      </c>
      <c r="G252">
        <v>248.8622928679961</v>
      </c>
      <c r="H252">
        <v>243.847231780366</v>
      </c>
      <c r="I252">
        <v>247.37863553549445</v>
      </c>
      <c r="J252">
        <v>244.13299999999998</v>
      </c>
      <c r="K252">
        <v>240.21566316943307</v>
      </c>
      <c r="L252">
        <v>229.09010547324931</v>
      </c>
      <c r="M252">
        <v>242.66379683018209</v>
      </c>
      <c r="N252">
        <v>245.30314348817566</v>
      </c>
      <c r="O252">
        <v>247.4458305184078</v>
      </c>
      <c r="P252">
        <v>249.63701005442095</v>
      </c>
      <c r="Q252">
        <v>251.64048609636868</v>
      </c>
      <c r="S252" t="str">
        <f t="shared" si="3"/>
        <v>AFWC_CD0022_PR19RR1</v>
      </c>
    </row>
    <row r="253" spans="1:19" x14ac:dyDescent="0.3">
      <c r="A253" t="s">
        <v>27</v>
      </c>
      <c r="B253" t="s">
        <v>286</v>
      </c>
      <c r="C253" t="s">
        <v>287</v>
      </c>
      <c r="D253" t="s">
        <v>15</v>
      </c>
      <c r="E253" t="s">
        <v>147</v>
      </c>
      <c r="F253" t="s">
        <v>293</v>
      </c>
      <c r="G253" t="s">
        <v>293</v>
      </c>
      <c r="H253" t="s">
        <v>293</v>
      </c>
      <c r="I253" t="s">
        <v>293</v>
      </c>
      <c r="J253">
        <v>1.1100000000000001</v>
      </c>
      <c r="K253">
        <v>1.5333852176636389</v>
      </c>
      <c r="L253">
        <v>1.1654474552851841</v>
      </c>
      <c r="M253">
        <v>0.76398374962383397</v>
      </c>
      <c r="N253">
        <v>0.33765092947772218</v>
      </c>
      <c r="O253">
        <v>0.33100925658085251</v>
      </c>
      <c r="P253">
        <v>0.32453176403857253</v>
      </c>
      <c r="Q253">
        <v>0.31812593828190255</v>
      </c>
      <c r="S253" t="str">
        <f t="shared" si="3"/>
        <v>AFWC_BM4017_PR19CA009</v>
      </c>
    </row>
    <row r="254" spans="1:19" x14ac:dyDescent="0.3">
      <c r="A254" t="s">
        <v>27</v>
      </c>
      <c r="B254" t="s">
        <v>289</v>
      </c>
      <c r="C254" t="s">
        <v>290</v>
      </c>
      <c r="D254" t="s">
        <v>146</v>
      </c>
      <c r="E254" t="s">
        <v>147</v>
      </c>
      <c r="F254" t="s">
        <v>314</v>
      </c>
      <c r="G254" t="s">
        <v>314</v>
      </c>
      <c r="H254" t="s">
        <v>314</v>
      </c>
      <c r="I254" t="s">
        <v>314</v>
      </c>
      <c r="J254" t="s">
        <v>314</v>
      </c>
      <c r="K254" t="s">
        <v>314</v>
      </c>
      <c r="L254" t="s">
        <v>314</v>
      </c>
      <c r="M254" t="s">
        <v>314</v>
      </c>
      <c r="N254" t="s">
        <v>314</v>
      </c>
      <c r="O254" t="s">
        <v>314</v>
      </c>
      <c r="P254" t="s">
        <v>314</v>
      </c>
      <c r="Q254" t="s">
        <v>314</v>
      </c>
      <c r="S254" t="str">
        <f t="shared" si="3"/>
        <v>AFWPR19QA_CA009_OUT_1</v>
      </c>
    </row>
    <row r="255" spans="1:19" x14ac:dyDescent="0.3">
      <c r="A255" t="s">
        <v>27</v>
      </c>
      <c r="B255" t="s">
        <v>291</v>
      </c>
      <c r="C255" t="s">
        <v>292</v>
      </c>
      <c r="D255" t="s">
        <v>146</v>
      </c>
      <c r="E255" t="s">
        <v>147</v>
      </c>
      <c r="F255" t="s">
        <v>315</v>
      </c>
      <c r="G255" t="s">
        <v>315</v>
      </c>
      <c r="H255" t="s">
        <v>315</v>
      </c>
      <c r="I255" t="s">
        <v>315</v>
      </c>
      <c r="J255" t="s">
        <v>315</v>
      </c>
      <c r="K255" t="s">
        <v>315</v>
      </c>
      <c r="L255" t="s">
        <v>315</v>
      </c>
      <c r="M255" t="s">
        <v>315</v>
      </c>
      <c r="N255" t="s">
        <v>315</v>
      </c>
      <c r="O255" t="s">
        <v>315</v>
      </c>
      <c r="P255" t="s">
        <v>315</v>
      </c>
      <c r="Q255" t="s">
        <v>315</v>
      </c>
      <c r="S255" t="str">
        <f t="shared" si="3"/>
        <v>AFWPR19QA_CA009_OUT_2</v>
      </c>
    </row>
    <row r="256" spans="1:19" x14ac:dyDescent="0.3">
      <c r="A256" t="s">
        <v>28</v>
      </c>
      <c r="B256" t="s">
        <v>244</v>
      </c>
      <c r="C256" t="s">
        <v>245</v>
      </c>
      <c r="D256" t="s">
        <v>15</v>
      </c>
      <c r="E256" t="s">
        <v>147</v>
      </c>
      <c r="F256">
        <v>0.2779815753887761</v>
      </c>
      <c r="G256">
        <v>0.20482794351132286</v>
      </c>
      <c r="H256">
        <v>0.24346123128119795</v>
      </c>
      <c r="I256">
        <v>0.26684940500615512</v>
      </c>
      <c r="J256">
        <v>0.20700000000000002</v>
      </c>
      <c r="K256">
        <v>0.23793908549953016</v>
      </c>
      <c r="L256">
        <v>0.3240444410272203</v>
      </c>
      <c r="M256">
        <v>0.44388289374529277</v>
      </c>
      <c r="N256">
        <v>0.47115756814656418</v>
      </c>
      <c r="O256">
        <v>0.48270678542979373</v>
      </c>
      <c r="P256">
        <v>0.46256041459605562</v>
      </c>
      <c r="Q256">
        <v>0.42133537519142439</v>
      </c>
      <c r="S256" t="str">
        <f t="shared" si="3"/>
        <v>BRLC_DEP_PR19CA009</v>
      </c>
    </row>
    <row r="257" spans="1:19" x14ac:dyDescent="0.3">
      <c r="A257" t="s">
        <v>28</v>
      </c>
      <c r="B257" t="s">
        <v>246</v>
      </c>
      <c r="C257" t="s">
        <v>247</v>
      </c>
      <c r="D257" t="s">
        <v>15</v>
      </c>
      <c r="E257" t="s">
        <v>147</v>
      </c>
      <c r="F257">
        <v>9.6466576084038795</v>
      </c>
      <c r="G257">
        <v>9.645041293185443</v>
      </c>
      <c r="H257">
        <v>9.5580165722172037</v>
      </c>
      <c r="I257">
        <v>9.1120344009476799</v>
      </c>
      <c r="J257">
        <v>10.039676540114497</v>
      </c>
      <c r="K257">
        <v>11.50212658709226</v>
      </c>
      <c r="L257">
        <v>10.424230816546274</v>
      </c>
      <c r="M257">
        <v>9.0039430293896547</v>
      </c>
      <c r="N257">
        <v>9.1136655093448162</v>
      </c>
      <c r="O257">
        <v>9.1306750669853294</v>
      </c>
      <c r="P257">
        <v>9.0656514269487989</v>
      </c>
      <c r="Q257">
        <v>8.9455419741055309</v>
      </c>
      <c r="S257" t="str">
        <f t="shared" si="3"/>
        <v>BRLC_STC_TR_PR19CA009</v>
      </c>
    </row>
    <row r="258" spans="1:19" x14ac:dyDescent="0.3">
      <c r="A258" t="s">
        <v>28</v>
      </c>
      <c r="B258" t="s">
        <v>248</v>
      </c>
      <c r="C258" t="s">
        <v>249</v>
      </c>
      <c r="D258" t="s">
        <v>15</v>
      </c>
      <c r="E258" t="s">
        <v>147</v>
      </c>
      <c r="F258">
        <v>5.3131045320009065</v>
      </c>
      <c r="G258">
        <v>5.569383233521366</v>
      </c>
      <c r="H258">
        <v>6.6104709815350073</v>
      </c>
      <c r="I258">
        <v>5.7651270558512504</v>
      </c>
      <c r="J258">
        <v>6.5716765401144972</v>
      </c>
      <c r="K258">
        <v>7.2211813944834287</v>
      </c>
      <c r="L258">
        <v>6.8164719360295667</v>
      </c>
      <c r="M258">
        <v>5.9617902034665011</v>
      </c>
      <c r="N258">
        <v>6.0751611139839348</v>
      </c>
      <c r="O258">
        <v>6.1013050908827786</v>
      </c>
      <c r="P258">
        <v>6.0470230015618718</v>
      </c>
      <c r="Q258">
        <v>5.934386885702355</v>
      </c>
      <c r="S258" t="str">
        <f t="shared" si="3"/>
        <v>BRLC_SOC_TR_PR19CA009</v>
      </c>
    </row>
    <row r="259" spans="1:19" x14ac:dyDescent="0.3">
      <c r="A259" t="s">
        <v>28</v>
      </c>
      <c r="B259" t="s">
        <v>250</v>
      </c>
      <c r="C259" t="s">
        <v>251</v>
      </c>
      <c r="D259" t="s">
        <v>15</v>
      </c>
      <c r="E259" t="s">
        <v>147</v>
      </c>
      <c r="F259">
        <v>4.333553076402973</v>
      </c>
      <c r="G259">
        <v>4.075658059664077</v>
      </c>
      <c r="H259">
        <v>2.9475455906821959</v>
      </c>
      <c r="I259">
        <v>3.34690734509643</v>
      </c>
      <c r="J259">
        <v>3.468</v>
      </c>
      <c r="K259">
        <v>4.2809451926088311</v>
      </c>
      <c r="L259">
        <v>3.6077588805167076</v>
      </c>
      <c r="M259">
        <v>3.0421528259231536</v>
      </c>
      <c r="N259">
        <v>3.0385043953608819</v>
      </c>
      <c r="O259">
        <v>3.0293699761025512</v>
      </c>
      <c r="P259">
        <v>3.0186284253869275</v>
      </c>
      <c r="Q259">
        <v>3.0111550884031759</v>
      </c>
      <c r="S259" t="str">
        <f t="shared" si="3"/>
        <v>BRLC_DC_T_PR19CA009</v>
      </c>
    </row>
    <row r="260" spans="1:19" x14ac:dyDescent="0.3">
      <c r="A260" t="s">
        <v>28</v>
      </c>
      <c r="B260" t="s">
        <v>252</v>
      </c>
      <c r="C260" t="s">
        <v>253</v>
      </c>
      <c r="D260" t="s">
        <v>13</v>
      </c>
      <c r="E260" t="s">
        <v>147</v>
      </c>
      <c r="F260">
        <v>473.15</v>
      </c>
      <c r="G260">
        <v>476.72399999999993</v>
      </c>
      <c r="H260">
        <v>481.13800000000003</v>
      </c>
      <c r="I260">
        <v>484.59000000000003</v>
      </c>
      <c r="J260">
        <v>489.95500000000004</v>
      </c>
      <c r="K260">
        <v>493.83199999999999</v>
      </c>
      <c r="L260">
        <v>501.97699999999998</v>
      </c>
      <c r="M260">
        <v>508.06900000000002</v>
      </c>
      <c r="N260">
        <v>514.02</v>
      </c>
      <c r="O260">
        <v>519.48599999999999</v>
      </c>
      <c r="P260">
        <v>524.86</v>
      </c>
      <c r="Q260">
        <v>530.11</v>
      </c>
      <c r="S260" t="str">
        <f t="shared" si="3"/>
        <v>BRLC_HH_T_PR19CA009</v>
      </c>
    </row>
    <row r="261" spans="1:19" x14ac:dyDescent="0.3">
      <c r="A261" t="s">
        <v>28</v>
      </c>
      <c r="B261" t="s">
        <v>254</v>
      </c>
      <c r="C261" t="s">
        <v>255</v>
      </c>
      <c r="D261" t="s">
        <v>12</v>
      </c>
      <c r="E261" t="s">
        <v>147</v>
      </c>
      <c r="F261">
        <v>0.42221282891260697</v>
      </c>
      <c r="G261">
        <v>0.44620786870390416</v>
      </c>
      <c r="H261">
        <v>0.46621967086366067</v>
      </c>
      <c r="I261">
        <v>0.48440537361480834</v>
      </c>
      <c r="J261">
        <v>0.51058362502678811</v>
      </c>
      <c r="K261">
        <v>0.54551750392846154</v>
      </c>
      <c r="L261">
        <v>0.59962906667038529</v>
      </c>
      <c r="M261">
        <v>0.66546079371109046</v>
      </c>
      <c r="N261">
        <v>0.68307847943659783</v>
      </c>
      <c r="O261">
        <v>0.7007253323477437</v>
      </c>
      <c r="P261">
        <v>0.71839157108562279</v>
      </c>
      <c r="Q261">
        <v>0.73660938295825384</v>
      </c>
      <c r="S261" t="str">
        <f t="shared" ref="S261:S324" si="4">A261&amp;B261</f>
        <v>BRLC_HHM_HH_PR19CA009</v>
      </c>
    </row>
    <row r="262" spans="1:19" x14ac:dyDescent="0.3">
      <c r="A262" t="s">
        <v>28</v>
      </c>
      <c r="B262" t="s">
        <v>256</v>
      </c>
      <c r="C262" t="s">
        <v>257</v>
      </c>
      <c r="D262" t="s">
        <v>12</v>
      </c>
      <c r="E262" t="s">
        <v>147</v>
      </c>
      <c r="F262" t="s">
        <v>293</v>
      </c>
      <c r="G262" t="s">
        <v>293</v>
      </c>
      <c r="H262" t="s">
        <v>293</v>
      </c>
      <c r="I262" t="s">
        <v>293</v>
      </c>
      <c r="J262" t="s">
        <v>293</v>
      </c>
      <c r="K262" t="s">
        <v>293</v>
      </c>
      <c r="L262" t="s">
        <v>293</v>
      </c>
      <c r="M262" t="s">
        <v>293</v>
      </c>
      <c r="N262" t="s">
        <v>293</v>
      </c>
      <c r="O262" t="s">
        <v>293</v>
      </c>
      <c r="P262" t="s">
        <v>293</v>
      </c>
      <c r="Q262" t="s">
        <v>293</v>
      </c>
      <c r="S262" t="str">
        <f t="shared" si="4"/>
        <v>BRLC_HHDU_HH_PR19CA009</v>
      </c>
    </row>
    <row r="263" spans="1:19" x14ac:dyDescent="0.3">
      <c r="A263" t="s">
        <v>28</v>
      </c>
      <c r="B263" t="s">
        <v>258</v>
      </c>
      <c r="C263" t="s">
        <v>259</v>
      </c>
      <c r="D263" t="s">
        <v>228</v>
      </c>
      <c r="E263" t="s">
        <v>147</v>
      </c>
      <c r="F263">
        <v>210.38362517582445</v>
      </c>
      <c r="G263">
        <v>222.32587459743502</v>
      </c>
      <c r="H263">
        <v>179.49036291123466</v>
      </c>
      <c r="I263">
        <v>174.72562344371013</v>
      </c>
      <c r="J263">
        <v>176.67336796236387</v>
      </c>
      <c r="K263">
        <v>179.81277039827003</v>
      </c>
      <c r="L263">
        <v>181.53174033709058</v>
      </c>
      <c r="M263">
        <v>174.88874225260395</v>
      </c>
      <c r="N263">
        <v>174.34442021738883</v>
      </c>
      <c r="O263">
        <v>173.55655605184654</v>
      </c>
      <c r="P263">
        <v>172.97459705647344</v>
      </c>
      <c r="Q263">
        <v>172.04682598427462</v>
      </c>
      <c r="S263" t="str">
        <f t="shared" si="4"/>
        <v>BRLC_REV_HH_PR19CA009</v>
      </c>
    </row>
    <row r="264" spans="1:19" x14ac:dyDescent="0.3">
      <c r="A264" t="s">
        <v>28</v>
      </c>
      <c r="B264" t="s">
        <v>260</v>
      </c>
      <c r="C264" t="s">
        <v>261</v>
      </c>
      <c r="D264" t="s">
        <v>15</v>
      </c>
      <c r="E264" t="s">
        <v>147</v>
      </c>
      <c r="F264">
        <v>9.1630000000000003</v>
      </c>
      <c r="G264">
        <v>9.1959999999999997</v>
      </c>
      <c r="H264">
        <v>9.1902167908103749</v>
      </c>
      <c r="I264">
        <v>8.9046250227292756</v>
      </c>
      <c r="J264">
        <v>10.007000000000001</v>
      </c>
      <c r="K264">
        <v>11.745000000000001</v>
      </c>
      <c r="L264">
        <v>10.840999999999999</v>
      </c>
      <c r="M264">
        <v>9.554000000000002</v>
      </c>
      <c r="N264">
        <v>9.8650000000000002</v>
      </c>
      <c r="O264">
        <v>10.082000000000001</v>
      </c>
      <c r="P264">
        <v>10.211000000000002</v>
      </c>
      <c r="Q264">
        <v>10.276</v>
      </c>
      <c r="S264" t="str">
        <f t="shared" si="4"/>
        <v>BRLC_TC_TRN_PR19CA009</v>
      </c>
    </row>
    <row r="265" spans="1:19" x14ac:dyDescent="0.3">
      <c r="A265" t="s">
        <v>28</v>
      </c>
      <c r="B265" t="s">
        <v>262</v>
      </c>
      <c r="C265" t="s">
        <v>263</v>
      </c>
      <c r="D265" t="s">
        <v>15</v>
      </c>
      <c r="E265" t="s">
        <v>147</v>
      </c>
      <c r="F265">
        <v>9.6849626436781584</v>
      </c>
      <c r="G265">
        <v>9.6101926965822688</v>
      </c>
      <c r="H265">
        <v>9.561801263383904</v>
      </c>
      <c r="I265">
        <v>9.1392072658393371</v>
      </c>
      <c r="J265">
        <v>10.007000000000001</v>
      </c>
      <c r="K265">
        <v>11.500389132477293</v>
      </c>
      <c r="L265">
        <v>10.424230816546276</v>
      </c>
      <c r="M265">
        <v>9.0039430293896565</v>
      </c>
      <c r="N265">
        <v>9.1136655093448145</v>
      </c>
      <c r="O265">
        <v>9.1306750669853294</v>
      </c>
      <c r="P265">
        <v>9.0656514269487989</v>
      </c>
      <c r="Q265">
        <v>8.9455419741055309</v>
      </c>
      <c r="S265" t="str">
        <f t="shared" si="4"/>
        <v>BRLC_TC_TRR_PR19CA009</v>
      </c>
    </row>
    <row r="266" spans="1:19" x14ac:dyDescent="0.3">
      <c r="A266" t="s">
        <v>28</v>
      </c>
      <c r="B266" t="s">
        <v>264</v>
      </c>
      <c r="C266" t="s">
        <v>265</v>
      </c>
      <c r="D266" t="s">
        <v>15</v>
      </c>
      <c r="E266" t="s">
        <v>147</v>
      </c>
      <c r="F266">
        <v>5.3514095672751854</v>
      </c>
      <c r="G266">
        <v>5.5345346369181918</v>
      </c>
      <c r="H266">
        <v>6.6142556727017086</v>
      </c>
      <c r="I266">
        <v>5.7922999207429067</v>
      </c>
      <c r="J266">
        <v>6.5390000000000015</v>
      </c>
      <c r="K266">
        <v>7.2194439398684622</v>
      </c>
      <c r="L266">
        <v>6.8164719360295667</v>
      </c>
      <c r="M266">
        <v>5.9617902034665038</v>
      </c>
      <c r="N266">
        <v>6.0751611139839339</v>
      </c>
      <c r="O266">
        <v>6.1013050908827786</v>
      </c>
      <c r="P266">
        <v>6.0470230015618718</v>
      </c>
      <c r="Q266">
        <v>5.9343868857023558</v>
      </c>
      <c r="S266" t="str">
        <f t="shared" si="4"/>
        <v>BRLC_OC_TR_PR19CA009</v>
      </c>
    </row>
    <row r="267" spans="1:19" x14ac:dyDescent="0.3">
      <c r="A267" t="s">
        <v>28</v>
      </c>
      <c r="B267" t="s">
        <v>266</v>
      </c>
      <c r="C267" t="s">
        <v>267</v>
      </c>
      <c r="D267" t="s">
        <v>16</v>
      </c>
      <c r="E267" t="s">
        <v>147</v>
      </c>
      <c r="F267">
        <v>1.0569641649763351</v>
      </c>
      <c r="G267">
        <v>1.0450405281189941</v>
      </c>
      <c r="H267">
        <v>1.0404326123128118</v>
      </c>
      <c r="I267">
        <v>1.0263438654082888</v>
      </c>
      <c r="J267">
        <v>1</v>
      </c>
      <c r="K267">
        <v>0.97917319135609127</v>
      </c>
      <c r="L267">
        <v>0.96155620482854676</v>
      </c>
      <c r="M267">
        <v>0.94242652599849852</v>
      </c>
      <c r="N267">
        <v>0.92383836891483173</v>
      </c>
      <c r="O267">
        <v>0.90564124846115146</v>
      </c>
      <c r="P267">
        <v>0.88783188981968442</v>
      </c>
      <c r="Q267">
        <v>0.87052763469302563</v>
      </c>
      <c r="S267" t="str">
        <f t="shared" si="4"/>
        <v>BRLC_CD0014R_PR19</v>
      </c>
    </row>
    <row r="268" spans="1:19" x14ac:dyDescent="0.3">
      <c r="A268" t="s">
        <v>28</v>
      </c>
      <c r="B268" t="s">
        <v>268</v>
      </c>
      <c r="C268" t="s">
        <v>269</v>
      </c>
      <c r="D268" t="s">
        <v>15</v>
      </c>
      <c r="E268" t="s">
        <v>147</v>
      </c>
      <c r="F268">
        <v>9.6849626436781584</v>
      </c>
      <c r="G268">
        <v>9.7146967493941681</v>
      </c>
      <c r="H268">
        <v>9.5618012633839058</v>
      </c>
      <c r="I268">
        <v>9.1392072658393371</v>
      </c>
      <c r="J268">
        <v>10.007000000000001</v>
      </c>
      <c r="K268">
        <v>11.500389132477293</v>
      </c>
      <c r="L268">
        <v>10.424230816546276</v>
      </c>
      <c r="M268">
        <v>9.0039430293896565</v>
      </c>
      <c r="N268">
        <v>9.1136655093448145</v>
      </c>
      <c r="O268">
        <v>9.1306750669853294</v>
      </c>
      <c r="P268">
        <v>9.0656514269487989</v>
      </c>
      <c r="Q268">
        <v>8.9455419741055309</v>
      </c>
      <c r="S268" t="str">
        <f t="shared" si="4"/>
        <v>BRLC_BPTOTEX_PR19CA009</v>
      </c>
    </row>
    <row r="269" spans="1:19" x14ac:dyDescent="0.3">
      <c r="A269" t="s">
        <v>28</v>
      </c>
      <c r="B269" t="s">
        <v>273</v>
      </c>
      <c r="C269" t="s">
        <v>274</v>
      </c>
      <c r="D269" t="s">
        <v>12</v>
      </c>
      <c r="E269" t="s">
        <v>147</v>
      </c>
      <c r="F269">
        <v>0.2322692858353185</v>
      </c>
      <c r="G269">
        <v>0.23016402446446663</v>
      </c>
      <c r="H269">
        <v>0.2261885253906219</v>
      </c>
      <c r="I269">
        <v>0.21596246044598807</v>
      </c>
      <c r="J269">
        <v>0.21665510014608047</v>
      </c>
      <c r="K269">
        <v>0.20706490919160805</v>
      </c>
      <c r="L269" t="s">
        <v>293</v>
      </c>
      <c r="M269" t="s">
        <v>293</v>
      </c>
      <c r="N269" t="s">
        <v>293</v>
      </c>
      <c r="O269" t="s">
        <v>293</v>
      </c>
      <c r="P269" t="s">
        <v>293</v>
      </c>
      <c r="Q269" t="s">
        <v>293</v>
      </c>
      <c r="S269" t="str">
        <f t="shared" si="4"/>
        <v>BRLC_CD0018_PR19RR1</v>
      </c>
    </row>
    <row r="270" spans="1:19" x14ac:dyDescent="0.3">
      <c r="A270" t="s">
        <v>28</v>
      </c>
      <c r="B270" t="s">
        <v>275</v>
      </c>
      <c r="C270" t="s">
        <v>154</v>
      </c>
      <c r="D270" t="s">
        <v>12</v>
      </c>
      <c r="E270" t="s">
        <v>147</v>
      </c>
      <c r="F270">
        <v>0.15142448640353362</v>
      </c>
      <c r="G270">
        <v>0.15142448640353362</v>
      </c>
      <c r="H270">
        <v>0.15142448640353362</v>
      </c>
      <c r="I270">
        <v>0.15142448640353362</v>
      </c>
      <c r="J270">
        <v>0.15464731421028721</v>
      </c>
      <c r="K270">
        <v>0.15464731421028721</v>
      </c>
      <c r="L270" t="s">
        <v>293</v>
      </c>
      <c r="M270" t="s">
        <v>293</v>
      </c>
      <c r="N270" t="s">
        <v>293</v>
      </c>
      <c r="O270" t="s">
        <v>293</v>
      </c>
      <c r="P270" t="s">
        <v>293</v>
      </c>
      <c r="Q270" t="s">
        <v>293</v>
      </c>
      <c r="S270" t="str">
        <f t="shared" si="4"/>
        <v>BRLC_CD0019_PR19RR1</v>
      </c>
    </row>
    <row r="271" spans="1:19" x14ac:dyDescent="0.3">
      <c r="A271" t="s">
        <v>28</v>
      </c>
      <c r="B271" t="s">
        <v>276</v>
      </c>
      <c r="C271" t="s">
        <v>153</v>
      </c>
      <c r="D271" t="s">
        <v>12</v>
      </c>
      <c r="E271" t="s">
        <v>147</v>
      </c>
      <c r="F271" t="s">
        <v>293</v>
      </c>
      <c r="G271" t="s">
        <v>293</v>
      </c>
      <c r="H271" t="s">
        <v>293</v>
      </c>
      <c r="I271" t="s">
        <v>293</v>
      </c>
      <c r="J271" t="s">
        <v>293</v>
      </c>
      <c r="K271" t="s">
        <v>293</v>
      </c>
      <c r="L271" t="s">
        <v>293</v>
      </c>
      <c r="M271" t="s">
        <v>293</v>
      </c>
      <c r="N271" t="s">
        <v>293</v>
      </c>
      <c r="O271" t="s">
        <v>293</v>
      </c>
      <c r="P271" t="s">
        <v>293</v>
      </c>
      <c r="Q271" t="s">
        <v>293</v>
      </c>
      <c r="S271" t="str">
        <f t="shared" si="4"/>
        <v>BRLC_CD0020_PR19RR1</v>
      </c>
    </row>
    <row r="272" spans="1:19" x14ac:dyDescent="0.3">
      <c r="A272" t="s">
        <v>28</v>
      </c>
      <c r="B272" t="s">
        <v>277</v>
      </c>
      <c r="C272" t="s">
        <v>278</v>
      </c>
      <c r="D272" t="s">
        <v>12</v>
      </c>
      <c r="E272" t="s">
        <v>147</v>
      </c>
      <c r="F272">
        <v>0.12570917893750863</v>
      </c>
      <c r="G272">
        <v>0.125767924501272</v>
      </c>
      <c r="H272">
        <v>0.12578621097565343</v>
      </c>
      <c r="I272">
        <v>0.12577482052871727</v>
      </c>
      <c r="J272">
        <v>0.12571021329819917</v>
      </c>
      <c r="K272">
        <v>0.12571021329819917</v>
      </c>
      <c r="L272" t="s">
        <v>293</v>
      </c>
      <c r="M272" t="s">
        <v>293</v>
      </c>
      <c r="N272" t="s">
        <v>293</v>
      </c>
      <c r="O272" t="s">
        <v>293</v>
      </c>
      <c r="P272" t="s">
        <v>293</v>
      </c>
      <c r="Q272" t="s">
        <v>293</v>
      </c>
      <c r="S272" t="str">
        <f t="shared" si="4"/>
        <v>BRLC_CD0021_PR19RR1</v>
      </c>
    </row>
    <row r="273" spans="1:19" x14ac:dyDescent="0.3">
      <c r="A273" t="s">
        <v>28</v>
      </c>
      <c r="B273" t="s">
        <v>279</v>
      </c>
      <c r="C273" t="s">
        <v>280</v>
      </c>
      <c r="D273" t="s">
        <v>15</v>
      </c>
      <c r="E273" t="s">
        <v>147</v>
      </c>
      <c r="F273">
        <v>99.543012251941335</v>
      </c>
      <c r="G273">
        <v>105.9880802415876</v>
      </c>
      <c r="H273">
        <v>86.359634230385623</v>
      </c>
      <c r="I273">
        <v>84.670289864587502</v>
      </c>
      <c r="J273">
        <v>86.561999999999998</v>
      </c>
      <c r="K273">
        <v>88.7973000313185</v>
      </c>
      <c r="L273">
        <v>91.124758419191721</v>
      </c>
      <c r="M273">
        <v>88.855548387538235</v>
      </c>
      <c r="N273">
        <v>89.616518880142209</v>
      </c>
      <c r="O273">
        <v>90.160201077149551</v>
      </c>
      <c r="P273">
        <v>90.787447011060635</v>
      </c>
      <c r="Q273">
        <v>91.20374292252383</v>
      </c>
      <c r="S273" t="str">
        <f t="shared" si="4"/>
        <v>BRLC_CD0022_PR19RR1</v>
      </c>
    </row>
    <row r="274" spans="1:19" x14ac:dyDescent="0.3">
      <c r="A274" t="s">
        <v>28</v>
      </c>
      <c r="B274" t="s">
        <v>286</v>
      </c>
      <c r="C274" t="s">
        <v>287</v>
      </c>
      <c r="D274" t="s">
        <v>15</v>
      </c>
      <c r="E274" t="s">
        <v>147</v>
      </c>
      <c r="F274" t="s">
        <v>293</v>
      </c>
      <c r="G274" t="s">
        <v>293</v>
      </c>
      <c r="H274" t="s">
        <v>293</v>
      </c>
      <c r="I274" t="s">
        <v>293</v>
      </c>
      <c r="J274">
        <v>0.30599999999999999</v>
      </c>
      <c r="K274">
        <v>0.63548340119010327</v>
      </c>
      <c r="L274">
        <v>0.58174150392127078</v>
      </c>
      <c r="M274">
        <v>1.1554149208741591</v>
      </c>
      <c r="N274">
        <v>0.19585373420994431</v>
      </c>
      <c r="O274">
        <v>0.19380722717068641</v>
      </c>
      <c r="P274">
        <v>0.18999602442141247</v>
      </c>
      <c r="Q274">
        <v>0.18716344145900052</v>
      </c>
      <c r="S274" t="str">
        <f t="shared" si="4"/>
        <v>BRLC_BM4017_PR19CA009</v>
      </c>
    </row>
    <row r="275" spans="1:19" x14ac:dyDescent="0.3">
      <c r="A275" t="s">
        <v>28</v>
      </c>
      <c r="B275" t="s">
        <v>289</v>
      </c>
      <c r="C275" t="s">
        <v>290</v>
      </c>
      <c r="D275" t="s">
        <v>146</v>
      </c>
      <c r="E275" t="s">
        <v>147</v>
      </c>
      <c r="F275" t="s">
        <v>314</v>
      </c>
      <c r="G275" t="s">
        <v>314</v>
      </c>
      <c r="H275" t="s">
        <v>314</v>
      </c>
      <c r="I275" t="s">
        <v>314</v>
      </c>
      <c r="J275" t="s">
        <v>314</v>
      </c>
      <c r="K275" t="s">
        <v>314</v>
      </c>
      <c r="L275" t="s">
        <v>314</v>
      </c>
      <c r="M275" t="s">
        <v>314</v>
      </c>
      <c r="N275" t="s">
        <v>314</v>
      </c>
      <c r="O275" t="s">
        <v>314</v>
      </c>
      <c r="P275" t="s">
        <v>314</v>
      </c>
      <c r="Q275" t="s">
        <v>314</v>
      </c>
      <c r="S275" t="str">
        <f t="shared" si="4"/>
        <v>BRLPR19QA_CA009_OUT_1</v>
      </c>
    </row>
    <row r="276" spans="1:19" x14ac:dyDescent="0.3">
      <c r="A276" t="s">
        <v>28</v>
      </c>
      <c r="B276" t="s">
        <v>291</v>
      </c>
      <c r="C276" t="s">
        <v>292</v>
      </c>
      <c r="D276" t="s">
        <v>146</v>
      </c>
      <c r="E276" t="s">
        <v>147</v>
      </c>
      <c r="F276" t="s">
        <v>315</v>
      </c>
      <c r="G276" t="s">
        <v>315</v>
      </c>
      <c r="H276" t="s">
        <v>315</v>
      </c>
      <c r="I276" t="s">
        <v>315</v>
      </c>
      <c r="J276" t="s">
        <v>315</v>
      </c>
      <c r="K276" t="s">
        <v>315</v>
      </c>
      <c r="L276" t="s">
        <v>315</v>
      </c>
      <c r="M276" t="s">
        <v>315</v>
      </c>
      <c r="N276" t="s">
        <v>315</v>
      </c>
      <c r="O276" t="s">
        <v>315</v>
      </c>
      <c r="P276" t="s">
        <v>315</v>
      </c>
      <c r="Q276" t="s">
        <v>315</v>
      </c>
      <c r="S276" t="str">
        <f t="shared" si="4"/>
        <v>BRLPR19QA_CA009_OUT_2</v>
      </c>
    </row>
    <row r="277" spans="1:19" x14ac:dyDescent="0.3">
      <c r="A277" t="s">
        <v>271</v>
      </c>
      <c r="B277" t="s">
        <v>244</v>
      </c>
      <c r="C277" t="s">
        <v>245</v>
      </c>
      <c r="D277" t="s">
        <v>15</v>
      </c>
      <c r="E277" t="s">
        <v>147</v>
      </c>
      <c r="F277">
        <v>0.43788279135673214</v>
      </c>
      <c r="G277">
        <v>0.40889036204778839</v>
      </c>
      <c r="H277">
        <v>0.3190221482567287</v>
      </c>
      <c r="I277" t="s">
        <v>293</v>
      </c>
      <c r="J277" t="s">
        <v>293</v>
      </c>
      <c r="K277" t="s">
        <v>293</v>
      </c>
      <c r="L277" t="s">
        <v>293</v>
      </c>
      <c r="M277" t="s">
        <v>293</v>
      </c>
      <c r="N277" t="s">
        <v>293</v>
      </c>
      <c r="O277" t="s">
        <v>293</v>
      </c>
      <c r="P277" t="s">
        <v>293</v>
      </c>
      <c r="Q277" t="s">
        <v>293</v>
      </c>
      <c r="S277" t="str">
        <f t="shared" si="4"/>
        <v>BWHC_DEP_PR19CA009</v>
      </c>
    </row>
    <row r="278" spans="1:19" x14ac:dyDescent="0.3">
      <c r="A278" t="s">
        <v>271</v>
      </c>
      <c r="B278" t="s">
        <v>246</v>
      </c>
      <c r="C278" t="s">
        <v>247</v>
      </c>
      <c r="D278" t="s">
        <v>15</v>
      </c>
      <c r="E278" t="s">
        <v>147</v>
      </c>
      <c r="F278">
        <v>4.263429062690328</v>
      </c>
      <c r="G278">
        <v>4.3942387781671872</v>
      </c>
      <c r="H278">
        <v>4.7511323773147032</v>
      </c>
      <c r="I278" t="s">
        <v>293</v>
      </c>
      <c r="J278" t="s">
        <v>293</v>
      </c>
      <c r="K278" t="s">
        <v>293</v>
      </c>
      <c r="L278" t="s">
        <v>293</v>
      </c>
      <c r="M278" t="s">
        <v>293</v>
      </c>
      <c r="N278" t="s">
        <v>293</v>
      </c>
      <c r="O278" t="s">
        <v>293</v>
      </c>
      <c r="P278" t="s">
        <v>293</v>
      </c>
      <c r="Q278" t="s">
        <v>293</v>
      </c>
      <c r="S278" t="str">
        <f t="shared" si="4"/>
        <v>BWHC_STC_TR_PR19CA009</v>
      </c>
    </row>
    <row r="279" spans="1:19" x14ac:dyDescent="0.3">
      <c r="A279" t="s">
        <v>271</v>
      </c>
      <c r="B279" t="s">
        <v>248</v>
      </c>
      <c r="C279" t="s">
        <v>249</v>
      </c>
      <c r="D279" t="s">
        <v>15</v>
      </c>
      <c r="E279" t="s">
        <v>147</v>
      </c>
      <c r="F279">
        <v>3.455908440648408</v>
      </c>
      <c r="G279">
        <v>3.505954329266042</v>
      </c>
      <c r="H279">
        <v>3.9791313789785967</v>
      </c>
      <c r="I279" t="s">
        <v>293</v>
      </c>
      <c r="J279" t="s">
        <v>293</v>
      </c>
      <c r="K279" t="s">
        <v>293</v>
      </c>
      <c r="L279" t="s">
        <v>293</v>
      </c>
      <c r="M279" t="s">
        <v>293</v>
      </c>
      <c r="N279" t="s">
        <v>293</v>
      </c>
      <c r="O279" t="s">
        <v>293</v>
      </c>
      <c r="P279" t="s">
        <v>293</v>
      </c>
      <c r="Q279" t="s">
        <v>293</v>
      </c>
      <c r="S279" t="str">
        <f t="shared" si="4"/>
        <v>BWHC_SOC_TR_PR19CA009</v>
      </c>
    </row>
    <row r="280" spans="1:19" x14ac:dyDescent="0.3">
      <c r="A280" t="s">
        <v>271</v>
      </c>
      <c r="B280" t="s">
        <v>250</v>
      </c>
      <c r="C280" t="s">
        <v>251</v>
      </c>
      <c r="D280" t="s">
        <v>15</v>
      </c>
      <c r="E280" t="s">
        <v>147</v>
      </c>
      <c r="F280">
        <v>0.80752062204191999</v>
      </c>
      <c r="G280">
        <v>0.888284448901145</v>
      </c>
      <c r="H280">
        <v>0.77200099833610636</v>
      </c>
      <c r="I280" t="s">
        <v>293</v>
      </c>
      <c r="J280" t="s">
        <v>293</v>
      </c>
      <c r="K280" t="s">
        <v>293</v>
      </c>
      <c r="L280" t="s">
        <v>293</v>
      </c>
      <c r="M280" t="s">
        <v>293</v>
      </c>
      <c r="N280" t="s">
        <v>293</v>
      </c>
      <c r="O280" t="s">
        <v>293</v>
      </c>
      <c r="P280" t="s">
        <v>293</v>
      </c>
      <c r="Q280" t="s">
        <v>293</v>
      </c>
      <c r="S280" t="str">
        <f t="shared" si="4"/>
        <v>BWHC_DC_T_PR19CA009</v>
      </c>
    </row>
    <row r="281" spans="1:19" x14ac:dyDescent="0.3">
      <c r="A281" t="s">
        <v>271</v>
      </c>
      <c r="B281" t="s">
        <v>252</v>
      </c>
      <c r="C281" t="s">
        <v>253</v>
      </c>
      <c r="D281" t="s">
        <v>13</v>
      </c>
      <c r="E281" t="s">
        <v>147</v>
      </c>
      <c r="F281">
        <v>185.911</v>
      </c>
      <c r="G281">
        <v>186.52</v>
      </c>
      <c r="H281">
        <v>186.82</v>
      </c>
      <c r="I281" t="s">
        <v>293</v>
      </c>
      <c r="J281" t="s">
        <v>293</v>
      </c>
      <c r="K281" t="s">
        <v>293</v>
      </c>
      <c r="L281" t="s">
        <v>293</v>
      </c>
      <c r="M281" t="s">
        <v>293</v>
      </c>
      <c r="N281" t="s">
        <v>293</v>
      </c>
      <c r="O281" t="s">
        <v>293</v>
      </c>
      <c r="P281" t="s">
        <v>293</v>
      </c>
      <c r="Q281" t="s">
        <v>293</v>
      </c>
      <c r="S281" t="str">
        <f t="shared" si="4"/>
        <v>BWHC_HH_T_PR19CA009</v>
      </c>
    </row>
    <row r="282" spans="1:19" x14ac:dyDescent="0.3">
      <c r="A282" t="s">
        <v>271</v>
      </c>
      <c r="B282" t="s">
        <v>254</v>
      </c>
      <c r="C282" t="s">
        <v>255</v>
      </c>
      <c r="D282" t="s">
        <v>12</v>
      </c>
      <c r="E282" t="s">
        <v>147</v>
      </c>
      <c r="F282">
        <v>0.64133913539274157</v>
      </c>
      <c r="G282">
        <v>0.65907141325327046</v>
      </c>
      <c r="H282">
        <v>0.68145808799914365</v>
      </c>
      <c r="I282" t="s">
        <v>293</v>
      </c>
      <c r="J282" t="s">
        <v>293</v>
      </c>
      <c r="K282" t="s">
        <v>293</v>
      </c>
      <c r="L282" t="s">
        <v>293</v>
      </c>
      <c r="M282" t="s">
        <v>293</v>
      </c>
      <c r="N282" t="s">
        <v>293</v>
      </c>
      <c r="O282" t="s">
        <v>293</v>
      </c>
      <c r="P282" t="s">
        <v>293</v>
      </c>
      <c r="Q282" t="s">
        <v>293</v>
      </c>
      <c r="S282" t="str">
        <f t="shared" si="4"/>
        <v>BWHC_HHM_HH_PR19CA009</v>
      </c>
    </row>
    <row r="283" spans="1:19" x14ac:dyDescent="0.3">
      <c r="A283" t="s">
        <v>271</v>
      </c>
      <c r="B283" t="s">
        <v>256</v>
      </c>
      <c r="C283" t="s">
        <v>257</v>
      </c>
      <c r="D283" t="s">
        <v>12</v>
      </c>
      <c r="E283" t="s">
        <v>147</v>
      </c>
      <c r="F283" t="s">
        <v>293</v>
      </c>
      <c r="G283" t="s">
        <v>293</v>
      </c>
      <c r="H283" t="s">
        <v>293</v>
      </c>
      <c r="I283" t="s">
        <v>293</v>
      </c>
      <c r="J283" t="s">
        <v>293</v>
      </c>
      <c r="K283" t="s">
        <v>293</v>
      </c>
      <c r="L283" t="s">
        <v>293</v>
      </c>
      <c r="M283" t="s">
        <v>293</v>
      </c>
      <c r="N283" t="s">
        <v>293</v>
      </c>
      <c r="O283" t="s">
        <v>293</v>
      </c>
      <c r="P283" t="s">
        <v>293</v>
      </c>
      <c r="Q283" t="s">
        <v>293</v>
      </c>
      <c r="S283" t="str">
        <f t="shared" si="4"/>
        <v>BWHC_HHDU_HH_PR19CA009</v>
      </c>
    </row>
    <row r="284" spans="1:19" x14ac:dyDescent="0.3">
      <c r="A284" t="s">
        <v>271</v>
      </c>
      <c r="B284" t="s">
        <v>258</v>
      </c>
      <c r="C284" t="s">
        <v>259</v>
      </c>
      <c r="D284" t="s">
        <v>228</v>
      </c>
      <c r="E284" t="s">
        <v>147</v>
      </c>
      <c r="F284">
        <v>168.57814952035579</v>
      </c>
      <c r="G284">
        <v>169.23681314746807</v>
      </c>
      <c r="H284">
        <v>140.62714855749283</v>
      </c>
      <c r="I284" t="s">
        <v>293</v>
      </c>
      <c r="J284" t="s">
        <v>293</v>
      </c>
      <c r="K284" t="s">
        <v>293</v>
      </c>
      <c r="L284" t="s">
        <v>293</v>
      </c>
      <c r="M284" t="s">
        <v>293</v>
      </c>
      <c r="N284" t="s">
        <v>293</v>
      </c>
      <c r="O284" t="s">
        <v>293</v>
      </c>
      <c r="P284" t="s">
        <v>293</v>
      </c>
      <c r="Q284" t="s">
        <v>293</v>
      </c>
      <c r="S284" t="str">
        <f t="shared" si="4"/>
        <v>BWHC_REV_HH_PR19CA009</v>
      </c>
    </row>
    <row r="285" spans="1:19" x14ac:dyDescent="0.3">
      <c r="A285" t="s">
        <v>271</v>
      </c>
      <c r="B285" t="s">
        <v>260</v>
      </c>
      <c r="C285" t="s">
        <v>261</v>
      </c>
      <c r="D285" t="s">
        <v>15</v>
      </c>
      <c r="E285" t="s">
        <v>147</v>
      </c>
      <c r="F285">
        <v>4.0802834789167486</v>
      </c>
      <c r="G285">
        <v>4.2242674686251309</v>
      </c>
      <c r="H285">
        <v>4.4996245179950325</v>
      </c>
      <c r="I285" t="s">
        <v>293</v>
      </c>
      <c r="J285" t="s">
        <v>293</v>
      </c>
      <c r="K285" t="s">
        <v>293</v>
      </c>
      <c r="L285" t="s">
        <v>293</v>
      </c>
      <c r="M285" t="s">
        <v>293</v>
      </c>
      <c r="N285" t="s">
        <v>293</v>
      </c>
      <c r="O285" t="s">
        <v>293</v>
      </c>
      <c r="P285" t="s">
        <v>293</v>
      </c>
      <c r="Q285" t="s">
        <v>293</v>
      </c>
      <c r="S285" t="str">
        <f t="shared" si="4"/>
        <v>BWHC_TC_TRN_PR19CA009</v>
      </c>
    </row>
    <row r="286" spans="1:19" x14ac:dyDescent="0.3">
      <c r="A286" t="s">
        <v>271</v>
      </c>
      <c r="B286" t="s">
        <v>262</v>
      </c>
      <c r="C286" t="s">
        <v>263</v>
      </c>
      <c r="D286" t="s">
        <v>15</v>
      </c>
      <c r="E286" t="s">
        <v>147</v>
      </c>
      <c r="F286">
        <v>4.3127134201599766</v>
      </c>
      <c r="G286">
        <v>4.4145307063278931</v>
      </c>
      <c r="H286">
        <v>4.6815560916843486</v>
      </c>
      <c r="I286" t="s">
        <v>293</v>
      </c>
      <c r="J286" t="s">
        <v>293</v>
      </c>
      <c r="K286" t="s">
        <v>293</v>
      </c>
      <c r="L286" t="s">
        <v>293</v>
      </c>
      <c r="M286" t="s">
        <v>293</v>
      </c>
      <c r="N286" t="s">
        <v>293</v>
      </c>
      <c r="O286" t="s">
        <v>293</v>
      </c>
      <c r="P286" t="s">
        <v>293</v>
      </c>
      <c r="Q286" t="s">
        <v>293</v>
      </c>
      <c r="S286" t="str">
        <f t="shared" si="4"/>
        <v>BWHC_TC_TRR_PR19CA009</v>
      </c>
    </row>
    <row r="287" spans="1:19" x14ac:dyDescent="0.3">
      <c r="A287" t="s">
        <v>271</v>
      </c>
      <c r="B287" t="s">
        <v>264</v>
      </c>
      <c r="C287" t="s">
        <v>265</v>
      </c>
      <c r="D287" t="s">
        <v>15</v>
      </c>
      <c r="E287" t="s">
        <v>147</v>
      </c>
      <c r="F287">
        <v>3.5051927981180562</v>
      </c>
      <c r="G287">
        <v>3.5262462574267479</v>
      </c>
      <c r="H287">
        <v>3.9095550933482421</v>
      </c>
      <c r="I287" t="s">
        <v>293</v>
      </c>
      <c r="J287" t="s">
        <v>293</v>
      </c>
      <c r="K287" t="s">
        <v>293</v>
      </c>
      <c r="L287" t="s">
        <v>293</v>
      </c>
      <c r="M287" t="s">
        <v>293</v>
      </c>
      <c r="N287" t="s">
        <v>293</v>
      </c>
      <c r="O287" t="s">
        <v>293</v>
      </c>
      <c r="P287" t="s">
        <v>293</v>
      </c>
      <c r="Q287" t="s">
        <v>293</v>
      </c>
      <c r="S287" t="str">
        <f t="shared" si="4"/>
        <v>BWHC_OC_TR_PR19CA009</v>
      </c>
    </row>
    <row r="288" spans="1:19" x14ac:dyDescent="0.3">
      <c r="A288" t="s">
        <v>271</v>
      </c>
      <c r="B288" t="s">
        <v>266</v>
      </c>
      <c r="C288" t="s">
        <v>267</v>
      </c>
      <c r="D288" t="s">
        <v>16</v>
      </c>
      <c r="E288" t="s">
        <v>147</v>
      </c>
      <c r="F288">
        <v>1.0569641649763351</v>
      </c>
      <c r="G288">
        <v>1.0450405281189941</v>
      </c>
      <c r="H288">
        <v>1.0404326123128118</v>
      </c>
      <c r="I288" t="s">
        <v>293</v>
      </c>
      <c r="J288" t="s">
        <v>293</v>
      </c>
      <c r="K288" t="s">
        <v>293</v>
      </c>
      <c r="L288" t="s">
        <v>293</v>
      </c>
      <c r="M288" t="s">
        <v>293</v>
      </c>
      <c r="N288" t="s">
        <v>293</v>
      </c>
      <c r="O288" t="s">
        <v>293</v>
      </c>
      <c r="P288" t="s">
        <v>293</v>
      </c>
      <c r="Q288" t="s">
        <v>293</v>
      </c>
      <c r="S288" t="str">
        <f t="shared" si="4"/>
        <v>BWHC_CD0014R_PR19</v>
      </c>
    </row>
    <row r="289" spans="1:19" x14ac:dyDescent="0.3">
      <c r="A289" t="s">
        <v>271</v>
      </c>
      <c r="B289" t="s">
        <v>268</v>
      </c>
      <c r="C289" t="s">
        <v>269</v>
      </c>
      <c r="D289" t="s">
        <v>15</v>
      </c>
      <c r="E289" t="s">
        <v>147</v>
      </c>
      <c r="F289">
        <v>4.354991986759031</v>
      </c>
      <c r="G289">
        <v>4.4228910305528437</v>
      </c>
      <c r="H289">
        <v>4.6815560916843486</v>
      </c>
      <c r="I289" t="s">
        <v>293</v>
      </c>
      <c r="J289" t="s">
        <v>293</v>
      </c>
      <c r="K289" t="s">
        <v>293</v>
      </c>
      <c r="L289" t="s">
        <v>293</v>
      </c>
      <c r="M289" t="s">
        <v>293</v>
      </c>
      <c r="N289" t="s">
        <v>293</v>
      </c>
      <c r="O289" t="s">
        <v>293</v>
      </c>
      <c r="P289" t="s">
        <v>293</v>
      </c>
      <c r="Q289" t="s">
        <v>293</v>
      </c>
      <c r="S289" t="str">
        <f t="shared" si="4"/>
        <v>BWHC_BPTOTEX_PR19CA009</v>
      </c>
    </row>
    <row r="290" spans="1:19" x14ac:dyDescent="0.3">
      <c r="A290" t="s">
        <v>271</v>
      </c>
      <c r="B290" t="s">
        <v>273</v>
      </c>
      <c r="C290" t="s">
        <v>274</v>
      </c>
      <c r="D290" t="s">
        <v>12</v>
      </c>
      <c r="E290" t="s">
        <v>147</v>
      </c>
      <c r="F290">
        <v>0.20975762685531996</v>
      </c>
      <c r="G290">
        <v>0.20850731512421319</v>
      </c>
      <c r="H290">
        <v>0.20456779022453986</v>
      </c>
      <c r="I290" t="s">
        <v>293</v>
      </c>
      <c r="J290" t="s">
        <v>293</v>
      </c>
      <c r="K290" t="s">
        <v>293</v>
      </c>
      <c r="L290" t="s">
        <v>293</v>
      </c>
      <c r="M290" t="s">
        <v>293</v>
      </c>
      <c r="N290" t="s">
        <v>293</v>
      </c>
      <c r="O290" t="s">
        <v>293</v>
      </c>
      <c r="P290" t="s">
        <v>293</v>
      </c>
      <c r="Q290" t="s">
        <v>293</v>
      </c>
      <c r="S290" t="str">
        <f t="shared" si="4"/>
        <v>BWHC_CD0018_PR19RR1</v>
      </c>
    </row>
    <row r="291" spans="1:19" x14ac:dyDescent="0.3">
      <c r="A291" t="s">
        <v>271</v>
      </c>
      <c r="B291" t="s">
        <v>275</v>
      </c>
      <c r="C291" t="s">
        <v>154</v>
      </c>
      <c r="D291" t="s">
        <v>12</v>
      </c>
      <c r="E291" t="s">
        <v>147</v>
      </c>
      <c r="F291">
        <v>0.15190836657724185</v>
      </c>
      <c r="G291">
        <v>0.15190836657724185</v>
      </c>
      <c r="H291">
        <v>0.15190836657724185</v>
      </c>
      <c r="I291" t="s">
        <v>293</v>
      </c>
      <c r="J291" t="s">
        <v>293</v>
      </c>
      <c r="K291" t="s">
        <v>293</v>
      </c>
      <c r="L291" t="s">
        <v>293</v>
      </c>
      <c r="M291" t="s">
        <v>293</v>
      </c>
      <c r="N291" t="s">
        <v>293</v>
      </c>
      <c r="O291" t="s">
        <v>293</v>
      </c>
      <c r="P291" t="s">
        <v>293</v>
      </c>
      <c r="Q291" t="s">
        <v>293</v>
      </c>
      <c r="S291" t="str">
        <f t="shared" si="4"/>
        <v>BWHC_CD0019_PR19RR1</v>
      </c>
    </row>
    <row r="292" spans="1:19" x14ac:dyDescent="0.3">
      <c r="A292" t="s">
        <v>271</v>
      </c>
      <c r="B292" t="s">
        <v>276</v>
      </c>
      <c r="C292" t="s">
        <v>153</v>
      </c>
      <c r="D292" t="s">
        <v>12</v>
      </c>
      <c r="E292" t="s">
        <v>147</v>
      </c>
      <c r="F292" t="s">
        <v>293</v>
      </c>
      <c r="G292" t="s">
        <v>293</v>
      </c>
      <c r="H292" t="s">
        <v>293</v>
      </c>
      <c r="I292" t="s">
        <v>293</v>
      </c>
      <c r="J292" t="s">
        <v>293</v>
      </c>
      <c r="K292" t="s">
        <v>293</v>
      </c>
      <c r="L292" t="s">
        <v>293</v>
      </c>
      <c r="M292" t="s">
        <v>293</v>
      </c>
      <c r="N292" t="s">
        <v>293</v>
      </c>
      <c r="O292" t="s">
        <v>293</v>
      </c>
      <c r="P292" t="s">
        <v>293</v>
      </c>
      <c r="Q292" t="s">
        <v>293</v>
      </c>
      <c r="S292" t="str">
        <f t="shared" si="4"/>
        <v>BWHC_CD0020_PR19RR1</v>
      </c>
    </row>
    <row r="293" spans="1:19" x14ac:dyDescent="0.3">
      <c r="A293" t="s">
        <v>271</v>
      </c>
      <c r="B293" t="s">
        <v>277</v>
      </c>
      <c r="C293" t="s">
        <v>278</v>
      </c>
      <c r="D293" t="s">
        <v>12</v>
      </c>
      <c r="E293" t="s">
        <v>147</v>
      </c>
      <c r="F293">
        <v>0.10587102813136083</v>
      </c>
      <c r="G293">
        <v>0.1059631017223234</v>
      </c>
      <c r="H293">
        <v>0.10605772990898965</v>
      </c>
      <c r="I293" t="s">
        <v>293</v>
      </c>
      <c r="J293" t="s">
        <v>293</v>
      </c>
      <c r="K293" t="s">
        <v>293</v>
      </c>
      <c r="L293" t="s">
        <v>293</v>
      </c>
      <c r="M293" t="s">
        <v>293</v>
      </c>
      <c r="N293" t="s">
        <v>293</v>
      </c>
      <c r="O293" t="s">
        <v>293</v>
      </c>
      <c r="P293" t="s">
        <v>293</v>
      </c>
      <c r="Q293" t="s">
        <v>293</v>
      </c>
      <c r="S293" t="str">
        <f t="shared" si="4"/>
        <v>BWHC_CD0021_PR19RR1</v>
      </c>
    </row>
    <row r="294" spans="1:19" x14ac:dyDescent="0.3">
      <c r="A294" t="s">
        <v>271</v>
      </c>
      <c r="B294" t="s">
        <v>279</v>
      </c>
      <c r="C294" t="s">
        <v>280</v>
      </c>
      <c r="D294" t="s">
        <v>15</v>
      </c>
      <c r="E294" t="s">
        <v>147</v>
      </c>
      <c r="F294">
        <v>31.340532355478864</v>
      </c>
      <c r="G294">
        <v>31.566050388265747</v>
      </c>
      <c r="H294">
        <v>26.271963893510808</v>
      </c>
      <c r="I294" t="s">
        <v>293</v>
      </c>
      <c r="J294" t="s">
        <v>293</v>
      </c>
      <c r="K294" t="s">
        <v>293</v>
      </c>
      <c r="L294" t="s">
        <v>293</v>
      </c>
      <c r="M294" t="s">
        <v>293</v>
      </c>
      <c r="N294" t="s">
        <v>293</v>
      </c>
      <c r="O294" t="s">
        <v>293</v>
      </c>
      <c r="P294" t="s">
        <v>293</v>
      </c>
      <c r="Q294" t="s">
        <v>293</v>
      </c>
      <c r="S294" t="str">
        <f t="shared" si="4"/>
        <v>BWHC_CD0022_PR19RR1</v>
      </c>
    </row>
    <row r="295" spans="1:19" x14ac:dyDescent="0.3">
      <c r="A295" t="s">
        <v>271</v>
      </c>
      <c r="B295" t="s">
        <v>286</v>
      </c>
      <c r="C295" t="s">
        <v>287</v>
      </c>
      <c r="D295" t="s">
        <v>15</v>
      </c>
      <c r="E295" t="s">
        <v>147</v>
      </c>
      <c r="F295" t="s">
        <v>293</v>
      </c>
      <c r="G295" t="s">
        <v>293</v>
      </c>
      <c r="H295" t="s">
        <v>293</v>
      </c>
      <c r="I295" t="s">
        <v>293</v>
      </c>
      <c r="J295" t="s">
        <v>293</v>
      </c>
      <c r="K295" t="s">
        <v>293</v>
      </c>
      <c r="L295" t="s">
        <v>293</v>
      </c>
      <c r="M295" t="s">
        <v>293</v>
      </c>
      <c r="N295" t="s">
        <v>293</v>
      </c>
      <c r="O295" t="s">
        <v>293</v>
      </c>
      <c r="P295" t="s">
        <v>293</v>
      </c>
      <c r="Q295" t="s">
        <v>293</v>
      </c>
      <c r="S295" t="str">
        <f t="shared" si="4"/>
        <v>BWHC_BM4017_PR19CA009</v>
      </c>
    </row>
    <row r="296" spans="1:19" x14ac:dyDescent="0.3">
      <c r="A296" t="s">
        <v>271</v>
      </c>
      <c r="B296" t="s">
        <v>289</v>
      </c>
      <c r="C296" t="s">
        <v>290</v>
      </c>
      <c r="D296" t="s">
        <v>146</v>
      </c>
      <c r="E296" t="s">
        <v>147</v>
      </c>
      <c r="F296" t="s">
        <v>314</v>
      </c>
      <c r="G296" t="s">
        <v>314</v>
      </c>
      <c r="H296" t="s">
        <v>314</v>
      </c>
      <c r="I296" t="s">
        <v>314</v>
      </c>
      <c r="J296" t="s">
        <v>314</v>
      </c>
      <c r="K296" t="s">
        <v>314</v>
      </c>
      <c r="L296" t="s">
        <v>314</v>
      </c>
      <c r="M296" t="s">
        <v>314</v>
      </c>
      <c r="N296" t="s">
        <v>314</v>
      </c>
      <c r="O296" t="s">
        <v>314</v>
      </c>
      <c r="P296" t="s">
        <v>314</v>
      </c>
      <c r="Q296" t="s">
        <v>314</v>
      </c>
      <c r="S296" t="str">
        <f t="shared" si="4"/>
        <v>BWHPR19QA_CA009_OUT_1</v>
      </c>
    </row>
    <row r="297" spans="1:19" x14ac:dyDescent="0.3">
      <c r="A297" t="s">
        <v>271</v>
      </c>
      <c r="B297" t="s">
        <v>291</v>
      </c>
      <c r="C297" t="s">
        <v>292</v>
      </c>
      <c r="D297" t="s">
        <v>146</v>
      </c>
      <c r="E297" t="s">
        <v>147</v>
      </c>
      <c r="F297" t="s">
        <v>315</v>
      </c>
      <c r="G297" t="s">
        <v>315</v>
      </c>
      <c r="H297" t="s">
        <v>315</v>
      </c>
      <c r="I297" t="s">
        <v>315</v>
      </c>
      <c r="J297" t="s">
        <v>315</v>
      </c>
      <c r="K297" t="s">
        <v>315</v>
      </c>
      <c r="L297" t="s">
        <v>315</v>
      </c>
      <c r="M297" t="s">
        <v>315</v>
      </c>
      <c r="N297" t="s">
        <v>315</v>
      </c>
      <c r="O297" t="s">
        <v>315</v>
      </c>
      <c r="P297" t="s">
        <v>315</v>
      </c>
      <c r="Q297" t="s">
        <v>315</v>
      </c>
      <c r="S297" t="str">
        <f t="shared" si="4"/>
        <v>BWHPR19QA_CA009_OUT_2</v>
      </c>
    </row>
    <row r="298" spans="1:19" x14ac:dyDescent="0.3">
      <c r="A298" t="s">
        <v>29</v>
      </c>
      <c r="B298" t="s">
        <v>244</v>
      </c>
      <c r="C298" t="s">
        <v>245</v>
      </c>
      <c r="D298" t="s">
        <v>15</v>
      </c>
      <c r="E298" t="s">
        <v>147</v>
      </c>
      <c r="F298">
        <v>4.4946849424937187E-2</v>
      </c>
      <c r="G298">
        <v>9.2238986076955354E-2</v>
      </c>
      <c r="H298">
        <v>0.13763623831881894</v>
      </c>
      <c r="I298">
        <v>0.1849123283554964</v>
      </c>
      <c r="J298">
        <v>0.13700000000000001</v>
      </c>
      <c r="K298">
        <v>0.38873175696836826</v>
      </c>
      <c r="L298" t="s">
        <v>293</v>
      </c>
      <c r="M298" t="s">
        <v>293</v>
      </c>
      <c r="N298" t="s">
        <v>293</v>
      </c>
      <c r="O298" t="s">
        <v>293</v>
      </c>
      <c r="P298" t="s">
        <v>293</v>
      </c>
      <c r="Q298" t="s">
        <v>293</v>
      </c>
      <c r="S298" t="str">
        <f t="shared" si="4"/>
        <v>DVWC_DEP_PR19CA009</v>
      </c>
    </row>
    <row r="299" spans="1:19" x14ac:dyDescent="0.3">
      <c r="A299" t="s">
        <v>29</v>
      </c>
      <c r="B299" t="s">
        <v>246</v>
      </c>
      <c r="C299" t="s">
        <v>247</v>
      </c>
      <c r="D299" t="s">
        <v>15</v>
      </c>
      <c r="E299" t="s">
        <v>147</v>
      </c>
      <c r="F299">
        <v>2.6988444274706804</v>
      </c>
      <c r="G299">
        <v>3.6964813448996288</v>
      </c>
      <c r="H299">
        <v>2.6356642605270633</v>
      </c>
      <c r="I299">
        <v>2.0147423491885741</v>
      </c>
      <c r="J299">
        <v>2.3562443598574294</v>
      </c>
      <c r="K299">
        <v>2.2291151305813166</v>
      </c>
      <c r="L299" t="s">
        <v>293</v>
      </c>
      <c r="M299" t="s">
        <v>293</v>
      </c>
      <c r="N299" t="s">
        <v>293</v>
      </c>
      <c r="O299" t="s">
        <v>293</v>
      </c>
      <c r="P299" t="s">
        <v>293</v>
      </c>
      <c r="Q299" t="s">
        <v>293</v>
      </c>
      <c r="S299" t="str">
        <f t="shared" si="4"/>
        <v>DVWC_STC_TR_PR19CA009</v>
      </c>
    </row>
    <row r="300" spans="1:19" x14ac:dyDescent="0.3">
      <c r="A300" t="s">
        <v>29</v>
      </c>
      <c r="B300" t="s">
        <v>248</v>
      </c>
      <c r="C300" t="s">
        <v>249</v>
      </c>
      <c r="D300" t="s">
        <v>15</v>
      </c>
      <c r="E300" t="s">
        <v>147</v>
      </c>
      <c r="F300">
        <v>2.0667798568148319</v>
      </c>
      <c r="G300">
        <v>2.4403426301005977</v>
      </c>
      <c r="H300">
        <v>1.9370786141487835</v>
      </c>
      <c r="I300">
        <v>1.570335455466785</v>
      </c>
      <c r="J300">
        <v>1.6002443598574294</v>
      </c>
      <c r="K300">
        <v>1.9559258101929671</v>
      </c>
      <c r="L300" t="s">
        <v>293</v>
      </c>
      <c r="M300" t="s">
        <v>293</v>
      </c>
      <c r="N300" t="s">
        <v>293</v>
      </c>
      <c r="O300" t="s">
        <v>293</v>
      </c>
      <c r="P300" t="s">
        <v>293</v>
      </c>
      <c r="Q300" t="s">
        <v>293</v>
      </c>
      <c r="S300" t="str">
        <f t="shared" si="4"/>
        <v>DVWC_SOC_TR_PR19CA009</v>
      </c>
    </row>
    <row r="301" spans="1:19" x14ac:dyDescent="0.3">
      <c r="A301" t="s">
        <v>29</v>
      </c>
      <c r="B301" t="s">
        <v>250</v>
      </c>
      <c r="C301" t="s">
        <v>251</v>
      </c>
      <c r="D301" t="s">
        <v>15</v>
      </c>
      <c r="E301" t="s">
        <v>147</v>
      </c>
      <c r="F301">
        <v>0.63206457065584831</v>
      </c>
      <c r="G301">
        <v>1.2561387147990308</v>
      </c>
      <c r="H301">
        <v>0.6985856463782798</v>
      </c>
      <c r="I301">
        <v>0.4444068937217891</v>
      </c>
      <c r="J301">
        <v>0.75600000000000001</v>
      </c>
      <c r="K301">
        <v>0.27318932038834948</v>
      </c>
      <c r="L301" t="s">
        <v>293</v>
      </c>
      <c r="M301" t="s">
        <v>293</v>
      </c>
      <c r="N301" t="s">
        <v>293</v>
      </c>
      <c r="O301" t="s">
        <v>293</v>
      </c>
      <c r="P301" t="s">
        <v>293</v>
      </c>
      <c r="Q301" t="s">
        <v>293</v>
      </c>
      <c r="S301" t="str">
        <f t="shared" si="4"/>
        <v>DVWC_DC_T_PR19CA009</v>
      </c>
    </row>
    <row r="302" spans="1:19" x14ac:dyDescent="0.3">
      <c r="A302" t="s">
        <v>29</v>
      </c>
      <c r="B302" t="s">
        <v>252</v>
      </c>
      <c r="C302" t="s">
        <v>253</v>
      </c>
      <c r="D302" t="s">
        <v>13</v>
      </c>
      <c r="E302" t="s">
        <v>147</v>
      </c>
      <c r="F302">
        <v>113.51900000000001</v>
      </c>
      <c r="G302">
        <v>113.598</v>
      </c>
      <c r="H302">
        <v>114.163</v>
      </c>
      <c r="I302">
        <v>115.25</v>
      </c>
      <c r="J302">
        <v>116.315</v>
      </c>
      <c r="K302">
        <v>114.0303333333333</v>
      </c>
      <c r="L302" t="s">
        <v>293</v>
      </c>
      <c r="M302" t="s">
        <v>293</v>
      </c>
      <c r="N302" t="s">
        <v>293</v>
      </c>
      <c r="O302" t="s">
        <v>293</v>
      </c>
      <c r="P302" t="s">
        <v>293</v>
      </c>
      <c r="Q302" t="s">
        <v>293</v>
      </c>
      <c r="S302" t="str">
        <f t="shared" si="4"/>
        <v>DVWC_HH_T_PR19CA009</v>
      </c>
    </row>
    <row r="303" spans="1:19" x14ac:dyDescent="0.3">
      <c r="A303" t="s">
        <v>29</v>
      </c>
      <c r="B303" t="s">
        <v>254</v>
      </c>
      <c r="C303" t="s">
        <v>255</v>
      </c>
      <c r="D303" t="s">
        <v>12</v>
      </c>
      <c r="E303" t="s">
        <v>147</v>
      </c>
      <c r="F303">
        <v>0.56037315339282412</v>
      </c>
      <c r="G303">
        <v>0.57842567650838927</v>
      </c>
      <c r="H303">
        <v>0.58502316862731352</v>
      </c>
      <c r="I303">
        <v>0.59894143167028202</v>
      </c>
      <c r="J303">
        <v>0.61497657223917812</v>
      </c>
      <c r="K303">
        <v>0.61915104460509063</v>
      </c>
      <c r="L303" t="s">
        <v>293</v>
      </c>
      <c r="M303" t="s">
        <v>293</v>
      </c>
      <c r="N303" t="s">
        <v>293</v>
      </c>
      <c r="O303" t="s">
        <v>293</v>
      </c>
      <c r="P303" t="s">
        <v>293</v>
      </c>
      <c r="Q303" t="s">
        <v>293</v>
      </c>
      <c r="S303" t="str">
        <f t="shared" si="4"/>
        <v>DVWC_HHM_HH_PR19CA009</v>
      </c>
    </row>
    <row r="304" spans="1:19" x14ac:dyDescent="0.3">
      <c r="A304" t="s">
        <v>29</v>
      </c>
      <c r="B304" t="s">
        <v>256</v>
      </c>
      <c r="C304" t="s">
        <v>257</v>
      </c>
      <c r="D304" t="s">
        <v>12</v>
      </c>
      <c r="E304" t="s">
        <v>147</v>
      </c>
      <c r="F304" t="s">
        <v>293</v>
      </c>
      <c r="G304" t="s">
        <v>293</v>
      </c>
      <c r="H304" t="s">
        <v>293</v>
      </c>
      <c r="I304" t="s">
        <v>293</v>
      </c>
      <c r="J304" t="s">
        <v>293</v>
      </c>
      <c r="K304" t="s">
        <v>293</v>
      </c>
      <c r="L304" t="s">
        <v>293</v>
      </c>
      <c r="M304" t="s">
        <v>293</v>
      </c>
      <c r="N304" t="s">
        <v>293</v>
      </c>
      <c r="O304" t="s">
        <v>293</v>
      </c>
      <c r="P304" t="s">
        <v>293</v>
      </c>
      <c r="Q304" t="s">
        <v>293</v>
      </c>
      <c r="S304" t="str">
        <f t="shared" si="4"/>
        <v>DVWC_HHDU_HH_PR19CA009</v>
      </c>
    </row>
    <row r="305" spans="1:19" x14ac:dyDescent="0.3">
      <c r="A305" t="s">
        <v>29</v>
      </c>
      <c r="B305" t="s">
        <v>258</v>
      </c>
      <c r="C305" t="s">
        <v>259</v>
      </c>
      <c r="D305" t="s">
        <v>228</v>
      </c>
      <c r="E305" t="s">
        <v>147</v>
      </c>
      <c r="F305">
        <v>156.59052973621252</v>
      </c>
      <c r="G305">
        <v>159.00828620173581</v>
      </c>
      <c r="H305">
        <v>146.12930475293339</v>
      </c>
      <c r="I305">
        <v>150.14453423673535</v>
      </c>
      <c r="J305">
        <v>150.98654515754632</v>
      </c>
      <c r="K305">
        <v>149.77364622541617</v>
      </c>
      <c r="L305" t="s">
        <v>293</v>
      </c>
      <c r="M305" t="s">
        <v>293</v>
      </c>
      <c r="N305" t="s">
        <v>293</v>
      </c>
      <c r="O305" t="s">
        <v>293</v>
      </c>
      <c r="P305" t="s">
        <v>293</v>
      </c>
      <c r="Q305" t="s">
        <v>293</v>
      </c>
      <c r="S305" t="str">
        <f t="shared" si="4"/>
        <v>DVWC_REV_HH_PR19CA009</v>
      </c>
    </row>
    <row r="306" spans="1:19" x14ac:dyDescent="0.3">
      <c r="A306" t="s">
        <v>29</v>
      </c>
      <c r="B306" t="s">
        <v>260</v>
      </c>
      <c r="C306" t="s">
        <v>261</v>
      </c>
      <c r="D306" t="s">
        <v>15</v>
      </c>
      <c r="E306" t="s">
        <v>147</v>
      </c>
      <c r="F306">
        <v>2.4405244780422084</v>
      </c>
      <c r="G306">
        <v>3.4682635492070144</v>
      </c>
      <c r="H306">
        <v>2.5076647041932838</v>
      </c>
      <c r="I306">
        <v>1.9831660579731107</v>
      </c>
      <c r="J306">
        <v>2.3290000000000002</v>
      </c>
      <c r="K306">
        <v>2.5057901394279143</v>
      </c>
      <c r="L306" t="s">
        <v>293</v>
      </c>
      <c r="M306" t="s">
        <v>293</v>
      </c>
      <c r="N306" t="s">
        <v>293</v>
      </c>
      <c r="O306" t="s">
        <v>293</v>
      </c>
      <c r="P306" t="s">
        <v>293</v>
      </c>
      <c r="Q306" t="s">
        <v>293</v>
      </c>
      <c r="S306" t="str">
        <f t="shared" si="4"/>
        <v>DVWC_TC_TRN_PR19CA009</v>
      </c>
    </row>
    <row r="307" spans="1:19" x14ac:dyDescent="0.3">
      <c r="A307" t="s">
        <v>29</v>
      </c>
      <c r="B307" t="s">
        <v>262</v>
      </c>
      <c r="C307" t="s">
        <v>263</v>
      </c>
      <c r="D307" t="s">
        <v>15</v>
      </c>
      <c r="E307" t="s">
        <v>147</v>
      </c>
      <c r="F307">
        <v>2.5795469170381886</v>
      </c>
      <c r="G307">
        <v>3.6244759711191552</v>
      </c>
      <c r="H307">
        <v>2.6090561389884526</v>
      </c>
      <c r="I307">
        <v>2.0354103176866412</v>
      </c>
      <c r="J307">
        <v>2.3290000000000002</v>
      </c>
      <c r="K307">
        <v>2.4536025276922557</v>
      </c>
      <c r="L307" t="s">
        <v>293</v>
      </c>
      <c r="M307" t="s">
        <v>293</v>
      </c>
      <c r="N307" t="s">
        <v>293</v>
      </c>
      <c r="O307" t="s">
        <v>293</v>
      </c>
      <c r="P307" t="s">
        <v>293</v>
      </c>
      <c r="Q307" t="s">
        <v>293</v>
      </c>
      <c r="S307" t="str">
        <f t="shared" si="4"/>
        <v>DVWC_TC_TRR_PR19CA009</v>
      </c>
    </row>
    <row r="308" spans="1:19" x14ac:dyDescent="0.3">
      <c r="A308" t="s">
        <v>29</v>
      </c>
      <c r="B308" t="s">
        <v>264</v>
      </c>
      <c r="C308" t="s">
        <v>265</v>
      </c>
      <c r="D308" t="s">
        <v>15</v>
      </c>
      <c r="E308" t="s">
        <v>147</v>
      </c>
      <c r="F308">
        <v>1.9474823463823405</v>
      </c>
      <c r="G308">
        <v>2.3683372563201242</v>
      </c>
      <c r="H308">
        <v>1.9104704926101732</v>
      </c>
      <c r="I308">
        <v>1.5910034239648521</v>
      </c>
      <c r="J308">
        <v>1.5730000000000002</v>
      </c>
      <c r="K308">
        <v>2.1804132073039062</v>
      </c>
      <c r="L308" t="s">
        <v>293</v>
      </c>
      <c r="M308" t="s">
        <v>293</v>
      </c>
      <c r="N308" t="s">
        <v>293</v>
      </c>
      <c r="O308" t="s">
        <v>293</v>
      </c>
      <c r="P308" t="s">
        <v>293</v>
      </c>
      <c r="Q308" t="s">
        <v>293</v>
      </c>
      <c r="S308" t="str">
        <f t="shared" si="4"/>
        <v>DVWC_OC_TR_PR19CA009</v>
      </c>
    </row>
    <row r="309" spans="1:19" x14ac:dyDescent="0.3">
      <c r="A309" t="s">
        <v>29</v>
      </c>
      <c r="B309" t="s">
        <v>266</v>
      </c>
      <c r="C309" t="s">
        <v>267</v>
      </c>
      <c r="D309" t="s">
        <v>16</v>
      </c>
      <c r="E309" t="s">
        <v>147</v>
      </c>
      <c r="F309">
        <v>1.0569641649763351</v>
      </c>
      <c r="G309">
        <v>1.0450405281189941</v>
      </c>
      <c r="H309">
        <v>1.0404326123128118</v>
      </c>
      <c r="I309">
        <v>1.0263438654082888</v>
      </c>
      <c r="J309">
        <v>1</v>
      </c>
      <c r="K309">
        <v>0.97917319135609127</v>
      </c>
      <c r="L309" t="s">
        <v>293</v>
      </c>
      <c r="M309" t="s">
        <v>293</v>
      </c>
      <c r="N309" t="s">
        <v>293</v>
      </c>
      <c r="O309" t="s">
        <v>293</v>
      </c>
      <c r="P309" t="s">
        <v>293</v>
      </c>
      <c r="Q309" t="s">
        <v>293</v>
      </c>
      <c r="S309" t="str">
        <f t="shared" si="4"/>
        <v>DVWC_CD0014R_PR19</v>
      </c>
    </row>
    <row r="310" spans="1:19" x14ac:dyDescent="0.3">
      <c r="A310" t="s">
        <v>29</v>
      </c>
      <c r="B310" t="s">
        <v>268</v>
      </c>
      <c r="C310" t="s">
        <v>269</v>
      </c>
      <c r="D310" t="s">
        <v>15</v>
      </c>
      <c r="E310" t="s">
        <v>147</v>
      </c>
      <c r="F310">
        <v>2.5795469170381886</v>
      </c>
      <c r="G310">
        <v>3.6244759711191552</v>
      </c>
      <c r="H310">
        <v>2.6090561389884526</v>
      </c>
      <c r="I310">
        <v>2.0354103176866412</v>
      </c>
      <c r="J310">
        <v>2.3290000000000002</v>
      </c>
      <c r="K310">
        <v>2.4536025276922553</v>
      </c>
      <c r="L310" t="s">
        <v>293</v>
      </c>
      <c r="M310" t="s">
        <v>293</v>
      </c>
      <c r="N310" t="s">
        <v>293</v>
      </c>
      <c r="O310" t="s">
        <v>293</v>
      </c>
      <c r="P310" t="s">
        <v>293</v>
      </c>
      <c r="Q310" t="s">
        <v>293</v>
      </c>
      <c r="S310" t="str">
        <f t="shared" si="4"/>
        <v>DVWC_BPTOTEX_PR19CA009</v>
      </c>
    </row>
    <row r="311" spans="1:19" x14ac:dyDescent="0.3">
      <c r="A311" t="s">
        <v>29</v>
      </c>
      <c r="B311" t="s">
        <v>273</v>
      </c>
      <c r="C311" t="s">
        <v>274</v>
      </c>
      <c r="D311" t="s">
        <v>12</v>
      </c>
      <c r="E311" t="s">
        <v>147</v>
      </c>
      <c r="F311">
        <v>0.24775509703047263</v>
      </c>
      <c r="G311">
        <v>0.24959260272555345</v>
      </c>
      <c r="H311">
        <v>0.24815614031510311</v>
      </c>
      <c r="I311">
        <v>0.2399339897742179</v>
      </c>
      <c r="J311">
        <v>0.24075364561549883</v>
      </c>
      <c r="K311">
        <v>0.23371157678798357</v>
      </c>
      <c r="L311" t="s">
        <v>293</v>
      </c>
      <c r="M311" t="s">
        <v>293</v>
      </c>
      <c r="N311" t="s">
        <v>293</v>
      </c>
      <c r="O311" t="s">
        <v>293</v>
      </c>
      <c r="P311" t="s">
        <v>293</v>
      </c>
      <c r="Q311" t="s">
        <v>293</v>
      </c>
      <c r="S311" t="str">
        <f t="shared" si="4"/>
        <v>DVWC_CD0018_PR19RR1</v>
      </c>
    </row>
    <row r="312" spans="1:19" x14ac:dyDescent="0.3">
      <c r="A312" t="s">
        <v>29</v>
      </c>
      <c r="B312" t="s">
        <v>275</v>
      </c>
      <c r="C312" t="s">
        <v>154</v>
      </c>
      <c r="D312" t="s">
        <v>12</v>
      </c>
      <c r="E312" t="s">
        <v>147</v>
      </c>
      <c r="F312">
        <v>8.7605364305305911E-2</v>
      </c>
      <c r="G312">
        <v>8.7605364305305911E-2</v>
      </c>
      <c r="H312">
        <v>8.7605364305305911E-2</v>
      </c>
      <c r="I312">
        <v>8.7605364305305911E-2</v>
      </c>
      <c r="J312">
        <v>8.9395666083231073E-2</v>
      </c>
      <c r="K312">
        <v>8.9395666083231073E-2</v>
      </c>
      <c r="L312" t="s">
        <v>293</v>
      </c>
      <c r="M312" t="s">
        <v>293</v>
      </c>
      <c r="N312" t="s">
        <v>293</v>
      </c>
      <c r="O312" t="s">
        <v>293</v>
      </c>
      <c r="P312" t="s">
        <v>293</v>
      </c>
      <c r="Q312" t="s">
        <v>293</v>
      </c>
      <c r="S312" t="str">
        <f t="shared" si="4"/>
        <v>DVWC_CD0019_PR19RR1</v>
      </c>
    </row>
    <row r="313" spans="1:19" x14ac:dyDescent="0.3">
      <c r="A313" t="s">
        <v>29</v>
      </c>
      <c r="B313" t="s">
        <v>276</v>
      </c>
      <c r="C313" t="s">
        <v>153</v>
      </c>
      <c r="D313" t="s">
        <v>12</v>
      </c>
      <c r="E313" t="s">
        <v>147</v>
      </c>
      <c r="F313" t="s">
        <v>293</v>
      </c>
      <c r="G313" t="s">
        <v>293</v>
      </c>
      <c r="H313" t="s">
        <v>293</v>
      </c>
      <c r="I313" t="s">
        <v>293</v>
      </c>
      <c r="J313" t="s">
        <v>293</v>
      </c>
      <c r="K313" t="s">
        <v>293</v>
      </c>
      <c r="L313" t="s">
        <v>293</v>
      </c>
      <c r="M313" t="s">
        <v>293</v>
      </c>
      <c r="N313" t="s">
        <v>293</v>
      </c>
      <c r="O313" t="s">
        <v>293</v>
      </c>
      <c r="P313" t="s">
        <v>293</v>
      </c>
      <c r="Q313" t="s">
        <v>293</v>
      </c>
      <c r="S313" t="str">
        <f t="shared" si="4"/>
        <v>DVWC_CD0020_PR19RR1</v>
      </c>
    </row>
    <row r="314" spans="1:19" x14ac:dyDescent="0.3">
      <c r="A314" t="s">
        <v>29</v>
      </c>
      <c r="B314" t="s">
        <v>277</v>
      </c>
      <c r="C314" t="s">
        <v>278</v>
      </c>
      <c r="D314" t="s">
        <v>12</v>
      </c>
      <c r="E314" t="s">
        <v>147</v>
      </c>
      <c r="F314">
        <v>0.14430611491062834</v>
      </c>
      <c r="G314">
        <v>0.14303117836057183</v>
      </c>
      <c r="H314">
        <v>0.13771657851149366</v>
      </c>
      <c r="I314">
        <v>0.13768395221218854</v>
      </c>
      <c r="J314">
        <v>0.13766662013532363</v>
      </c>
      <c r="K314">
        <v>0.13766662013532363</v>
      </c>
      <c r="L314" t="s">
        <v>293</v>
      </c>
      <c r="M314" t="s">
        <v>293</v>
      </c>
      <c r="N314" t="s">
        <v>293</v>
      </c>
      <c r="O314" t="s">
        <v>293</v>
      </c>
      <c r="P314" t="s">
        <v>293</v>
      </c>
      <c r="Q314" t="s">
        <v>293</v>
      </c>
      <c r="S314" t="str">
        <f t="shared" si="4"/>
        <v>DVWC_CD0021_PR19RR1</v>
      </c>
    </row>
    <row r="315" spans="1:19" x14ac:dyDescent="0.3">
      <c r="A315" t="s">
        <v>29</v>
      </c>
      <c r="B315" t="s">
        <v>279</v>
      </c>
      <c r="C315" t="s">
        <v>280</v>
      </c>
      <c r="D315" t="s">
        <v>15</v>
      </c>
      <c r="E315" t="s">
        <v>147</v>
      </c>
      <c r="F315">
        <v>17.776000345125112</v>
      </c>
      <c r="G315">
        <v>18.063023295944785</v>
      </c>
      <c r="H315">
        <v>16.682559818509137</v>
      </c>
      <c r="I315">
        <v>17.304157570783747</v>
      </c>
      <c r="J315">
        <v>17.562000000000001</v>
      </c>
      <c r="K315">
        <v>17.078738803632945</v>
      </c>
      <c r="L315" t="s">
        <v>293</v>
      </c>
      <c r="M315" t="s">
        <v>293</v>
      </c>
      <c r="N315" t="s">
        <v>293</v>
      </c>
      <c r="O315" t="s">
        <v>293</v>
      </c>
      <c r="P315" t="s">
        <v>293</v>
      </c>
      <c r="Q315" t="s">
        <v>293</v>
      </c>
      <c r="S315" t="str">
        <f t="shared" si="4"/>
        <v>DVWC_CD0022_PR19RR1</v>
      </c>
    </row>
    <row r="316" spans="1:19" x14ac:dyDescent="0.3">
      <c r="A316" t="s">
        <v>29</v>
      </c>
      <c r="B316" t="s">
        <v>286</v>
      </c>
      <c r="C316" t="s">
        <v>287</v>
      </c>
      <c r="D316" t="s">
        <v>15</v>
      </c>
      <c r="E316" t="s">
        <v>147</v>
      </c>
      <c r="F316" t="s">
        <v>293</v>
      </c>
      <c r="G316" t="s">
        <v>293</v>
      </c>
      <c r="H316" t="s">
        <v>293</v>
      </c>
      <c r="I316" t="s">
        <v>293</v>
      </c>
      <c r="J316">
        <v>2.3090000000000002</v>
      </c>
      <c r="K316">
        <v>2.2246814907610393</v>
      </c>
      <c r="L316" t="s">
        <v>293</v>
      </c>
      <c r="M316" t="s">
        <v>293</v>
      </c>
      <c r="N316" t="s">
        <v>293</v>
      </c>
      <c r="O316" t="s">
        <v>293</v>
      </c>
      <c r="P316" t="s">
        <v>293</v>
      </c>
      <c r="Q316" t="s">
        <v>293</v>
      </c>
      <c r="S316" t="str">
        <f t="shared" si="4"/>
        <v>DVWC_BM4017_PR19CA009</v>
      </c>
    </row>
    <row r="317" spans="1:19" x14ac:dyDescent="0.3">
      <c r="A317" t="s">
        <v>29</v>
      </c>
      <c r="B317" t="s">
        <v>289</v>
      </c>
      <c r="C317" t="s">
        <v>290</v>
      </c>
      <c r="D317" t="s">
        <v>146</v>
      </c>
      <c r="E317" t="s">
        <v>147</v>
      </c>
      <c r="F317" t="s">
        <v>314</v>
      </c>
      <c r="G317" t="s">
        <v>314</v>
      </c>
      <c r="H317" t="s">
        <v>314</v>
      </c>
      <c r="I317" t="s">
        <v>314</v>
      </c>
      <c r="J317" t="s">
        <v>314</v>
      </c>
      <c r="K317" t="s">
        <v>314</v>
      </c>
      <c r="L317" t="s">
        <v>314</v>
      </c>
      <c r="M317" t="s">
        <v>314</v>
      </c>
      <c r="N317" t="s">
        <v>314</v>
      </c>
      <c r="O317" t="s">
        <v>314</v>
      </c>
      <c r="P317" t="s">
        <v>314</v>
      </c>
      <c r="Q317" t="s">
        <v>314</v>
      </c>
      <c r="S317" t="str">
        <f t="shared" si="4"/>
        <v>DVWPR19QA_CA009_OUT_1</v>
      </c>
    </row>
    <row r="318" spans="1:19" x14ac:dyDescent="0.3">
      <c r="A318" t="s">
        <v>29</v>
      </c>
      <c r="B318" t="s">
        <v>291</v>
      </c>
      <c r="C318" t="s">
        <v>292</v>
      </c>
      <c r="D318" t="s">
        <v>146</v>
      </c>
      <c r="E318" t="s">
        <v>147</v>
      </c>
      <c r="F318" t="s">
        <v>315</v>
      </c>
      <c r="G318" t="s">
        <v>315</v>
      </c>
      <c r="H318" t="s">
        <v>315</v>
      </c>
      <c r="I318" t="s">
        <v>315</v>
      </c>
      <c r="J318" t="s">
        <v>315</v>
      </c>
      <c r="K318" t="s">
        <v>315</v>
      </c>
      <c r="L318" t="s">
        <v>315</v>
      </c>
      <c r="M318" t="s">
        <v>315</v>
      </c>
      <c r="N318" t="s">
        <v>315</v>
      </c>
      <c r="O318" t="s">
        <v>315</v>
      </c>
      <c r="P318" t="s">
        <v>315</v>
      </c>
      <c r="Q318" t="s">
        <v>315</v>
      </c>
      <c r="S318" t="str">
        <f t="shared" si="4"/>
        <v>DVWPR19QA_CA009_OUT_2</v>
      </c>
    </row>
    <row r="319" spans="1:19" x14ac:dyDescent="0.3">
      <c r="A319" t="s">
        <v>30</v>
      </c>
      <c r="B319" t="s">
        <v>244</v>
      </c>
      <c r="C319" t="s">
        <v>245</v>
      </c>
      <c r="D319" t="s">
        <v>15</v>
      </c>
      <c r="E319" t="s">
        <v>147</v>
      </c>
      <c r="F319">
        <v>0.15008891142663958</v>
      </c>
      <c r="G319">
        <v>0.14526063340854017</v>
      </c>
      <c r="H319">
        <v>0.14670099833610648</v>
      </c>
      <c r="I319">
        <v>0.11597685679113665</v>
      </c>
      <c r="J319">
        <v>0.28299999999999997</v>
      </c>
      <c r="K319">
        <v>8.518806764797994E-2</v>
      </c>
      <c r="L319">
        <v>9.6027446066146056E-3</v>
      </c>
      <c r="M319">
        <v>1.3192512683658666E-2</v>
      </c>
      <c r="N319">
        <v>2.1248444798609892E-2</v>
      </c>
      <c r="O319">
        <v>2.2643270245747967E-2</v>
      </c>
      <c r="P319">
        <v>2.7527112847772085E-2</v>
      </c>
      <c r="Q319">
        <v>3.4822407144556804E-2</v>
      </c>
      <c r="S319" t="str">
        <f t="shared" si="4"/>
        <v>PRTC_DEP_PR19CA009</v>
      </c>
    </row>
    <row r="320" spans="1:19" x14ac:dyDescent="0.3">
      <c r="A320" t="s">
        <v>30</v>
      </c>
      <c r="B320" t="s">
        <v>246</v>
      </c>
      <c r="C320" t="s">
        <v>247</v>
      </c>
      <c r="D320" t="s">
        <v>15</v>
      </c>
      <c r="E320" t="s">
        <v>147</v>
      </c>
      <c r="F320">
        <v>4.7849292513630584</v>
      </c>
      <c r="G320">
        <v>5.0765101320421957</v>
      </c>
      <c r="H320">
        <v>5.0350386289611349</v>
      </c>
      <c r="I320">
        <v>4.4732242302398033</v>
      </c>
      <c r="J320">
        <v>4.868369244601733</v>
      </c>
      <c r="K320">
        <v>4.6105864384633053</v>
      </c>
      <c r="L320">
        <v>4.4643159676151303</v>
      </c>
      <c r="M320">
        <v>4.3224325485673063</v>
      </c>
      <c r="N320">
        <v>4.2700135590945623</v>
      </c>
      <c r="O320">
        <v>4.2324800743352107</v>
      </c>
      <c r="P320">
        <v>4.3776989141779481</v>
      </c>
      <c r="Q320">
        <v>4.2605215141365251</v>
      </c>
      <c r="S320" t="str">
        <f t="shared" si="4"/>
        <v>PRTC_STC_TR_PR19CA009</v>
      </c>
    </row>
    <row r="321" spans="1:19" x14ac:dyDescent="0.3">
      <c r="A321" t="s">
        <v>30</v>
      </c>
      <c r="B321" t="s">
        <v>248</v>
      </c>
      <c r="C321" t="s">
        <v>249</v>
      </c>
      <c r="D321" t="s">
        <v>15</v>
      </c>
      <c r="E321" t="s">
        <v>147</v>
      </c>
      <c r="F321">
        <v>3.7406486563664396</v>
      </c>
      <c r="G321">
        <v>3.5371654341229171</v>
      </c>
      <c r="H321">
        <v>3.7625895441025659</v>
      </c>
      <c r="I321">
        <v>3.7445200857999184</v>
      </c>
      <c r="J321">
        <v>3.7693692446017328</v>
      </c>
      <c r="K321">
        <v>4.0132907917360896</v>
      </c>
      <c r="L321">
        <v>3.5971881296378312</v>
      </c>
      <c r="M321">
        <v>3.4432458104349108</v>
      </c>
      <c r="N321">
        <v>3.4089896220378484</v>
      </c>
      <c r="O321">
        <v>3.3783759206655972</v>
      </c>
      <c r="P321">
        <v>3.5163666734573376</v>
      </c>
      <c r="Q321">
        <v>3.3943141364156748</v>
      </c>
      <c r="S321" t="str">
        <f t="shared" si="4"/>
        <v>PRTC_SOC_TR_PR19CA009</v>
      </c>
    </row>
    <row r="322" spans="1:19" x14ac:dyDescent="0.3">
      <c r="A322" t="s">
        <v>30</v>
      </c>
      <c r="B322" t="s">
        <v>250</v>
      </c>
      <c r="C322" t="s">
        <v>251</v>
      </c>
      <c r="D322" t="s">
        <v>15</v>
      </c>
      <c r="E322" t="s">
        <v>147</v>
      </c>
      <c r="F322">
        <v>1.044280594996619</v>
      </c>
      <c r="G322">
        <v>1.5393446979192784</v>
      </c>
      <c r="H322">
        <v>1.272449084858569</v>
      </c>
      <c r="I322">
        <v>0.72870414443988507</v>
      </c>
      <c r="J322">
        <v>1.099</v>
      </c>
      <c r="K322">
        <v>0.5972956467272158</v>
      </c>
      <c r="L322">
        <v>0.86712783797729898</v>
      </c>
      <c r="M322">
        <v>0.87918673813239534</v>
      </c>
      <c r="N322">
        <v>0.86102393705671387</v>
      </c>
      <c r="O322">
        <v>0.85410415366961345</v>
      </c>
      <c r="P322">
        <v>0.86133224072061043</v>
      </c>
      <c r="Q322">
        <v>0.86620737772085032</v>
      </c>
      <c r="S322" t="str">
        <f t="shared" si="4"/>
        <v>PRTC_DC_T_PR19CA009</v>
      </c>
    </row>
    <row r="323" spans="1:19" x14ac:dyDescent="0.3">
      <c r="A323" t="s">
        <v>30</v>
      </c>
      <c r="B323" t="s">
        <v>252</v>
      </c>
      <c r="C323" t="s">
        <v>253</v>
      </c>
      <c r="D323" t="s">
        <v>13</v>
      </c>
      <c r="E323" t="s">
        <v>147</v>
      </c>
      <c r="F323">
        <v>284.161</v>
      </c>
      <c r="G323">
        <v>285.77700000000004</v>
      </c>
      <c r="H323">
        <v>288.66500000000002</v>
      </c>
      <c r="I323">
        <v>291.40899999999999</v>
      </c>
      <c r="J323">
        <v>293.45</v>
      </c>
      <c r="K323">
        <v>294.61400000000003</v>
      </c>
      <c r="L323">
        <v>298.32499999999999</v>
      </c>
      <c r="M323">
        <v>300.21699999999998</v>
      </c>
      <c r="N323">
        <v>302.077</v>
      </c>
      <c r="O323">
        <v>303.95</v>
      </c>
      <c r="P323">
        <v>305.86</v>
      </c>
      <c r="Q323">
        <v>307.834</v>
      </c>
      <c r="S323" t="str">
        <f t="shared" si="4"/>
        <v>PRTC_HH_T_PR19CA009</v>
      </c>
    </row>
    <row r="324" spans="1:19" x14ac:dyDescent="0.3">
      <c r="A324" t="s">
        <v>30</v>
      </c>
      <c r="B324" t="s">
        <v>254</v>
      </c>
      <c r="C324" t="s">
        <v>255</v>
      </c>
      <c r="D324" t="s">
        <v>12</v>
      </c>
      <c r="E324" t="s">
        <v>147</v>
      </c>
      <c r="F324">
        <v>0.23398355157815465</v>
      </c>
      <c r="G324">
        <v>0.25319742316561511</v>
      </c>
      <c r="H324">
        <v>0.27197270192091177</v>
      </c>
      <c r="I324">
        <v>0.28898215223277252</v>
      </c>
      <c r="J324">
        <v>0.30427670812744934</v>
      </c>
      <c r="K324">
        <v>0.31548059494796576</v>
      </c>
      <c r="L324">
        <v>0.33761836922819072</v>
      </c>
      <c r="M324">
        <v>0.35844738972143481</v>
      </c>
      <c r="N324">
        <v>0.37894973798071357</v>
      </c>
      <c r="O324">
        <v>0.39922684652080936</v>
      </c>
      <c r="P324">
        <v>0.41932583534950629</v>
      </c>
      <c r="Q324">
        <v>0.4392919560542371</v>
      </c>
      <c r="S324" t="str">
        <f t="shared" si="4"/>
        <v>PRTC_HHM_HH_PR19CA009</v>
      </c>
    </row>
    <row r="325" spans="1:19" x14ac:dyDescent="0.3">
      <c r="A325" t="s">
        <v>30</v>
      </c>
      <c r="B325" t="s">
        <v>256</v>
      </c>
      <c r="C325" t="s">
        <v>257</v>
      </c>
      <c r="D325" t="s">
        <v>12</v>
      </c>
      <c r="E325" t="s">
        <v>147</v>
      </c>
      <c r="F325" t="s">
        <v>293</v>
      </c>
      <c r="G325" t="s">
        <v>293</v>
      </c>
      <c r="H325" t="s">
        <v>293</v>
      </c>
      <c r="I325" t="s">
        <v>293</v>
      </c>
      <c r="J325" t="s">
        <v>293</v>
      </c>
      <c r="K325" t="s">
        <v>293</v>
      </c>
      <c r="L325" t="s">
        <v>293</v>
      </c>
      <c r="M325" t="s">
        <v>293</v>
      </c>
      <c r="N325" t="s">
        <v>293</v>
      </c>
      <c r="O325" t="s">
        <v>293</v>
      </c>
      <c r="P325" t="s">
        <v>293</v>
      </c>
      <c r="Q325" t="s">
        <v>293</v>
      </c>
      <c r="S325" t="str">
        <f t="shared" ref="S325:S388" si="5">A325&amp;B325</f>
        <v>PRTC_HHDU_HH_PR19CA009</v>
      </c>
    </row>
    <row r="326" spans="1:19" x14ac:dyDescent="0.3">
      <c r="A326" t="s">
        <v>30</v>
      </c>
      <c r="B326" t="s">
        <v>258</v>
      </c>
      <c r="C326" t="s">
        <v>259</v>
      </c>
      <c r="D326" t="s">
        <v>228</v>
      </c>
      <c r="E326" t="s">
        <v>147</v>
      </c>
      <c r="F326">
        <v>101.55016660933074</v>
      </c>
      <c r="G326">
        <v>103.26405303992632</v>
      </c>
      <c r="H326">
        <v>103.65219567627472</v>
      </c>
      <c r="I326">
        <v>104.63523740658269</v>
      </c>
      <c r="J326">
        <v>101.81632305333106</v>
      </c>
      <c r="K326">
        <v>102.45267637227988</v>
      </c>
      <c r="L326">
        <v>101.29837350881142</v>
      </c>
      <c r="M326">
        <v>96.984582884855797</v>
      </c>
      <c r="N326">
        <v>96.908776673277941</v>
      </c>
      <c r="O326">
        <v>96.953855291051823</v>
      </c>
      <c r="P326">
        <v>97.052064407547306</v>
      </c>
      <c r="Q326">
        <v>97.333409082026535</v>
      </c>
      <c r="S326" t="str">
        <f t="shared" si="5"/>
        <v>PRTC_REV_HH_PR19CA009</v>
      </c>
    </row>
    <row r="327" spans="1:19" x14ac:dyDescent="0.3">
      <c r="A327" t="s">
        <v>30</v>
      </c>
      <c r="B327" t="s">
        <v>260</v>
      </c>
      <c r="C327" t="s">
        <v>261</v>
      </c>
      <c r="D327" t="s">
        <v>15</v>
      </c>
      <c r="E327" t="s">
        <v>147</v>
      </c>
      <c r="F327">
        <v>4.5230000000000006</v>
      </c>
      <c r="G327">
        <v>4.8490000000000002</v>
      </c>
      <c r="H327">
        <v>4.8319999999999999</v>
      </c>
      <c r="I327">
        <v>4.3209999999999917</v>
      </c>
      <c r="J327">
        <v>4.9969999999999999</v>
      </c>
      <c r="K327">
        <v>4.6379999999999999</v>
      </c>
      <c r="L327">
        <v>4.6489999999999991</v>
      </c>
      <c r="M327">
        <v>4.5869999999999997</v>
      </c>
      <c r="N327">
        <v>4.621999999999999</v>
      </c>
      <c r="O327">
        <v>4.6730000000000009</v>
      </c>
      <c r="P327">
        <v>4.93</v>
      </c>
      <c r="Q327">
        <v>4.8939999999999992</v>
      </c>
      <c r="S327" t="str">
        <f t="shared" si="5"/>
        <v>PRTC_TC_TRN_PR19CA009</v>
      </c>
    </row>
    <row r="328" spans="1:19" x14ac:dyDescent="0.3">
      <c r="A328" t="s">
        <v>30</v>
      </c>
      <c r="B328" t="s">
        <v>262</v>
      </c>
      <c r="C328" t="s">
        <v>263</v>
      </c>
      <c r="D328" t="s">
        <v>15</v>
      </c>
      <c r="E328" t="s">
        <v>147</v>
      </c>
      <c r="F328">
        <v>4.7806489181879641</v>
      </c>
      <c r="G328">
        <v>5.0674015208490024</v>
      </c>
      <c r="H328">
        <v>5.0273703826955067</v>
      </c>
      <c r="I328">
        <v>4.4348318424292072</v>
      </c>
      <c r="J328">
        <v>4.9969999999999999</v>
      </c>
      <c r="K328">
        <v>4.541405261509551</v>
      </c>
      <c r="L328">
        <v>4.4643159676151294</v>
      </c>
      <c r="M328">
        <v>4.3224325485673063</v>
      </c>
      <c r="N328">
        <v>4.2700135590945614</v>
      </c>
      <c r="O328">
        <v>4.2324800743352116</v>
      </c>
      <c r="P328">
        <v>4.3776989141779472</v>
      </c>
      <c r="Q328">
        <v>4.2605215141365234</v>
      </c>
      <c r="S328" t="str">
        <f t="shared" si="5"/>
        <v>PRTC_TC_TRR_PR19CA009</v>
      </c>
    </row>
    <row r="329" spans="1:19" x14ac:dyDescent="0.3">
      <c r="A329" t="s">
        <v>30</v>
      </c>
      <c r="B329" t="s">
        <v>264</v>
      </c>
      <c r="C329" t="s">
        <v>265</v>
      </c>
      <c r="D329" t="s">
        <v>15</v>
      </c>
      <c r="E329" t="s">
        <v>147</v>
      </c>
      <c r="F329">
        <v>3.7363683231913449</v>
      </c>
      <c r="G329">
        <v>3.5280568229297242</v>
      </c>
      <c r="H329">
        <v>3.7549212978369377</v>
      </c>
      <c r="I329">
        <v>3.7061276979893223</v>
      </c>
      <c r="J329">
        <v>3.8979999999999997</v>
      </c>
      <c r="K329">
        <v>3.9441096147823353</v>
      </c>
      <c r="L329">
        <v>3.5971881296378307</v>
      </c>
      <c r="M329">
        <v>3.4432458104349113</v>
      </c>
      <c r="N329">
        <v>3.4089896220378471</v>
      </c>
      <c r="O329">
        <v>3.3783759206655981</v>
      </c>
      <c r="P329">
        <v>3.5163666734573376</v>
      </c>
      <c r="Q329">
        <v>3.3943141364156735</v>
      </c>
      <c r="S329" t="str">
        <f t="shared" si="5"/>
        <v>PRTC_OC_TR_PR19CA009</v>
      </c>
    </row>
    <row r="330" spans="1:19" x14ac:dyDescent="0.3">
      <c r="A330" t="s">
        <v>30</v>
      </c>
      <c r="B330" t="s">
        <v>266</v>
      </c>
      <c r="C330" t="s">
        <v>267</v>
      </c>
      <c r="D330" t="s">
        <v>16</v>
      </c>
      <c r="E330" t="s">
        <v>147</v>
      </c>
      <c r="F330">
        <v>1.0569641649763351</v>
      </c>
      <c r="G330">
        <v>1.0450405281189941</v>
      </c>
      <c r="H330">
        <v>1.0404326123128118</v>
      </c>
      <c r="I330">
        <v>1.0263438654082888</v>
      </c>
      <c r="J330">
        <v>1</v>
      </c>
      <c r="K330">
        <v>0.97917319135609127</v>
      </c>
      <c r="L330">
        <v>0.9602744606614606</v>
      </c>
      <c r="M330">
        <v>0.9423223345470475</v>
      </c>
      <c r="N330">
        <v>0.92384542602651709</v>
      </c>
      <c r="O330">
        <v>0.90573080982991883</v>
      </c>
      <c r="P330">
        <v>0.88797138218619631</v>
      </c>
      <c r="Q330">
        <v>0.87056017861391999</v>
      </c>
      <c r="S330" t="str">
        <f t="shared" si="5"/>
        <v>PRTC_CD0014R_PR19</v>
      </c>
    </row>
    <row r="331" spans="1:19" x14ac:dyDescent="0.3">
      <c r="A331" t="s">
        <v>30</v>
      </c>
      <c r="B331" t="s">
        <v>268</v>
      </c>
      <c r="C331" t="s">
        <v>269</v>
      </c>
      <c r="D331" t="s">
        <v>15</v>
      </c>
      <c r="E331" t="s">
        <v>147</v>
      </c>
      <c r="F331">
        <v>4.7806489181879641</v>
      </c>
      <c r="G331">
        <v>5.0674015208490024</v>
      </c>
      <c r="H331">
        <v>5.0273703826955067</v>
      </c>
      <c r="I331">
        <v>4.4348318424292072</v>
      </c>
      <c r="J331">
        <v>4.9969999999999999</v>
      </c>
      <c r="K331">
        <v>4.541405261509551</v>
      </c>
      <c r="L331">
        <v>4.4643159676151294</v>
      </c>
      <c r="M331">
        <v>4.3224325485673063</v>
      </c>
      <c r="N331">
        <v>4.2700135590945614</v>
      </c>
      <c r="O331">
        <v>4.2324800743352116</v>
      </c>
      <c r="P331">
        <v>4.3776989141779472</v>
      </c>
      <c r="Q331">
        <v>4.2605215141365234</v>
      </c>
      <c r="S331" t="str">
        <f t="shared" si="5"/>
        <v>PRTC_BPTOTEX_PR19CA009</v>
      </c>
    </row>
    <row r="332" spans="1:19" x14ac:dyDescent="0.3">
      <c r="A332" t="s">
        <v>30</v>
      </c>
      <c r="B332" t="s">
        <v>273</v>
      </c>
      <c r="C332" t="s">
        <v>274</v>
      </c>
      <c r="D332" t="s">
        <v>12</v>
      </c>
      <c r="E332" t="s">
        <v>147</v>
      </c>
      <c r="F332">
        <v>0.26861933261257476</v>
      </c>
      <c r="G332">
        <v>0.26529253262291869</v>
      </c>
      <c r="H332">
        <v>0.25862756665350173</v>
      </c>
      <c r="I332">
        <v>0.24793224923396806</v>
      </c>
      <c r="J332">
        <v>0.25117796474683685</v>
      </c>
      <c r="K332">
        <v>0.24082151112904185</v>
      </c>
      <c r="L332" t="s">
        <v>293</v>
      </c>
      <c r="M332" t="s">
        <v>293</v>
      </c>
      <c r="N332" t="s">
        <v>293</v>
      </c>
      <c r="O332" t="s">
        <v>293</v>
      </c>
      <c r="P332" t="s">
        <v>293</v>
      </c>
      <c r="Q332" t="s">
        <v>293</v>
      </c>
      <c r="S332" t="str">
        <f t="shared" si="5"/>
        <v>PRTC_CD0018_PR19RR1</v>
      </c>
    </row>
    <row r="333" spans="1:19" x14ac:dyDescent="0.3">
      <c r="A333" t="s">
        <v>30</v>
      </c>
      <c r="B333" t="s">
        <v>275</v>
      </c>
      <c r="C333" t="s">
        <v>154</v>
      </c>
      <c r="D333" t="s">
        <v>12</v>
      </c>
      <c r="E333" t="s">
        <v>147</v>
      </c>
      <c r="F333">
        <v>0.13986830994174676</v>
      </c>
      <c r="G333">
        <v>0.13986830994174676</v>
      </c>
      <c r="H333">
        <v>0.13986830994174676</v>
      </c>
      <c r="I333">
        <v>0.13986830994174676</v>
      </c>
      <c r="J333">
        <v>0.14168110406279749</v>
      </c>
      <c r="K333">
        <v>0.14168110406279749</v>
      </c>
      <c r="L333" t="s">
        <v>293</v>
      </c>
      <c r="M333" t="s">
        <v>293</v>
      </c>
      <c r="N333" t="s">
        <v>293</v>
      </c>
      <c r="O333" t="s">
        <v>293</v>
      </c>
      <c r="P333" t="s">
        <v>293</v>
      </c>
      <c r="Q333" t="s">
        <v>293</v>
      </c>
      <c r="S333" t="str">
        <f t="shared" si="5"/>
        <v>PRTC_CD0019_PR19RR1</v>
      </c>
    </row>
    <row r="334" spans="1:19" x14ac:dyDescent="0.3">
      <c r="A334" t="s">
        <v>30</v>
      </c>
      <c r="B334" t="s">
        <v>276</v>
      </c>
      <c r="C334" t="s">
        <v>153</v>
      </c>
      <c r="D334" t="s">
        <v>12</v>
      </c>
      <c r="E334" t="s">
        <v>147</v>
      </c>
      <c r="F334" t="s">
        <v>293</v>
      </c>
      <c r="G334" t="s">
        <v>293</v>
      </c>
      <c r="H334" t="s">
        <v>293</v>
      </c>
      <c r="I334" t="s">
        <v>293</v>
      </c>
      <c r="J334" t="s">
        <v>293</v>
      </c>
      <c r="K334" t="s">
        <v>293</v>
      </c>
      <c r="L334" t="s">
        <v>293</v>
      </c>
      <c r="M334" t="s">
        <v>293</v>
      </c>
      <c r="N334" t="s">
        <v>293</v>
      </c>
      <c r="O334" t="s">
        <v>293</v>
      </c>
      <c r="P334" t="s">
        <v>293</v>
      </c>
      <c r="Q334" t="s">
        <v>293</v>
      </c>
      <c r="S334" t="str">
        <f t="shared" si="5"/>
        <v>PRTC_CD0020_PR19RR1</v>
      </c>
    </row>
    <row r="335" spans="1:19" x14ac:dyDescent="0.3">
      <c r="A335" t="s">
        <v>30</v>
      </c>
      <c r="B335" t="s">
        <v>277</v>
      </c>
      <c r="C335" t="s">
        <v>278</v>
      </c>
      <c r="D335" t="s">
        <v>12</v>
      </c>
      <c r="E335" t="s">
        <v>147</v>
      </c>
      <c r="F335">
        <v>0.11666179533803737</v>
      </c>
      <c r="G335">
        <v>0.11669433980140001</v>
      </c>
      <c r="H335">
        <v>0.11674932961106511</v>
      </c>
      <c r="I335">
        <v>0.11678703095125192</v>
      </c>
      <c r="J335">
        <v>0.11679110627598294</v>
      </c>
      <c r="K335">
        <v>0.11679110627598294</v>
      </c>
      <c r="L335" t="s">
        <v>293</v>
      </c>
      <c r="M335" t="s">
        <v>293</v>
      </c>
      <c r="N335" t="s">
        <v>293</v>
      </c>
      <c r="O335" t="s">
        <v>293</v>
      </c>
      <c r="P335" t="s">
        <v>293</v>
      </c>
      <c r="Q335" t="s">
        <v>293</v>
      </c>
      <c r="S335" t="str">
        <f t="shared" si="5"/>
        <v>PRTC_CD0021_PR19RR1</v>
      </c>
    </row>
    <row r="336" spans="1:19" x14ac:dyDescent="0.3">
      <c r="A336" t="s">
        <v>30</v>
      </c>
      <c r="B336" t="s">
        <v>279</v>
      </c>
      <c r="C336" t="s">
        <v>280</v>
      </c>
      <c r="D336" t="s">
        <v>15</v>
      </c>
      <c r="E336" t="s">
        <v>147</v>
      </c>
      <c r="F336">
        <v>28.856596893874034</v>
      </c>
      <c r="G336">
        <v>29.51049128559103</v>
      </c>
      <c r="H336">
        <v>29.920761064891842</v>
      </c>
      <c r="I336">
        <v>30.491649897414852</v>
      </c>
      <c r="J336">
        <v>29.878</v>
      </c>
      <c r="K336">
        <v>30.183992796742871</v>
      </c>
      <c r="L336">
        <v>30.219837277016165</v>
      </c>
      <c r="M336">
        <v>29.11642051994275</v>
      </c>
      <c r="N336">
        <v>29.273912531133782</v>
      </c>
      <c r="O336">
        <v>29.469124315715199</v>
      </c>
      <c r="P336">
        <v>29.684344419692422</v>
      </c>
      <c r="Q336">
        <v>29.962532651356558</v>
      </c>
      <c r="S336" t="str">
        <f t="shared" si="5"/>
        <v>PRTC_CD0022_PR19RR1</v>
      </c>
    </row>
    <row r="337" spans="1:19" x14ac:dyDescent="0.3">
      <c r="A337" t="s">
        <v>30</v>
      </c>
      <c r="B337" t="s">
        <v>286</v>
      </c>
      <c r="C337" t="s">
        <v>287</v>
      </c>
      <c r="D337" t="s">
        <v>15</v>
      </c>
      <c r="E337" t="s">
        <v>147</v>
      </c>
      <c r="F337" t="s">
        <v>293</v>
      </c>
      <c r="G337" t="s">
        <v>293</v>
      </c>
      <c r="H337" t="s">
        <v>293</v>
      </c>
      <c r="I337" t="s">
        <v>293</v>
      </c>
      <c r="J337">
        <v>4.8000000000000001E-2</v>
      </c>
      <c r="K337">
        <v>8.9104760413404302E-2</v>
      </c>
      <c r="L337" t="s">
        <v>293</v>
      </c>
      <c r="M337">
        <v>4.9943083730993515E-2</v>
      </c>
      <c r="N337">
        <v>4.9887653005431923E-2</v>
      </c>
      <c r="O337">
        <v>4.9815194540645535E-2</v>
      </c>
      <c r="P337">
        <v>4.9726397402426993E-2</v>
      </c>
      <c r="Q337">
        <v>5.0492490359607359E-2</v>
      </c>
      <c r="S337" t="str">
        <f t="shared" si="5"/>
        <v>PRTC_BM4017_PR19CA009</v>
      </c>
    </row>
    <row r="338" spans="1:19" x14ac:dyDescent="0.3">
      <c r="A338" t="s">
        <v>30</v>
      </c>
      <c r="B338" t="s">
        <v>289</v>
      </c>
      <c r="C338" t="s">
        <v>290</v>
      </c>
      <c r="D338" t="s">
        <v>146</v>
      </c>
      <c r="E338" t="s">
        <v>147</v>
      </c>
      <c r="F338" t="s">
        <v>314</v>
      </c>
      <c r="G338" t="s">
        <v>314</v>
      </c>
      <c r="H338" t="s">
        <v>314</v>
      </c>
      <c r="I338" t="s">
        <v>314</v>
      </c>
      <c r="J338" t="s">
        <v>314</v>
      </c>
      <c r="K338" t="s">
        <v>314</v>
      </c>
      <c r="L338" t="s">
        <v>314</v>
      </c>
      <c r="M338" t="s">
        <v>314</v>
      </c>
      <c r="N338" t="s">
        <v>314</v>
      </c>
      <c r="O338" t="s">
        <v>314</v>
      </c>
      <c r="P338" t="s">
        <v>314</v>
      </c>
      <c r="Q338" t="s">
        <v>314</v>
      </c>
      <c r="S338" t="str">
        <f t="shared" si="5"/>
        <v>PRTPR19QA_CA009_OUT_1</v>
      </c>
    </row>
    <row r="339" spans="1:19" x14ac:dyDescent="0.3">
      <c r="A339" t="s">
        <v>30</v>
      </c>
      <c r="B339" t="s">
        <v>291</v>
      </c>
      <c r="C339" t="s">
        <v>292</v>
      </c>
      <c r="D339" t="s">
        <v>146</v>
      </c>
      <c r="E339" t="s">
        <v>147</v>
      </c>
      <c r="F339" t="s">
        <v>315</v>
      </c>
      <c r="G339" t="s">
        <v>315</v>
      </c>
      <c r="H339" t="s">
        <v>315</v>
      </c>
      <c r="I339" t="s">
        <v>315</v>
      </c>
      <c r="J339" t="s">
        <v>315</v>
      </c>
      <c r="K339" t="s">
        <v>315</v>
      </c>
      <c r="L339" t="s">
        <v>315</v>
      </c>
      <c r="M339" t="s">
        <v>315</v>
      </c>
      <c r="N339" t="s">
        <v>315</v>
      </c>
      <c r="O339" t="s">
        <v>315</v>
      </c>
      <c r="P339" t="s">
        <v>315</v>
      </c>
      <c r="Q339" t="s">
        <v>315</v>
      </c>
      <c r="S339" t="str">
        <f t="shared" si="5"/>
        <v>PRTPR19QA_CA009_OUT_2</v>
      </c>
    </row>
    <row r="340" spans="1:19" x14ac:dyDescent="0.3">
      <c r="A340" t="s">
        <v>31</v>
      </c>
      <c r="B340" t="s">
        <v>244</v>
      </c>
      <c r="C340" t="s">
        <v>245</v>
      </c>
      <c r="D340" t="s">
        <v>15</v>
      </c>
      <c r="E340" t="s">
        <v>147</v>
      </c>
      <c r="F340">
        <v>0.32660192697768753</v>
      </c>
      <c r="G340">
        <v>0.33023280688560214</v>
      </c>
      <c r="H340">
        <v>0.16542878535773706</v>
      </c>
      <c r="I340">
        <v>0.16832039392695938</v>
      </c>
      <c r="J340">
        <v>0.191</v>
      </c>
      <c r="K340">
        <v>0.203668023802067</v>
      </c>
      <c r="L340">
        <v>0.40307881206354079</v>
      </c>
      <c r="M340">
        <v>0.37435228640192658</v>
      </c>
      <c r="N340">
        <v>0.39104306784660892</v>
      </c>
      <c r="O340">
        <v>0.40505263157894744</v>
      </c>
      <c r="P340">
        <v>0.415743833286079</v>
      </c>
      <c r="Q340">
        <v>0.42405002779322093</v>
      </c>
      <c r="S340" t="str">
        <f t="shared" si="5"/>
        <v>SESC_DEP_PR19CA009</v>
      </c>
    </row>
    <row r="341" spans="1:19" x14ac:dyDescent="0.3">
      <c r="A341" t="s">
        <v>31</v>
      </c>
      <c r="B341" t="s">
        <v>246</v>
      </c>
      <c r="C341" t="s">
        <v>247</v>
      </c>
      <c r="D341" t="s">
        <v>15</v>
      </c>
      <c r="E341" t="s">
        <v>147</v>
      </c>
      <c r="F341">
        <v>6.2767103464896454</v>
      </c>
      <c r="G341">
        <v>6.217912508418725</v>
      </c>
      <c r="H341">
        <v>6.7720751564356565</v>
      </c>
      <c r="I341">
        <v>6.6927362994355946</v>
      </c>
      <c r="J341">
        <v>7.481875322825009</v>
      </c>
      <c r="K341">
        <v>8.1964492345068116</v>
      </c>
      <c r="L341">
        <v>7.7727601954569883</v>
      </c>
      <c r="M341">
        <v>6.948287294582788</v>
      </c>
      <c r="N341">
        <v>6.8335854776861522</v>
      </c>
      <c r="O341">
        <v>6.8197617991484742</v>
      </c>
      <c r="P341">
        <v>6.6769456031735688</v>
      </c>
      <c r="Q341">
        <v>6.5551633991437104</v>
      </c>
      <c r="S341" t="str">
        <f t="shared" si="5"/>
        <v>SESC_STC_TR_PR19CA009</v>
      </c>
    </row>
    <row r="342" spans="1:19" x14ac:dyDescent="0.3">
      <c r="A342" t="s">
        <v>31</v>
      </c>
      <c r="B342" t="s">
        <v>248</v>
      </c>
      <c r="C342" t="s">
        <v>249</v>
      </c>
      <c r="D342" t="s">
        <v>15</v>
      </c>
      <c r="E342" t="s">
        <v>147</v>
      </c>
      <c r="F342">
        <v>5.0263217393226407</v>
      </c>
      <c r="G342">
        <v>5.0631427248472365</v>
      </c>
      <c r="H342">
        <v>5.5703754892143591</v>
      </c>
      <c r="I342">
        <v>5.3841478710400263</v>
      </c>
      <c r="J342">
        <v>6.0048753228250096</v>
      </c>
      <c r="K342">
        <v>6.8226692470342156</v>
      </c>
      <c r="L342">
        <v>6.6018551147264226</v>
      </c>
      <c r="M342">
        <v>5.6929476557157725</v>
      </c>
      <c r="N342">
        <v>5.5973251181623063</v>
      </c>
      <c r="O342">
        <v>5.6024512869560104</v>
      </c>
      <c r="P342">
        <v>5.4798617851455642</v>
      </c>
      <c r="Q342">
        <v>5.3780795584798717</v>
      </c>
      <c r="S342" t="str">
        <f t="shared" si="5"/>
        <v>SESC_SOC_TR_PR19CA009</v>
      </c>
    </row>
    <row r="343" spans="1:19" x14ac:dyDescent="0.3">
      <c r="A343" t="s">
        <v>31</v>
      </c>
      <c r="B343" t="s">
        <v>250</v>
      </c>
      <c r="C343" t="s">
        <v>251</v>
      </c>
      <c r="D343" t="s">
        <v>15</v>
      </c>
      <c r="E343" t="s">
        <v>147</v>
      </c>
      <c r="F343">
        <v>1.2503886071670045</v>
      </c>
      <c r="G343">
        <v>1.1547697835714885</v>
      </c>
      <c r="H343">
        <v>1.2016996672212976</v>
      </c>
      <c r="I343">
        <v>1.3085884283955682</v>
      </c>
      <c r="J343">
        <v>1.4769999999999999</v>
      </c>
      <c r="K343">
        <v>1.373779987472596</v>
      </c>
      <c r="L343">
        <v>1.1709050807305657</v>
      </c>
      <c r="M343">
        <v>1.2553396388670155</v>
      </c>
      <c r="N343">
        <v>1.2362603595238459</v>
      </c>
      <c r="O343">
        <v>1.2173105121924641</v>
      </c>
      <c r="P343">
        <v>1.1970838180280043</v>
      </c>
      <c r="Q343">
        <v>1.1770838406638391</v>
      </c>
      <c r="S343" t="str">
        <f t="shared" si="5"/>
        <v>SESC_DC_T_PR19CA009</v>
      </c>
    </row>
    <row r="344" spans="1:19" x14ac:dyDescent="0.3">
      <c r="A344" t="s">
        <v>31</v>
      </c>
      <c r="B344" t="s">
        <v>252</v>
      </c>
      <c r="C344" t="s">
        <v>253</v>
      </c>
      <c r="D344" t="s">
        <v>13</v>
      </c>
      <c r="E344" t="s">
        <v>147</v>
      </c>
      <c r="F344">
        <v>260.93899999999996</v>
      </c>
      <c r="G344">
        <v>262.38300000000004</v>
      </c>
      <c r="H344">
        <v>263.142</v>
      </c>
      <c r="I344">
        <v>263.61500000000001</v>
      </c>
      <c r="J344">
        <v>265.85199999999998</v>
      </c>
      <c r="K344">
        <v>268.45</v>
      </c>
      <c r="L344">
        <v>274.23599999999999</v>
      </c>
      <c r="M344">
        <v>276.642</v>
      </c>
      <c r="N344">
        <v>279.09100000000001</v>
      </c>
      <c r="O344">
        <v>281.63099999999997</v>
      </c>
      <c r="P344">
        <v>284.25099999999998</v>
      </c>
      <c r="Q344">
        <v>286.86200000000002</v>
      </c>
      <c r="S344" t="str">
        <f t="shared" si="5"/>
        <v>SESC_HH_T_PR19CA009</v>
      </c>
    </row>
    <row r="345" spans="1:19" x14ac:dyDescent="0.3">
      <c r="A345" t="s">
        <v>31</v>
      </c>
      <c r="B345" t="s">
        <v>254</v>
      </c>
      <c r="C345" t="s">
        <v>255</v>
      </c>
      <c r="D345" t="s">
        <v>12</v>
      </c>
      <c r="E345" t="s">
        <v>147</v>
      </c>
      <c r="F345">
        <v>0.42878987042948746</v>
      </c>
      <c r="G345">
        <v>0.45750677444803961</v>
      </c>
      <c r="H345">
        <v>0.48554772708271587</v>
      </c>
      <c r="I345">
        <v>0.51205356296113658</v>
      </c>
      <c r="J345">
        <v>0.53807381550637201</v>
      </c>
      <c r="K345">
        <v>0.56375861426708884</v>
      </c>
      <c r="L345">
        <v>0.59971703204539162</v>
      </c>
      <c r="M345">
        <v>0.64539368570209876</v>
      </c>
      <c r="N345">
        <v>0.70855384086194106</v>
      </c>
      <c r="O345">
        <v>0.76940393635643811</v>
      </c>
      <c r="P345">
        <v>0.82801115915159496</v>
      </c>
      <c r="Q345">
        <v>0.88442526371565411</v>
      </c>
      <c r="S345" t="str">
        <f t="shared" si="5"/>
        <v>SESC_HHM_HH_PR19CA009</v>
      </c>
    </row>
    <row r="346" spans="1:19" x14ac:dyDescent="0.3">
      <c r="A346" t="s">
        <v>31</v>
      </c>
      <c r="B346" t="s">
        <v>256</v>
      </c>
      <c r="C346" t="s">
        <v>257</v>
      </c>
      <c r="D346" t="s">
        <v>12</v>
      </c>
      <c r="E346" t="s">
        <v>147</v>
      </c>
      <c r="F346" t="s">
        <v>293</v>
      </c>
      <c r="G346" t="s">
        <v>293</v>
      </c>
      <c r="H346" t="s">
        <v>293</v>
      </c>
      <c r="I346" t="s">
        <v>293</v>
      </c>
      <c r="J346" t="s">
        <v>293</v>
      </c>
      <c r="K346" t="s">
        <v>293</v>
      </c>
      <c r="L346" t="s">
        <v>293</v>
      </c>
      <c r="M346" t="s">
        <v>293</v>
      </c>
      <c r="N346" t="s">
        <v>293</v>
      </c>
      <c r="O346" t="s">
        <v>293</v>
      </c>
      <c r="P346" t="s">
        <v>293</v>
      </c>
      <c r="Q346" t="s">
        <v>293</v>
      </c>
      <c r="S346" t="str">
        <f t="shared" si="5"/>
        <v>SESC_HHDU_HH_PR19CA009</v>
      </c>
    </row>
    <row r="347" spans="1:19" x14ac:dyDescent="0.3">
      <c r="A347" t="s">
        <v>31</v>
      </c>
      <c r="B347" t="s">
        <v>258</v>
      </c>
      <c r="C347" t="s">
        <v>259</v>
      </c>
      <c r="D347" t="s">
        <v>228</v>
      </c>
      <c r="E347" t="s">
        <v>147</v>
      </c>
      <c r="F347">
        <v>201.80165149292696</v>
      </c>
      <c r="G347">
        <v>202.53753958003094</v>
      </c>
      <c r="H347">
        <v>191.56166493354698</v>
      </c>
      <c r="I347">
        <v>187.94728584761728</v>
      </c>
      <c r="J347">
        <v>189.55283390758771</v>
      </c>
      <c r="K347">
        <v>190.70624375809979</v>
      </c>
      <c r="L347">
        <v>193.69488228502576</v>
      </c>
      <c r="M347">
        <v>181.83006799229318</v>
      </c>
      <c r="N347">
        <v>182.15602323552019</v>
      </c>
      <c r="O347">
        <v>181.82553380328704</v>
      </c>
      <c r="P347">
        <v>181.54466232132961</v>
      </c>
      <c r="Q347">
        <v>180.24638550528579</v>
      </c>
      <c r="S347" t="str">
        <f t="shared" si="5"/>
        <v>SESC_REV_HH_PR19CA009</v>
      </c>
    </row>
    <row r="348" spans="1:19" x14ac:dyDescent="0.3">
      <c r="A348" t="s">
        <v>31</v>
      </c>
      <c r="B348" t="s">
        <v>260</v>
      </c>
      <c r="C348" t="s">
        <v>261</v>
      </c>
      <c r="D348" t="s">
        <v>15</v>
      </c>
      <c r="E348" t="s">
        <v>147</v>
      </c>
      <c r="F348">
        <v>6.0289999999999999</v>
      </c>
      <c r="G348">
        <v>6.0449999999999999</v>
      </c>
      <c r="H348">
        <v>6.4459999999999997</v>
      </c>
      <c r="I348">
        <v>6.46</v>
      </c>
      <c r="J348">
        <v>7.4420000000000002</v>
      </c>
      <c r="K348">
        <v>8.343</v>
      </c>
      <c r="L348">
        <v>8.0990594999999992</v>
      </c>
      <c r="M348">
        <v>7.3872083694844424</v>
      </c>
      <c r="N348">
        <v>7.4095169580540485</v>
      </c>
      <c r="O348">
        <v>7.5428550460436332</v>
      </c>
      <c r="P348">
        <v>7.5322524044116959</v>
      </c>
      <c r="Q348">
        <v>7.5437319399069009</v>
      </c>
      <c r="S348" t="str">
        <f t="shared" si="5"/>
        <v>SESC_TC_TRN_PR19CA009</v>
      </c>
    </row>
    <row r="349" spans="1:19" x14ac:dyDescent="0.3">
      <c r="A349" t="s">
        <v>31</v>
      </c>
      <c r="B349" t="s">
        <v>262</v>
      </c>
      <c r="C349" t="s">
        <v>263</v>
      </c>
      <c r="D349" t="s">
        <v>15</v>
      </c>
      <c r="E349" t="s">
        <v>147</v>
      </c>
      <c r="F349">
        <v>6.3724369506423235</v>
      </c>
      <c r="G349">
        <v>6.3172699924793188</v>
      </c>
      <c r="H349">
        <v>6.7066286189683844</v>
      </c>
      <c r="I349">
        <v>6.6301813705375459</v>
      </c>
      <c r="J349">
        <v>7.4420000000000002</v>
      </c>
      <c r="K349">
        <v>8.1692419354838695</v>
      </c>
      <c r="L349">
        <v>7.7727601954569865</v>
      </c>
      <c r="M349">
        <v>6.9482872945827863</v>
      </c>
      <c r="N349">
        <v>6.8335854776861522</v>
      </c>
      <c r="O349">
        <v>6.8197617991484742</v>
      </c>
      <c r="P349">
        <v>6.6769456031735688</v>
      </c>
      <c r="Q349">
        <v>6.5551633991437086</v>
      </c>
      <c r="S349" t="str">
        <f t="shared" si="5"/>
        <v>SESC_TC_TRR_PR19CA009</v>
      </c>
    </row>
    <row r="350" spans="1:19" x14ac:dyDescent="0.3">
      <c r="A350" t="s">
        <v>31</v>
      </c>
      <c r="B350" t="s">
        <v>264</v>
      </c>
      <c r="C350" t="s">
        <v>265</v>
      </c>
      <c r="D350" t="s">
        <v>15</v>
      </c>
      <c r="E350" t="s">
        <v>147</v>
      </c>
      <c r="F350">
        <v>5.1220483434753197</v>
      </c>
      <c r="G350">
        <v>5.1625002089078302</v>
      </c>
      <c r="H350">
        <v>5.504928951747087</v>
      </c>
      <c r="I350">
        <v>5.3215929421419776</v>
      </c>
      <c r="J350">
        <v>5.9649999999999999</v>
      </c>
      <c r="K350">
        <v>6.7954619480112726</v>
      </c>
      <c r="L350">
        <v>6.6018551147264217</v>
      </c>
      <c r="M350">
        <v>5.6929476557157708</v>
      </c>
      <c r="N350">
        <v>5.5973251181623063</v>
      </c>
      <c r="O350">
        <v>5.6024512869560104</v>
      </c>
      <c r="P350">
        <v>5.4798617851455642</v>
      </c>
      <c r="Q350">
        <v>5.37807955847987</v>
      </c>
      <c r="S350" t="str">
        <f t="shared" si="5"/>
        <v>SESC_OC_TR_PR19CA009</v>
      </c>
    </row>
    <row r="351" spans="1:19" x14ac:dyDescent="0.3">
      <c r="A351" t="s">
        <v>31</v>
      </c>
      <c r="B351" t="s">
        <v>266</v>
      </c>
      <c r="C351" t="s">
        <v>267</v>
      </c>
      <c r="D351" t="s">
        <v>16</v>
      </c>
      <c r="E351" t="s">
        <v>147</v>
      </c>
      <c r="F351">
        <v>1.0569641649763351</v>
      </c>
      <c r="G351">
        <v>1.0450405281189941</v>
      </c>
      <c r="H351">
        <v>1.0404326123128118</v>
      </c>
      <c r="I351">
        <v>1.0263438654082888</v>
      </c>
      <c r="J351">
        <v>1</v>
      </c>
      <c r="K351">
        <v>0.97917319135609127</v>
      </c>
      <c r="L351">
        <v>0.95971145729414475</v>
      </c>
      <c r="M351">
        <v>0.9405836341756949</v>
      </c>
      <c r="N351">
        <v>0.92227138643068141</v>
      </c>
      <c r="O351">
        <v>0.90413533834586479</v>
      </c>
      <c r="P351">
        <v>0.88644740572724734</v>
      </c>
      <c r="Q351">
        <v>0.86895497498610852</v>
      </c>
      <c r="S351" t="str">
        <f t="shared" si="5"/>
        <v>SESC_CD0014R_PR19</v>
      </c>
    </row>
    <row r="352" spans="1:19" x14ac:dyDescent="0.3">
      <c r="A352" t="s">
        <v>31</v>
      </c>
      <c r="B352" t="s">
        <v>268</v>
      </c>
      <c r="C352" t="s">
        <v>269</v>
      </c>
      <c r="D352" t="s">
        <v>15</v>
      </c>
      <c r="E352" t="s">
        <v>147</v>
      </c>
      <c r="F352">
        <v>6.3724369506423235</v>
      </c>
      <c r="G352">
        <v>6.3172699924793188</v>
      </c>
      <c r="H352">
        <v>6.7066286189683844</v>
      </c>
      <c r="I352">
        <v>6.6301813705375459</v>
      </c>
      <c r="J352">
        <v>7.45</v>
      </c>
      <c r="K352">
        <v>8.1692419354838695</v>
      </c>
      <c r="L352">
        <v>7.7727601954569865</v>
      </c>
      <c r="M352">
        <v>6.9482872945827863</v>
      </c>
      <c r="N352">
        <v>6.8335854776861522</v>
      </c>
      <c r="O352">
        <v>6.8197617991484742</v>
      </c>
      <c r="P352">
        <v>6.6769456031735688</v>
      </c>
      <c r="Q352">
        <v>6.5551633991437095</v>
      </c>
      <c r="S352" t="str">
        <f t="shared" si="5"/>
        <v>SESC_BPTOTEX_PR19CA009</v>
      </c>
    </row>
    <row r="353" spans="1:19" x14ac:dyDescent="0.3">
      <c r="A353" t="s">
        <v>31</v>
      </c>
      <c r="B353" t="s">
        <v>273</v>
      </c>
      <c r="C353" t="s">
        <v>274</v>
      </c>
      <c r="D353" t="s">
        <v>12</v>
      </c>
      <c r="E353" t="s">
        <v>147</v>
      </c>
      <c r="F353">
        <v>0.22758839206425083</v>
      </c>
      <c r="G353">
        <v>0.22567918045493965</v>
      </c>
      <c r="H353">
        <v>0.22251442280359135</v>
      </c>
      <c r="I353">
        <v>0.21422322637434046</v>
      </c>
      <c r="J353">
        <v>0.21436598180845048</v>
      </c>
      <c r="K353">
        <v>0.20658446407276546</v>
      </c>
      <c r="L353" t="s">
        <v>293</v>
      </c>
      <c r="M353" t="s">
        <v>293</v>
      </c>
      <c r="N353" t="s">
        <v>293</v>
      </c>
      <c r="O353" t="s">
        <v>293</v>
      </c>
      <c r="P353" t="s">
        <v>293</v>
      </c>
      <c r="Q353" t="s">
        <v>293</v>
      </c>
      <c r="S353" t="str">
        <f t="shared" si="5"/>
        <v>SESC_CD0018_PR19RR1</v>
      </c>
    </row>
    <row r="354" spans="1:19" x14ac:dyDescent="0.3">
      <c r="A354" t="s">
        <v>31</v>
      </c>
      <c r="B354" t="s">
        <v>275</v>
      </c>
      <c r="C354" t="s">
        <v>154</v>
      </c>
      <c r="D354" t="s">
        <v>12</v>
      </c>
      <c r="E354" t="s">
        <v>147</v>
      </c>
      <c r="F354">
        <v>0.13955975676094126</v>
      </c>
      <c r="G354">
        <v>0.13955975676094126</v>
      </c>
      <c r="H354">
        <v>0.13955975676094126</v>
      </c>
      <c r="I354">
        <v>0.13955975676094126</v>
      </c>
      <c r="J354">
        <v>0.13932395013343676</v>
      </c>
      <c r="K354">
        <v>0.13932395013343676</v>
      </c>
      <c r="L354" t="s">
        <v>293</v>
      </c>
      <c r="M354" t="s">
        <v>293</v>
      </c>
      <c r="N354" t="s">
        <v>293</v>
      </c>
      <c r="O354" t="s">
        <v>293</v>
      </c>
      <c r="P354" t="s">
        <v>293</v>
      </c>
      <c r="Q354" t="s">
        <v>293</v>
      </c>
      <c r="S354" t="str">
        <f t="shared" si="5"/>
        <v>SESC_CD0019_PR19RR1</v>
      </c>
    </row>
    <row r="355" spans="1:19" x14ac:dyDescent="0.3">
      <c r="A355" t="s">
        <v>31</v>
      </c>
      <c r="B355" t="s">
        <v>276</v>
      </c>
      <c r="C355" t="s">
        <v>153</v>
      </c>
      <c r="D355" t="s">
        <v>12</v>
      </c>
      <c r="E355" t="s">
        <v>147</v>
      </c>
      <c r="F355" t="s">
        <v>293</v>
      </c>
      <c r="G355" t="s">
        <v>293</v>
      </c>
      <c r="H355" t="s">
        <v>293</v>
      </c>
      <c r="I355" t="s">
        <v>293</v>
      </c>
      <c r="J355" t="s">
        <v>293</v>
      </c>
      <c r="K355" t="s">
        <v>293</v>
      </c>
      <c r="L355" t="s">
        <v>293</v>
      </c>
      <c r="M355" t="s">
        <v>293</v>
      </c>
      <c r="N355" t="s">
        <v>293</v>
      </c>
      <c r="O355" t="s">
        <v>293</v>
      </c>
      <c r="P355" t="s">
        <v>293</v>
      </c>
      <c r="Q355" t="s">
        <v>293</v>
      </c>
      <c r="S355" t="str">
        <f t="shared" si="5"/>
        <v>SESC_CD0020_PR19RR1</v>
      </c>
    </row>
    <row r="356" spans="1:19" x14ac:dyDescent="0.3">
      <c r="A356" t="s">
        <v>31</v>
      </c>
      <c r="B356" t="s">
        <v>277</v>
      </c>
      <c r="C356" t="s">
        <v>278</v>
      </c>
      <c r="D356" t="s">
        <v>12</v>
      </c>
      <c r="E356" t="s">
        <v>147</v>
      </c>
      <c r="F356">
        <v>9.5996907035046222E-2</v>
      </c>
      <c r="G356">
        <v>9.604691464133866E-2</v>
      </c>
      <c r="H356">
        <v>9.607428001025832E-2</v>
      </c>
      <c r="I356">
        <v>9.6072079609599875E-2</v>
      </c>
      <c r="J356">
        <v>9.6049670022011396E-2</v>
      </c>
      <c r="K356">
        <v>9.6049670022011396E-2</v>
      </c>
      <c r="L356" t="s">
        <v>293</v>
      </c>
      <c r="M356" t="s">
        <v>293</v>
      </c>
      <c r="N356" t="s">
        <v>293</v>
      </c>
      <c r="O356" t="s">
        <v>293</v>
      </c>
      <c r="P356" t="s">
        <v>293</v>
      </c>
      <c r="Q356" t="s">
        <v>293</v>
      </c>
      <c r="S356" t="str">
        <f t="shared" si="5"/>
        <v>SESC_CD0021_PR19RR1</v>
      </c>
    </row>
    <row r="357" spans="1:19" x14ac:dyDescent="0.3">
      <c r="A357" t="s">
        <v>31</v>
      </c>
      <c r="B357" t="s">
        <v>279</v>
      </c>
      <c r="C357" t="s">
        <v>280</v>
      </c>
      <c r="D357" t="s">
        <v>15</v>
      </c>
      <c r="E357" t="s">
        <v>147</v>
      </c>
      <c r="F357">
        <v>52.657921138912862</v>
      </c>
      <c r="G357">
        <v>53.142407247627268</v>
      </c>
      <c r="H357">
        <v>50.407919633943415</v>
      </c>
      <c r="I357">
        <v>49.545723758719632</v>
      </c>
      <c r="J357">
        <v>50.393000000000001</v>
      </c>
      <c r="K357">
        <v>51.195091136861883</v>
      </c>
      <c r="L357">
        <v>53.118109738316321</v>
      </c>
      <c r="M357">
        <v>50.301833669523973</v>
      </c>
      <c r="N357">
        <v>50.838106680824566</v>
      </c>
      <c r="O357">
        <v>51.207706910553533</v>
      </c>
      <c r="P357">
        <v>51.604251809500262</v>
      </c>
      <c r="Q357">
        <v>51.705838638817298</v>
      </c>
      <c r="S357" t="str">
        <f t="shared" si="5"/>
        <v>SESC_CD0022_PR19RR1</v>
      </c>
    </row>
    <row r="358" spans="1:19" x14ac:dyDescent="0.3">
      <c r="A358" t="s">
        <v>31</v>
      </c>
      <c r="B358" t="s">
        <v>286</v>
      </c>
      <c r="C358" t="s">
        <v>287</v>
      </c>
      <c r="D358" t="s">
        <v>15</v>
      </c>
      <c r="E358" t="s">
        <v>147</v>
      </c>
      <c r="F358" t="s">
        <v>293</v>
      </c>
      <c r="G358" t="s">
        <v>293</v>
      </c>
      <c r="H358" t="s">
        <v>293</v>
      </c>
      <c r="I358" t="s">
        <v>293</v>
      </c>
      <c r="J358">
        <v>0.19700000000000001</v>
      </c>
      <c r="K358">
        <v>0.42398199185718749</v>
      </c>
      <c r="L358">
        <v>1.7188432200138133</v>
      </c>
      <c r="M358">
        <v>0.16178038507821951</v>
      </c>
      <c r="N358">
        <v>0.16047522123893856</v>
      </c>
      <c r="O358">
        <v>0.16003195488721805</v>
      </c>
      <c r="P358">
        <v>0.11346526793308766</v>
      </c>
      <c r="Q358">
        <v>0.11035728182323579</v>
      </c>
      <c r="S358" t="str">
        <f t="shared" si="5"/>
        <v>SESC_BM4017_PR19CA009</v>
      </c>
    </row>
    <row r="359" spans="1:19" x14ac:dyDescent="0.3">
      <c r="A359" t="s">
        <v>31</v>
      </c>
      <c r="B359" t="s">
        <v>289</v>
      </c>
      <c r="C359" t="s">
        <v>290</v>
      </c>
      <c r="D359" t="s">
        <v>146</v>
      </c>
      <c r="E359" t="s">
        <v>147</v>
      </c>
      <c r="F359" t="s">
        <v>314</v>
      </c>
      <c r="G359" t="s">
        <v>314</v>
      </c>
      <c r="H359" t="s">
        <v>314</v>
      </c>
      <c r="I359" t="s">
        <v>314</v>
      </c>
      <c r="J359" t="s">
        <v>314</v>
      </c>
      <c r="K359" t="s">
        <v>314</v>
      </c>
      <c r="L359" t="s">
        <v>314</v>
      </c>
      <c r="M359" t="s">
        <v>314</v>
      </c>
      <c r="N359" t="s">
        <v>314</v>
      </c>
      <c r="O359" t="s">
        <v>314</v>
      </c>
      <c r="P359" t="s">
        <v>314</v>
      </c>
      <c r="Q359" t="s">
        <v>314</v>
      </c>
      <c r="S359" t="str">
        <f t="shared" si="5"/>
        <v>SESPR19QA_CA009_OUT_1</v>
      </c>
    </row>
    <row r="360" spans="1:19" x14ac:dyDescent="0.3">
      <c r="A360" t="s">
        <v>31</v>
      </c>
      <c r="B360" t="s">
        <v>291</v>
      </c>
      <c r="C360" t="s">
        <v>292</v>
      </c>
      <c r="D360" t="s">
        <v>146</v>
      </c>
      <c r="E360" t="s">
        <v>147</v>
      </c>
      <c r="F360" t="s">
        <v>315</v>
      </c>
      <c r="G360" t="s">
        <v>315</v>
      </c>
      <c r="H360" t="s">
        <v>315</v>
      </c>
      <c r="I360" t="s">
        <v>315</v>
      </c>
      <c r="J360" t="s">
        <v>315</v>
      </c>
      <c r="K360" t="s">
        <v>315</v>
      </c>
      <c r="L360" t="s">
        <v>315</v>
      </c>
      <c r="M360" t="s">
        <v>315</v>
      </c>
      <c r="N360" t="s">
        <v>315</v>
      </c>
      <c r="O360" t="s">
        <v>315</v>
      </c>
      <c r="P360" t="s">
        <v>315</v>
      </c>
      <c r="Q360" t="s">
        <v>315</v>
      </c>
      <c r="S360" t="str">
        <f t="shared" si="5"/>
        <v>SESPR19QA_CA009_OUT_2</v>
      </c>
    </row>
    <row r="361" spans="1:19" x14ac:dyDescent="0.3">
      <c r="A361" t="s">
        <v>32</v>
      </c>
      <c r="B361" t="s">
        <v>244</v>
      </c>
      <c r="C361" t="s">
        <v>245</v>
      </c>
      <c r="D361" t="s">
        <v>15</v>
      </c>
      <c r="E361" t="s">
        <v>147</v>
      </c>
      <c r="F361">
        <v>1.482920723461798</v>
      </c>
      <c r="G361">
        <v>1.5341194952786832</v>
      </c>
      <c r="H361">
        <v>0.14774143094841929</v>
      </c>
      <c r="I361">
        <v>0.10879244973327862</v>
      </c>
      <c r="J361">
        <v>7.0000000000000007E-2</v>
      </c>
      <c r="K361">
        <v>5.0917005950516743E-2</v>
      </c>
      <c r="L361">
        <v>2.0208217913204131E-2</v>
      </c>
      <c r="M361">
        <v>0.1089692320948755</v>
      </c>
      <c r="N361">
        <v>0.11160924721605785</v>
      </c>
      <c r="O361">
        <v>0.11042494899742528</v>
      </c>
      <c r="P361">
        <v>0.11187713908149911</v>
      </c>
      <c r="Q361">
        <v>0.11145126379701055</v>
      </c>
      <c r="S361" t="str">
        <f t="shared" si="5"/>
        <v>SEWC_DEP_PR19CA009</v>
      </c>
    </row>
    <row r="362" spans="1:19" x14ac:dyDescent="0.3">
      <c r="A362" t="s">
        <v>32</v>
      </c>
      <c r="B362" t="s">
        <v>246</v>
      </c>
      <c r="C362" t="s">
        <v>247</v>
      </c>
      <c r="D362" t="s">
        <v>15</v>
      </c>
      <c r="E362" t="s">
        <v>147</v>
      </c>
      <c r="F362">
        <v>17.793207442511402</v>
      </c>
      <c r="G362">
        <v>15.698980405253268</v>
      </c>
      <c r="H362">
        <v>18.690084624051295</v>
      </c>
      <c r="I362">
        <v>16.59723969523959</v>
      </c>
      <c r="J362">
        <v>15.671748517562115</v>
      </c>
      <c r="K362">
        <v>16.142435645654817</v>
      </c>
      <c r="L362">
        <v>15.400586642043754</v>
      </c>
      <c r="M362">
        <v>15.099345334189923</v>
      </c>
      <c r="N362">
        <v>15.005863288198979</v>
      </c>
      <c r="O362">
        <v>14.893679071388268</v>
      </c>
      <c r="P362">
        <v>14.765992324532579</v>
      </c>
      <c r="Q362">
        <v>14.55184926206322</v>
      </c>
      <c r="S362" t="str">
        <f t="shared" si="5"/>
        <v>SEWC_STC_TR_PR19CA009</v>
      </c>
    </row>
    <row r="363" spans="1:19" x14ac:dyDescent="0.3">
      <c r="A363" t="s">
        <v>32</v>
      </c>
      <c r="B363" t="s">
        <v>248</v>
      </c>
      <c r="C363" t="s">
        <v>249</v>
      </c>
      <c r="D363" t="s">
        <v>15</v>
      </c>
      <c r="E363" t="s">
        <v>147</v>
      </c>
      <c r="F363">
        <v>12.255772182200383</v>
      </c>
      <c r="G363">
        <v>11.94623986877796</v>
      </c>
      <c r="H363">
        <v>13.951954507578749</v>
      </c>
      <c r="I363">
        <v>14.866823938161215</v>
      </c>
      <c r="J363">
        <v>13.999748517562114</v>
      </c>
      <c r="K363">
        <v>13.981400412331924</v>
      </c>
      <c r="L363">
        <v>13.101661280394008</v>
      </c>
      <c r="M363">
        <v>12.863107179895087</v>
      </c>
      <c r="N363">
        <v>12.798790424501435</v>
      </c>
      <c r="O363">
        <v>12.714383383736603</v>
      </c>
      <c r="P363">
        <v>12.616161219942493</v>
      </c>
      <c r="Q363">
        <v>12.430764973894917</v>
      </c>
      <c r="S363" t="str">
        <f t="shared" si="5"/>
        <v>SEWC_SOC_TR_PR19CA009</v>
      </c>
    </row>
    <row r="364" spans="1:19" x14ac:dyDescent="0.3">
      <c r="A364" t="s">
        <v>32</v>
      </c>
      <c r="B364" t="s">
        <v>250</v>
      </c>
      <c r="C364" t="s">
        <v>251</v>
      </c>
      <c r="D364" t="s">
        <v>15</v>
      </c>
      <c r="E364" t="s">
        <v>147</v>
      </c>
      <c r="F364">
        <v>5.5374352603110193</v>
      </c>
      <c r="G364">
        <v>3.7527405364753075</v>
      </c>
      <c r="H364">
        <v>4.7381301164725453</v>
      </c>
      <c r="I364">
        <v>1.7304157570783749</v>
      </c>
      <c r="J364">
        <v>1.6719999999999999</v>
      </c>
      <c r="K364">
        <v>2.1610352333228935</v>
      </c>
      <c r="L364">
        <v>2.2989253616497463</v>
      </c>
      <c r="M364">
        <v>2.2362381542948362</v>
      </c>
      <c r="N364">
        <v>2.2070728636975443</v>
      </c>
      <c r="O364">
        <v>2.179295687651666</v>
      </c>
      <c r="P364">
        <v>2.1498311045900871</v>
      </c>
      <c r="Q364">
        <v>2.1210842881683027</v>
      </c>
      <c r="S364" t="str">
        <f t="shared" si="5"/>
        <v>SEWC_DC_T_PR19CA009</v>
      </c>
    </row>
    <row r="365" spans="1:19" x14ac:dyDescent="0.3">
      <c r="A365" t="s">
        <v>32</v>
      </c>
      <c r="B365" t="s">
        <v>252</v>
      </c>
      <c r="C365" t="s">
        <v>253</v>
      </c>
      <c r="D365" t="s">
        <v>13</v>
      </c>
      <c r="E365" t="s">
        <v>147</v>
      </c>
      <c r="F365">
        <v>819.99700000000007</v>
      </c>
      <c r="G365">
        <v>829.80399999999997</v>
      </c>
      <c r="H365">
        <v>837.42200000000003</v>
      </c>
      <c r="I365">
        <v>845.88800000000003</v>
      </c>
      <c r="J365">
        <v>854.36900000000003</v>
      </c>
      <c r="K365">
        <v>861.52200000000005</v>
      </c>
      <c r="L365">
        <v>870.59299999999996</v>
      </c>
      <c r="M365">
        <v>879.05399999999997</v>
      </c>
      <c r="N365">
        <v>887.64100000000008</v>
      </c>
      <c r="O365">
        <v>896.35699999999997</v>
      </c>
      <c r="P365">
        <v>905.202</v>
      </c>
      <c r="Q365">
        <v>914.18200000000002</v>
      </c>
      <c r="S365" t="str">
        <f t="shared" si="5"/>
        <v>SEWC_HH_T_PR19CA009</v>
      </c>
    </row>
    <row r="366" spans="1:19" x14ac:dyDescent="0.3">
      <c r="A366" t="s">
        <v>32</v>
      </c>
      <c r="B366" t="s">
        <v>254</v>
      </c>
      <c r="C366" t="s">
        <v>255</v>
      </c>
      <c r="D366" t="s">
        <v>12</v>
      </c>
      <c r="E366" t="s">
        <v>147</v>
      </c>
      <c r="F366">
        <v>0.60359367168416467</v>
      </c>
      <c r="G366">
        <v>0.6682385237959807</v>
      </c>
      <c r="H366">
        <v>0.7261201640272168</v>
      </c>
      <c r="I366">
        <v>0.78098164295982453</v>
      </c>
      <c r="J366">
        <v>0.83335537689218597</v>
      </c>
      <c r="K366">
        <v>0.87617495548575663</v>
      </c>
      <c r="L366">
        <v>0.87016321059323931</v>
      </c>
      <c r="M366">
        <v>0.87196804746921119</v>
      </c>
      <c r="N366">
        <v>0.87364711634545944</v>
      </c>
      <c r="O366">
        <v>0.87520262573952123</v>
      </c>
      <c r="P366">
        <v>0.87663858453693211</v>
      </c>
      <c r="Q366">
        <v>0.87795646818685991</v>
      </c>
      <c r="S366" t="str">
        <f t="shared" si="5"/>
        <v>SEWC_HHM_HH_PR19CA009</v>
      </c>
    </row>
    <row r="367" spans="1:19" x14ac:dyDescent="0.3">
      <c r="A367" t="s">
        <v>32</v>
      </c>
      <c r="B367" t="s">
        <v>256</v>
      </c>
      <c r="C367" t="s">
        <v>257</v>
      </c>
      <c r="D367" t="s">
        <v>12</v>
      </c>
      <c r="E367" t="s">
        <v>147</v>
      </c>
      <c r="F367" t="s">
        <v>293</v>
      </c>
      <c r="G367" t="s">
        <v>293</v>
      </c>
      <c r="H367" t="s">
        <v>293</v>
      </c>
      <c r="I367" t="s">
        <v>293</v>
      </c>
      <c r="J367" t="s">
        <v>293</v>
      </c>
      <c r="K367" t="s">
        <v>293</v>
      </c>
      <c r="L367" t="s">
        <v>293</v>
      </c>
      <c r="M367" t="s">
        <v>293</v>
      </c>
      <c r="N367" t="s">
        <v>293</v>
      </c>
      <c r="O367" t="s">
        <v>293</v>
      </c>
      <c r="P367" t="s">
        <v>293</v>
      </c>
      <c r="Q367" t="s">
        <v>293</v>
      </c>
      <c r="S367" t="str">
        <f t="shared" si="5"/>
        <v>SEWC_HHDU_HH_PR19CA009</v>
      </c>
    </row>
    <row r="368" spans="1:19" x14ac:dyDescent="0.3">
      <c r="A368" t="s">
        <v>32</v>
      </c>
      <c r="B368" t="s">
        <v>258</v>
      </c>
      <c r="C368" t="s">
        <v>259</v>
      </c>
      <c r="D368" t="s">
        <v>228</v>
      </c>
      <c r="E368" t="s">
        <v>147</v>
      </c>
      <c r="F368">
        <v>214.14290660039796</v>
      </c>
      <c r="G368">
        <v>211.92805308299697</v>
      </c>
      <c r="H368">
        <v>196.8980035952269</v>
      </c>
      <c r="I368">
        <v>204.00981871092827</v>
      </c>
      <c r="J368">
        <v>200.95298401510354</v>
      </c>
      <c r="K368">
        <v>204.63117374195446</v>
      </c>
      <c r="L368">
        <v>203.01007391134678</v>
      </c>
      <c r="M368">
        <v>203.7547574654387</v>
      </c>
      <c r="N368">
        <v>203.75475746543827</v>
      </c>
      <c r="O368">
        <v>203.7547574654389</v>
      </c>
      <c r="P368">
        <v>203.75475746543779</v>
      </c>
      <c r="Q368">
        <v>203.52640280339062</v>
      </c>
      <c r="S368" t="str">
        <f t="shared" si="5"/>
        <v>SEWC_REV_HH_PR19CA009</v>
      </c>
    </row>
    <row r="369" spans="1:19" x14ac:dyDescent="0.3">
      <c r="A369" t="s">
        <v>32</v>
      </c>
      <c r="B369" t="s">
        <v>260</v>
      </c>
      <c r="C369" t="s">
        <v>261</v>
      </c>
      <c r="D369" t="s">
        <v>15</v>
      </c>
      <c r="E369" t="s">
        <v>147</v>
      </c>
      <c r="F369">
        <v>17.701999999999998</v>
      </c>
      <c r="G369">
        <v>15.949000000000002</v>
      </c>
      <c r="H369">
        <v>17.561999999999998</v>
      </c>
      <c r="I369">
        <v>15.726000000000001</v>
      </c>
      <c r="J369">
        <v>15.176</v>
      </c>
      <c r="K369">
        <v>15.959999999999999</v>
      </c>
      <c r="L369">
        <v>16.004000000000001</v>
      </c>
      <c r="M369">
        <v>15.935</v>
      </c>
      <c r="N369">
        <v>16.134</v>
      </c>
      <c r="O369">
        <v>16.32</v>
      </c>
      <c r="P369">
        <v>16.498000000000005</v>
      </c>
      <c r="Q369">
        <v>16.582000000000001</v>
      </c>
      <c r="S369" t="str">
        <f t="shared" si="5"/>
        <v>SEWC_TC_TRN_PR19CA009</v>
      </c>
    </row>
    <row r="370" spans="1:19" x14ac:dyDescent="0.3">
      <c r="A370" t="s">
        <v>32</v>
      </c>
      <c r="B370" t="s">
        <v>262</v>
      </c>
      <c r="C370" t="s">
        <v>263</v>
      </c>
      <c r="D370" t="s">
        <v>15</v>
      </c>
      <c r="E370" t="s">
        <v>147</v>
      </c>
      <c r="F370">
        <v>18.710379648411081</v>
      </c>
      <c r="G370">
        <v>16.667351382969837</v>
      </c>
      <c r="H370">
        <v>18.2720775374376</v>
      </c>
      <c r="I370">
        <v>16.140283627410749</v>
      </c>
      <c r="J370">
        <v>15.176</v>
      </c>
      <c r="K370">
        <v>15.627604134043215</v>
      </c>
      <c r="L370">
        <v>15.400586642043757</v>
      </c>
      <c r="M370">
        <v>15.099345334189922</v>
      </c>
      <c r="N370">
        <v>15.005863288198979</v>
      </c>
      <c r="O370">
        <v>14.89367907138827</v>
      </c>
      <c r="P370">
        <v>14.765992324532583</v>
      </c>
      <c r="Q370">
        <v>14.55184926206322</v>
      </c>
      <c r="S370" t="str">
        <f t="shared" si="5"/>
        <v>SEWC_TC_TRR_PR19CA009</v>
      </c>
    </row>
    <row r="371" spans="1:19" x14ac:dyDescent="0.3">
      <c r="A371" t="s">
        <v>32</v>
      </c>
      <c r="B371" t="s">
        <v>264</v>
      </c>
      <c r="C371" t="s">
        <v>265</v>
      </c>
      <c r="D371" t="s">
        <v>15</v>
      </c>
      <c r="E371" t="s">
        <v>147</v>
      </c>
      <c r="F371">
        <v>13.172944388100062</v>
      </c>
      <c r="G371">
        <v>12.914610846494531</v>
      </c>
      <c r="H371">
        <v>13.533947420965053</v>
      </c>
      <c r="I371">
        <v>14.409867870332375</v>
      </c>
      <c r="J371">
        <v>13.504</v>
      </c>
      <c r="K371">
        <v>13.466568900720324</v>
      </c>
      <c r="L371">
        <v>13.101661280394012</v>
      </c>
      <c r="M371">
        <v>12.863107179895087</v>
      </c>
      <c r="N371">
        <v>12.798790424501433</v>
      </c>
      <c r="O371">
        <v>12.714383383736605</v>
      </c>
      <c r="P371">
        <v>12.616161219942494</v>
      </c>
      <c r="Q371">
        <v>12.430764973894917</v>
      </c>
      <c r="S371" t="str">
        <f t="shared" si="5"/>
        <v>SEWC_OC_TR_PR19CA009</v>
      </c>
    </row>
    <row r="372" spans="1:19" x14ac:dyDescent="0.3">
      <c r="A372" t="s">
        <v>32</v>
      </c>
      <c r="B372" t="s">
        <v>266</v>
      </c>
      <c r="C372" t="s">
        <v>267</v>
      </c>
      <c r="D372" t="s">
        <v>16</v>
      </c>
      <c r="E372" t="s">
        <v>147</v>
      </c>
      <c r="F372">
        <v>1.0569641649763351</v>
      </c>
      <c r="G372">
        <v>1.0450405281189941</v>
      </c>
      <c r="H372">
        <v>1.0404326123128118</v>
      </c>
      <c r="I372">
        <v>1.0263438654082888</v>
      </c>
      <c r="J372">
        <v>1</v>
      </c>
      <c r="K372">
        <v>0.97917319135609127</v>
      </c>
      <c r="L372">
        <v>0.96229609110495851</v>
      </c>
      <c r="M372">
        <v>0.94755853995543904</v>
      </c>
      <c r="N372">
        <v>0.93007706013381541</v>
      </c>
      <c r="O372">
        <v>0.91260288427624203</v>
      </c>
      <c r="P372">
        <v>0.89501711265199291</v>
      </c>
      <c r="Q372">
        <v>0.87756900627567358</v>
      </c>
      <c r="S372" t="str">
        <f t="shared" si="5"/>
        <v>SEWC_CD0014R_PR19</v>
      </c>
    </row>
    <row r="373" spans="1:19" x14ac:dyDescent="0.3">
      <c r="A373" t="s">
        <v>32</v>
      </c>
      <c r="B373" t="s">
        <v>268</v>
      </c>
      <c r="C373" t="s">
        <v>269</v>
      </c>
      <c r="D373" t="s">
        <v>15</v>
      </c>
      <c r="E373" t="s">
        <v>147</v>
      </c>
      <c r="F373">
        <v>18.710379648411081</v>
      </c>
      <c r="G373">
        <v>16.667351382969837</v>
      </c>
      <c r="H373">
        <v>18.2720775374376</v>
      </c>
      <c r="I373">
        <v>16.140283627410749</v>
      </c>
      <c r="J373">
        <v>15.176</v>
      </c>
      <c r="K373">
        <v>15.627604134043215</v>
      </c>
      <c r="L373">
        <v>16.163687442289991</v>
      </c>
      <c r="M373">
        <v>15.771164339018325</v>
      </c>
      <c r="N373">
        <v>15.676448848555459</v>
      </c>
      <c r="O373">
        <v>15.565354794215585</v>
      </c>
      <c r="P373">
        <v>15.437255159021579</v>
      </c>
      <c r="Q373">
        <v>15.223189551864111</v>
      </c>
      <c r="S373" t="str">
        <f t="shared" si="5"/>
        <v>SEWC_BPTOTEX_PR19CA009</v>
      </c>
    </row>
    <row r="374" spans="1:19" x14ac:dyDescent="0.3">
      <c r="A374" t="s">
        <v>32</v>
      </c>
      <c r="B374" t="s">
        <v>273</v>
      </c>
      <c r="C374" t="s">
        <v>274</v>
      </c>
      <c r="D374" t="s">
        <v>12</v>
      </c>
      <c r="E374" t="s">
        <v>147</v>
      </c>
      <c r="F374">
        <v>0.21238489620266549</v>
      </c>
      <c r="G374">
        <v>0.21021589281575309</v>
      </c>
      <c r="H374">
        <v>0.20583483294764204</v>
      </c>
      <c r="I374">
        <v>0.19648116505116522</v>
      </c>
      <c r="J374">
        <v>0.19789360878034212</v>
      </c>
      <c r="K374">
        <v>0.18861725621891692</v>
      </c>
      <c r="L374" t="s">
        <v>293</v>
      </c>
      <c r="M374" t="s">
        <v>293</v>
      </c>
      <c r="N374" t="s">
        <v>293</v>
      </c>
      <c r="O374" t="s">
        <v>293</v>
      </c>
      <c r="P374" t="s">
        <v>293</v>
      </c>
      <c r="Q374" t="s">
        <v>293</v>
      </c>
      <c r="S374" t="str">
        <f t="shared" si="5"/>
        <v>SEWC_CD0018_PR19RR1</v>
      </c>
    </row>
    <row r="375" spans="1:19" x14ac:dyDescent="0.3">
      <c r="A375" t="s">
        <v>32</v>
      </c>
      <c r="B375" t="s">
        <v>275</v>
      </c>
      <c r="C375" t="s">
        <v>154</v>
      </c>
      <c r="D375" t="s">
        <v>12</v>
      </c>
      <c r="E375" t="s">
        <v>147</v>
      </c>
      <c r="F375">
        <v>0.12383108799698909</v>
      </c>
      <c r="G375">
        <v>0.12383108799698909</v>
      </c>
      <c r="H375">
        <v>0.12383108799698909</v>
      </c>
      <c r="I375">
        <v>0.12383108799698909</v>
      </c>
      <c r="J375">
        <v>0.12556891767958128</v>
      </c>
      <c r="K375">
        <v>0.12556891767958128</v>
      </c>
      <c r="L375" t="s">
        <v>293</v>
      </c>
      <c r="M375" t="s">
        <v>293</v>
      </c>
      <c r="N375" t="s">
        <v>293</v>
      </c>
      <c r="O375" t="s">
        <v>293</v>
      </c>
      <c r="P375" t="s">
        <v>293</v>
      </c>
      <c r="Q375" t="s">
        <v>293</v>
      </c>
      <c r="S375" t="str">
        <f t="shared" si="5"/>
        <v>SEWC_CD0019_PR19RR1</v>
      </c>
    </row>
    <row r="376" spans="1:19" x14ac:dyDescent="0.3">
      <c r="A376" t="s">
        <v>32</v>
      </c>
      <c r="B376" t="s">
        <v>276</v>
      </c>
      <c r="C376" t="s">
        <v>153</v>
      </c>
      <c r="D376" t="s">
        <v>12</v>
      </c>
      <c r="E376" t="s">
        <v>147</v>
      </c>
      <c r="F376" t="s">
        <v>293</v>
      </c>
      <c r="G376" t="s">
        <v>293</v>
      </c>
      <c r="H376" t="s">
        <v>293</v>
      </c>
      <c r="I376" t="s">
        <v>293</v>
      </c>
      <c r="J376" t="s">
        <v>293</v>
      </c>
      <c r="K376" t="s">
        <v>293</v>
      </c>
      <c r="L376" t="s">
        <v>293</v>
      </c>
      <c r="M376" t="s">
        <v>293</v>
      </c>
      <c r="N376" t="s">
        <v>293</v>
      </c>
      <c r="O376" t="s">
        <v>293</v>
      </c>
      <c r="P376" t="s">
        <v>293</v>
      </c>
      <c r="Q376" t="s">
        <v>293</v>
      </c>
      <c r="S376" t="str">
        <f t="shared" si="5"/>
        <v>SEWC_CD0020_PR19RR1</v>
      </c>
    </row>
    <row r="377" spans="1:19" x14ac:dyDescent="0.3">
      <c r="A377" t="s">
        <v>32</v>
      </c>
      <c r="B377" t="s">
        <v>277</v>
      </c>
      <c r="C377" t="s">
        <v>278</v>
      </c>
      <c r="D377" t="s">
        <v>12</v>
      </c>
      <c r="E377" t="s">
        <v>147</v>
      </c>
      <c r="F377">
        <v>9.5166697449885346E-2</v>
      </c>
      <c r="G377">
        <v>9.5181837657398433E-2</v>
      </c>
      <c r="H377">
        <v>9.5233636669910388E-2</v>
      </c>
      <c r="I377">
        <v>9.5258229755804211E-2</v>
      </c>
      <c r="J377">
        <v>9.5245210625497054E-2</v>
      </c>
      <c r="K377">
        <v>9.5245210625497054E-2</v>
      </c>
      <c r="L377" t="s">
        <v>293</v>
      </c>
      <c r="M377" t="s">
        <v>293</v>
      </c>
      <c r="N377" t="s">
        <v>293</v>
      </c>
      <c r="O377" t="s">
        <v>293</v>
      </c>
      <c r="P377" t="s">
        <v>293</v>
      </c>
      <c r="Q377" t="s">
        <v>293</v>
      </c>
      <c r="S377" t="str">
        <f t="shared" si="5"/>
        <v>SEWC_CD0021_PR19RR1</v>
      </c>
    </row>
    <row r="378" spans="1:19" x14ac:dyDescent="0.3">
      <c r="A378" t="s">
        <v>32</v>
      </c>
      <c r="B378" t="s">
        <v>279</v>
      </c>
      <c r="C378" t="s">
        <v>280</v>
      </c>
      <c r="D378" t="s">
        <v>15</v>
      </c>
      <c r="E378" t="s">
        <v>147</v>
      </c>
      <c r="F378">
        <v>175.59654098360656</v>
      </c>
      <c r="G378">
        <v>175.85874616048321</v>
      </c>
      <c r="H378">
        <v>164.88671996672213</v>
      </c>
      <c r="I378">
        <v>172.56945752974966</v>
      </c>
      <c r="J378">
        <v>171.68799999999999</v>
      </c>
      <c r="K378">
        <v>176.2942580645161</v>
      </c>
      <c r="L378">
        <v>176.73914927670111</v>
      </c>
      <c r="M378">
        <v>179.11143456902377</v>
      </c>
      <c r="N378">
        <v>180.8610766713791</v>
      </c>
      <c r="O378">
        <v>182.6370031374484</v>
      </c>
      <c r="P378">
        <v>184.43921396722922</v>
      </c>
      <c r="Q378">
        <v>186.06017396760924</v>
      </c>
      <c r="S378" t="str">
        <f t="shared" si="5"/>
        <v>SEWC_CD0022_PR19RR1</v>
      </c>
    </row>
    <row r="379" spans="1:19" x14ac:dyDescent="0.3">
      <c r="A379" t="s">
        <v>32</v>
      </c>
      <c r="B379" t="s">
        <v>286</v>
      </c>
      <c r="C379" t="s">
        <v>287</v>
      </c>
      <c r="D379" t="s">
        <v>15</v>
      </c>
      <c r="E379" t="s">
        <v>147</v>
      </c>
      <c r="F379" t="s">
        <v>293</v>
      </c>
      <c r="G379" t="s">
        <v>293</v>
      </c>
      <c r="H379" t="s">
        <v>293</v>
      </c>
      <c r="I379" t="s">
        <v>293</v>
      </c>
      <c r="J379">
        <v>1.008</v>
      </c>
      <c r="K379">
        <v>0.5933789539617913</v>
      </c>
      <c r="L379">
        <v>0.69285318559557008</v>
      </c>
      <c r="M379">
        <v>0.5126291701158926</v>
      </c>
      <c r="N379">
        <v>0.493870918931056</v>
      </c>
      <c r="O379">
        <v>0.50284418923620944</v>
      </c>
      <c r="P379">
        <v>0.45824876167782036</v>
      </c>
      <c r="Q379">
        <v>0.44053964115038813</v>
      </c>
      <c r="S379" t="str">
        <f t="shared" si="5"/>
        <v>SEWC_BM4017_PR19CA009</v>
      </c>
    </row>
    <row r="380" spans="1:19" x14ac:dyDescent="0.3">
      <c r="A380" t="s">
        <v>32</v>
      </c>
      <c r="B380" t="s">
        <v>289</v>
      </c>
      <c r="C380" t="s">
        <v>290</v>
      </c>
      <c r="D380" t="s">
        <v>146</v>
      </c>
      <c r="E380" t="s">
        <v>147</v>
      </c>
      <c r="F380" t="s">
        <v>314</v>
      </c>
      <c r="G380" t="s">
        <v>314</v>
      </c>
      <c r="H380" t="s">
        <v>314</v>
      </c>
      <c r="I380" t="s">
        <v>314</v>
      </c>
      <c r="J380" t="s">
        <v>314</v>
      </c>
      <c r="K380" t="s">
        <v>314</v>
      </c>
      <c r="L380" t="s">
        <v>314</v>
      </c>
      <c r="M380" t="s">
        <v>314</v>
      </c>
      <c r="N380" t="s">
        <v>314</v>
      </c>
      <c r="O380" t="s">
        <v>314</v>
      </c>
      <c r="P380" t="s">
        <v>314</v>
      </c>
      <c r="Q380" t="s">
        <v>314</v>
      </c>
      <c r="S380" t="str">
        <f t="shared" si="5"/>
        <v>SEWPR19QA_CA009_OUT_1</v>
      </c>
    </row>
    <row r="381" spans="1:19" x14ac:dyDescent="0.3">
      <c r="A381" t="s">
        <v>32</v>
      </c>
      <c r="B381" t="s">
        <v>291</v>
      </c>
      <c r="C381" t="s">
        <v>292</v>
      </c>
      <c r="D381" t="s">
        <v>146</v>
      </c>
      <c r="E381" t="s">
        <v>147</v>
      </c>
      <c r="F381" t="s">
        <v>315</v>
      </c>
      <c r="G381" t="s">
        <v>315</v>
      </c>
      <c r="H381" t="s">
        <v>315</v>
      </c>
      <c r="I381" t="s">
        <v>315</v>
      </c>
      <c r="J381" t="s">
        <v>315</v>
      </c>
      <c r="K381" t="s">
        <v>315</v>
      </c>
      <c r="L381" t="s">
        <v>315</v>
      </c>
      <c r="M381" t="s">
        <v>315</v>
      </c>
      <c r="N381" t="s">
        <v>315</v>
      </c>
      <c r="O381" t="s">
        <v>315</v>
      </c>
      <c r="P381" t="s">
        <v>315</v>
      </c>
      <c r="Q381" t="s">
        <v>315</v>
      </c>
      <c r="S381" t="str">
        <f t="shared" si="5"/>
        <v>SEWPR19QA_CA009_OUT_2</v>
      </c>
    </row>
    <row r="382" spans="1:19" x14ac:dyDescent="0.3">
      <c r="A382" t="s">
        <v>33</v>
      </c>
      <c r="B382" t="s">
        <v>244</v>
      </c>
      <c r="C382" t="s">
        <v>245</v>
      </c>
      <c r="D382" t="s">
        <v>15</v>
      </c>
      <c r="E382" t="s">
        <v>147</v>
      </c>
      <c r="F382">
        <v>1.3915312377864961</v>
      </c>
      <c r="G382">
        <v>1.7347672766775302</v>
      </c>
      <c r="H382">
        <v>1.1745168553116812</v>
      </c>
      <c r="I382">
        <v>1.0690517607141572</v>
      </c>
      <c r="J382">
        <v>1.09100771935535</v>
      </c>
      <c r="K382">
        <v>0.89692264328217963</v>
      </c>
      <c r="L382">
        <v>0.61830216792017745</v>
      </c>
      <c r="M382">
        <v>0.74011419261077538</v>
      </c>
      <c r="N382">
        <v>0.72425504076067482</v>
      </c>
      <c r="O382">
        <v>0.535936753288768</v>
      </c>
      <c r="P382">
        <v>0.55656831727135314</v>
      </c>
      <c r="Q382">
        <v>0.49810748078269002</v>
      </c>
      <c r="S382" t="str">
        <f t="shared" si="5"/>
        <v>SSCC_DEP_PR19CA009</v>
      </c>
    </row>
    <row r="383" spans="1:19" x14ac:dyDescent="0.3">
      <c r="A383" t="s">
        <v>33</v>
      </c>
      <c r="B383" t="s">
        <v>246</v>
      </c>
      <c r="C383" t="s">
        <v>247</v>
      </c>
      <c r="D383" t="s">
        <v>15</v>
      </c>
      <c r="E383" t="s">
        <v>147</v>
      </c>
      <c r="F383">
        <v>15.683455430734211</v>
      </c>
      <c r="G383">
        <v>16.414918617869361</v>
      </c>
      <c r="H383">
        <v>13.685803958278548</v>
      </c>
      <c r="I383">
        <v>13.523232044923084</v>
      </c>
      <c r="J383">
        <v>12.845452015811828</v>
      </c>
      <c r="K383">
        <v>13.041982482281853</v>
      </c>
      <c r="L383">
        <v>11.71726730390832</v>
      </c>
      <c r="M383">
        <v>10.974387120417422</v>
      </c>
      <c r="N383">
        <v>10.888101163307079</v>
      </c>
      <c r="O383">
        <v>10.626091968134341</v>
      </c>
      <c r="P383">
        <v>10.591414340268722</v>
      </c>
      <c r="Q383">
        <v>10.458630196669843</v>
      </c>
      <c r="S383" t="str">
        <f t="shared" si="5"/>
        <v>SSCC_STC_TR_PR19CA009</v>
      </c>
    </row>
    <row r="384" spans="1:19" x14ac:dyDescent="0.3">
      <c r="A384" t="s">
        <v>33</v>
      </c>
      <c r="B384" t="s">
        <v>248</v>
      </c>
      <c r="C384" t="s">
        <v>249</v>
      </c>
      <c r="D384" t="s">
        <v>15</v>
      </c>
      <c r="E384" t="s">
        <v>147</v>
      </c>
      <c r="F384">
        <v>11.194528622079716</v>
      </c>
      <c r="G384">
        <v>11.444705866135426</v>
      </c>
      <c r="H384">
        <v>10.503910809797425</v>
      </c>
      <c r="I384">
        <v>9.6066920298316116</v>
      </c>
      <c r="J384">
        <v>9.034039603779803</v>
      </c>
      <c r="K384">
        <v>9.695168514226733</v>
      </c>
      <c r="L384">
        <v>7.6155226373543119</v>
      </c>
      <c r="M384">
        <v>7.0869530954753408</v>
      </c>
      <c r="N384">
        <v>7.1182796646305775</v>
      </c>
      <c r="O384">
        <v>6.8878035714010899</v>
      </c>
      <c r="P384">
        <v>6.8821776375595185</v>
      </c>
      <c r="Q384">
        <v>6.7794341857787366</v>
      </c>
      <c r="S384" t="str">
        <f t="shared" si="5"/>
        <v>SSCC_SOC_TR_PR19CA009</v>
      </c>
    </row>
    <row r="385" spans="1:19" x14ac:dyDescent="0.3">
      <c r="A385" t="s">
        <v>33</v>
      </c>
      <c r="B385" t="s">
        <v>250</v>
      </c>
      <c r="C385" t="s">
        <v>251</v>
      </c>
      <c r="D385" t="s">
        <v>15</v>
      </c>
      <c r="E385" t="s">
        <v>147</v>
      </c>
      <c r="F385">
        <v>4.4889268086544947</v>
      </c>
      <c r="G385">
        <v>4.9702127517339356</v>
      </c>
      <c r="H385">
        <v>3.1818931484811226</v>
      </c>
      <c r="I385">
        <v>3.9165400150914729</v>
      </c>
      <c r="J385">
        <v>3.8114124120320243</v>
      </c>
      <c r="K385">
        <v>3.3468139680551201</v>
      </c>
      <c r="L385">
        <v>4.1017446665540085</v>
      </c>
      <c r="M385">
        <v>3.8874340249420816</v>
      </c>
      <c r="N385">
        <v>3.7698214986765008</v>
      </c>
      <c r="O385">
        <v>3.738288396733251</v>
      </c>
      <c r="P385">
        <v>3.7092367027092035</v>
      </c>
      <c r="Q385">
        <v>3.6791960108911055</v>
      </c>
      <c r="S385" t="str">
        <f t="shared" si="5"/>
        <v>SSCC_DC_T_PR19CA009</v>
      </c>
    </row>
    <row r="386" spans="1:19" x14ac:dyDescent="0.3">
      <c r="A386" t="s">
        <v>33</v>
      </c>
      <c r="B386" t="s">
        <v>252</v>
      </c>
      <c r="C386" t="s">
        <v>253</v>
      </c>
      <c r="D386" t="s">
        <v>13</v>
      </c>
      <c r="E386" t="s">
        <v>147</v>
      </c>
      <c r="F386">
        <v>648.31650000000002</v>
      </c>
      <c r="G386">
        <v>653.25250000000005</v>
      </c>
      <c r="H386">
        <v>659.35900000000004</v>
      </c>
      <c r="I386">
        <v>660.10500000000002</v>
      </c>
      <c r="J386">
        <v>670.66071506818105</v>
      </c>
      <c r="K386">
        <v>678.58100000000002</v>
      </c>
      <c r="L386">
        <v>686.22067574509606</v>
      </c>
      <c r="M386">
        <v>697.763939836845</v>
      </c>
      <c r="N386">
        <v>706.45158898644104</v>
      </c>
      <c r="O386">
        <v>714.77319526440601</v>
      </c>
      <c r="P386">
        <v>723.6010861031059</v>
      </c>
      <c r="Q386">
        <v>732.25126722597599</v>
      </c>
      <c r="S386" t="str">
        <f t="shared" si="5"/>
        <v>SSCC_HH_T_PR19CA009</v>
      </c>
    </row>
    <row r="387" spans="1:19" x14ac:dyDescent="0.3">
      <c r="A387" t="s">
        <v>33</v>
      </c>
      <c r="B387" t="s">
        <v>254</v>
      </c>
      <c r="C387" t="s">
        <v>255</v>
      </c>
      <c r="D387" t="s">
        <v>12</v>
      </c>
      <c r="E387" t="s">
        <v>147</v>
      </c>
      <c r="F387">
        <v>0.38366368895439185</v>
      </c>
      <c r="G387">
        <v>0.40033830716300356</v>
      </c>
      <c r="H387">
        <v>0.41520704199078196</v>
      </c>
      <c r="I387">
        <v>0.43122382045280683</v>
      </c>
      <c r="J387">
        <v>0.43204506064655918</v>
      </c>
      <c r="K387">
        <v>0.44867746076002718</v>
      </c>
      <c r="L387">
        <v>0.47595121286889763</v>
      </c>
      <c r="M387">
        <v>0.48605351952939857</v>
      </c>
      <c r="N387">
        <v>0.50568152194237548</v>
      </c>
      <c r="O387">
        <v>0.52451960942545961</v>
      </c>
      <c r="P387">
        <v>0.54317679701042387</v>
      </c>
      <c r="Q387">
        <v>0.56121304304966035</v>
      </c>
      <c r="S387" t="str">
        <f t="shared" si="5"/>
        <v>SSCC_HHM_HH_PR19CA009</v>
      </c>
    </row>
    <row r="388" spans="1:19" x14ac:dyDescent="0.3">
      <c r="A388" t="s">
        <v>33</v>
      </c>
      <c r="B388" t="s">
        <v>256</v>
      </c>
      <c r="C388" t="s">
        <v>257</v>
      </c>
      <c r="D388" t="s">
        <v>12</v>
      </c>
      <c r="E388" t="s">
        <v>147</v>
      </c>
      <c r="F388" t="s">
        <v>293</v>
      </c>
      <c r="G388" t="s">
        <v>293</v>
      </c>
      <c r="H388" t="s">
        <v>293</v>
      </c>
      <c r="I388" t="s">
        <v>293</v>
      </c>
      <c r="J388" t="s">
        <v>293</v>
      </c>
      <c r="K388" t="s">
        <v>293</v>
      </c>
      <c r="L388" t="s">
        <v>293</v>
      </c>
      <c r="M388" t="s">
        <v>293</v>
      </c>
      <c r="N388" t="s">
        <v>293</v>
      </c>
      <c r="O388" t="s">
        <v>293</v>
      </c>
      <c r="P388" t="s">
        <v>293</v>
      </c>
      <c r="Q388" t="s">
        <v>293</v>
      </c>
      <c r="S388" t="str">
        <f t="shared" si="5"/>
        <v>SSCC_HHDU_HH_PR19CA009</v>
      </c>
    </row>
    <row r="389" spans="1:19" x14ac:dyDescent="0.3">
      <c r="A389" t="s">
        <v>33</v>
      </c>
      <c r="B389" t="s">
        <v>258</v>
      </c>
      <c r="C389" t="s">
        <v>259</v>
      </c>
      <c r="D389" t="s">
        <v>228</v>
      </c>
      <c r="E389" t="s">
        <v>147</v>
      </c>
      <c r="F389">
        <v>151.16801853335562</v>
      </c>
      <c r="G389">
        <v>154.82228925273384</v>
      </c>
      <c r="H389">
        <v>141.07765799615782</v>
      </c>
      <c r="I389">
        <v>139.059821553717</v>
      </c>
      <c r="J389">
        <v>139.23862121625532</v>
      </c>
      <c r="K389">
        <v>141.04038463015974</v>
      </c>
      <c r="L389">
        <v>138.99660779166052</v>
      </c>
      <c r="M389">
        <v>138.07695963657014</v>
      </c>
      <c r="N389">
        <v>135.34013368334413</v>
      </c>
      <c r="O389">
        <v>132.69758943330436</v>
      </c>
      <c r="P389">
        <v>130.09209222019996</v>
      </c>
      <c r="Q389">
        <v>127.55519521016893</v>
      </c>
      <c r="S389" t="str">
        <f t="shared" ref="S389:S399" si="6">A389&amp;B389</f>
        <v>SSCC_REV_HH_PR19CA009</v>
      </c>
    </row>
    <row r="390" spans="1:19" x14ac:dyDescent="0.3">
      <c r="A390" t="s">
        <v>33</v>
      </c>
      <c r="B390" t="s">
        <v>260</v>
      </c>
      <c r="C390" t="s">
        <v>261</v>
      </c>
      <c r="D390" t="s">
        <v>15</v>
      </c>
      <c r="E390" t="s">
        <v>147</v>
      </c>
      <c r="F390">
        <v>14.994535871221</v>
      </c>
      <c r="G390">
        <v>16.193999999999999</v>
      </c>
      <c r="H390">
        <v>13.104184807408924</v>
      </c>
      <c r="I390">
        <v>13.02291042401489</v>
      </c>
      <c r="J390">
        <v>12.710160152979279</v>
      </c>
      <c r="K390">
        <v>12.983000000000001</v>
      </c>
      <c r="L390">
        <v>12.217787438320162</v>
      </c>
      <c r="M390">
        <v>11.720424281211589</v>
      </c>
      <c r="N390">
        <v>11.863745138424466</v>
      </c>
      <c r="O390">
        <v>11.809823396873826</v>
      </c>
      <c r="P390">
        <v>12.006708385540534</v>
      </c>
      <c r="Q390">
        <v>12.093304371476986</v>
      </c>
      <c r="S390" t="str">
        <f t="shared" si="6"/>
        <v>SSCC_TC_TRN_PR19CA009</v>
      </c>
    </row>
    <row r="391" spans="1:19" x14ac:dyDescent="0.3">
      <c r="A391" t="s">
        <v>33</v>
      </c>
      <c r="B391" t="s">
        <v>262</v>
      </c>
      <c r="C391" t="s">
        <v>263</v>
      </c>
      <c r="D391" t="s">
        <v>15</v>
      </c>
      <c r="E391" t="s">
        <v>147</v>
      </c>
      <c r="F391">
        <v>15.848687086332808</v>
      </c>
      <c r="G391">
        <v>16.923386312358989</v>
      </c>
      <c r="H391">
        <v>13.634021231402327</v>
      </c>
      <c r="I391">
        <v>13.36598422344934</v>
      </c>
      <c r="J391">
        <v>12.710160152979279</v>
      </c>
      <c r="K391">
        <v>12.712605543376133</v>
      </c>
      <c r="L391">
        <v>11.717267303908319</v>
      </c>
      <c r="M391">
        <v>10.974387120417422</v>
      </c>
      <c r="N391">
        <v>10.888101163307079</v>
      </c>
      <c r="O391">
        <v>10.626091968134341</v>
      </c>
      <c r="P391">
        <v>10.591414340268724</v>
      </c>
      <c r="Q391">
        <v>10.458630196669843</v>
      </c>
      <c r="S391" t="str">
        <f t="shared" si="6"/>
        <v>SSCC_TC_TRR_PR19CA009</v>
      </c>
    </row>
    <row r="392" spans="1:19" x14ac:dyDescent="0.3">
      <c r="A392" t="s">
        <v>33</v>
      </c>
      <c r="B392" t="s">
        <v>264</v>
      </c>
      <c r="C392" t="s">
        <v>265</v>
      </c>
      <c r="D392" t="s">
        <v>15</v>
      </c>
      <c r="E392" t="s">
        <v>147</v>
      </c>
      <c r="F392">
        <v>11.359760277678312</v>
      </c>
      <c r="G392">
        <v>11.953173560625054</v>
      </c>
      <c r="H392">
        <v>10.452128082921204</v>
      </c>
      <c r="I392">
        <v>9.4494442083578658</v>
      </c>
      <c r="J392">
        <v>8.898747740947254</v>
      </c>
      <c r="K392">
        <v>9.3657915753210137</v>
      </c>
      <c r="L392">
        <v>7.615522637354311</v>
      </c>
      <c r="M392">
        <v>7.0869530954753408</v>
      </c>
      <c r="N392">
        <v>7.1182796646305775</v>
      </c>
      <c r="O392">
        <v>6.8878035714010908</v>
      </c>
      <c r="P392">
        <v>6.8821776375595194</v>
      </c>
      <c r="Q392">
        <v>6.7794341857787375</v>
      </c>
      <c r="S392" t="str">
        <f t="shared" si="6"/>
        <v>SSCC_OC_TR_PR19CA009</v>
      </c>
    </row>
    <row r="393" spans="1:19" x14ac:dyDescent="0.3">
      <c r="A393" t="s">
        <v>33</v>
      </c>
      <c r="B393" t="s">
        <v>266</v>
      </c>
      <c r="C393" t="s">
        <v>267</v>
      </c>
      <c r="D393" t="s">
        <v>16</v>
      </c>
      <c r="E393" t="s">
        <v>147</v>
      </c>
      <c r="F393">
        <v>1.0569641649763351</v>
      </c>
      <c r="G393">
        <v>1.0450405281189941</v>
      </c>
      <c r="H393">
        <v>1.0404326123128118</v>
      </c>
      <c r="I393">
        <v>1.0263438654082888</v>
      </c>
      <c r="J393">
        <v>1</v>
      </c>
      <c r="K393">
        <v>0.97917319135609127</v>
      </c>
      <c r="L393">
        <v>0.9590334881058743</v>
      </c>
      <c r="M393">
        <v>0.93634725647346229</v>
      </c>
      <c r="N393">
        <v>0.91776256454149052</v>
      </c>
      <c r="O393">
        <v>0.89976722013871691</v>
      </c>
      <c r="P393">
        <v>0.8821247256261987</v>
      </c>
      <c r="Q393">
        <v>0.8648281623786257</v>
      </c>
      <c r="S393" t="str">
        <f t="shared" si="6"/>
        <v>SSCC_CD0014R_PR19</v>
      </c>
    </row>
    <row r="394" spans="1:19" x14ac:dyDescent="0.3">
      <c r="A394" t="s">
        <v>33</v>
      </c>
      <c r="B394" t="s">
        <v>268</v>
      </c>
      <c r="C394" t="s">
        <v>269</v>
      </c>
      <c r="D394" t="s">
        <v>15</v>
      </c>
      <c r="E394" t="s">
        <v>147</v>
      </c>
      <c r="F394">
        <v>15.848687086332808</v>
      </c>
      <c r="G394">
        <v>16.924431352887108</v>
      </c>
      <c r="H394">
        <v>13.634021231402327</v>
      </c>
      <c r="I394">
        <v>13.36598422344934</v>
      </c>
      <c r="J394">
        <v>12.710160152979279</v>
      </c>
      <c r="K394">
        <v>12.712605543376133</v>
      </c>
      <c r="L394">
        <v>11.976208967567869</v>
      </c>
      <c r="M394">
        <v>10.993116650995191</v>
      </c>
      <c r="N394">
        <v>10.906830694348509</v>
      </c>
      <c r="O394">
        <v>10.644821471547248</v>
      </c>
      <c r="P394">
        <v>10.610143815233144</v>
      </c>
      <c r="Q394">
        <v>10.477359646469656</v>
      </c>
      <c r="S394" t="str">
        <f t="shared" si="6"/>
        <v>SSCC_BPTOTEX_PR19CA009</v>
      </c>
    </row>
    <row r="395" spans="1:19" x14ac:dyDescent="0.3">
      <c r="A395" t="s">
        <v>33</v>
      </c>
      <c r="B395" t="s">
        <v>273</v>
      </c>
      <c r="C395" t="s">
        <v>274</v>
      </c>
      <c r="D395" t="s">
        <v>12</v>
      </c>
      <c r="E395" t="s">
        <v>147</v>
      </c>
      <c r="F395">
        <v>0.27715550948504147</v>
      </c>
      <c r="G395">
        <v>0.27751293209664069</v>
      </c>
      <c r="H395">
        <v>0.27424788293694713</v>
      </c>
      <c r="I395">
        <v>0.26542576419689984</v>
      </c>
      <c r="J395">
        <v>0.26591296242959928</v>
      </c>
      <c r="K395">
        <v>0.25568270217666983</v>
      </c>
      <c r="L395" t="s">
        <v>293</v>
      </c>
      <c r="M395" t="s">
        <v>293</v>
      </c>
      <c r="N395" t="s">
        <v>293</v>
      </c>
      <c r="O395" t="s">
        <v>293</v>
      </c>
      <c r="P395" t="s">
        <v>293</v>
      </c>
      <c r="Q395" t="s">
        <v>293</v>
      </c>
      <c r="S395" t="str">
        <f t="shared" si="6"/>
        <v>SSCC_CD0018_PR19RR1</v>
      </c>
    </row>
    <row r="396" spans="1:19" x14ac:dyDescent="0.3">
      <c r="A396" t="s">
        <v>33</v>
      </c>
      <c r="B396" t="s">
        <v>275</v>
      </c>
      <c r="C396" t="s">
        <v>154</v>
      </c>
      <c r="D396" t="s">
        <v>12</v>
      </c>
      <c r="E396" t="s">
        <v>147</v>
      </c>
      <c r="F396">
        <v>0.11093384498118207</v>
      </c>
      <c r="G396">
        <v>0.11093384498118207</v>
      </c>
      <c r="H396">
        <v>0.11093384498118207</v>
      </c>
      <c r="I396">
        <v>0.11093384498118207</v>
      </c>
      <c r="J396">
        <v>0.11361359182802491</v>
      </c>
      <c r="K396">
        <v>0.11361359182802491</v>
      </c>
      <c r="L396" t="s">
        <v>293</v>
      </c>
      <c r="M396" t="s">
        <v>293</v>
      </c>
      <c r="N396" t="s">
        <v>293</v>
      </c>
      <c r="O396" t="s">
        <v>293</v>
      </c>
      <c r="P396" t="s">
        <v>293</v>
      </c>
      <c r="Q396" t="s">
        <v>293</v>
      </c>
      <c r="S396" t="str">
        <f t="shared" si="6"/>
        <v>SSCC_CD0019_PR19RR1</v>
      </c>
    </row>
    <row r="397" spans="1:19" x14ac:dyDescent="0.3">
      <c r="A397" t="s">
        <v>33</v>
      </c>
      <c r="B397" t="s">
        <v>276</v>
      </c>
      <c r="C397" t="s">
        <v>153</v>
      </c>
      <c r="D397" t="s">
        <v>12</v>
      </c>
      <c r="E397" t="s">
        <v>147</v>
      </c>
      <c r="F397" t="s">
        <v>293</v>
      </c>
      <c r="G397" t="s">
        <v>293</v>
      </c>
      <c r="H397" t="s">
        <v>293</v>
      </c>
      <c r="I397" t="s">
        <v>293</v>
      </c>
      <c r="J397" t="s">
        <v>293</v>
      </c>
      <c r="K397" t="s">
        <v>293</v>
      </c>
      <c r="L397" t="s">
        <v>293</v>
      </c>
      <c r="M397" t="s">
        <v>293</v>
      </c>
      <c r="N397" t="s">
        <v>293</v>
      </c>
      <c r="O397" t="s">
        <v>293</v>
      </c>
      <c r="P397" t="s">
        <v>293</v>
      </c>
      <c r="Q397" t="s">
        <v>293</v>
      </c>
      <c r="S397" t="str">
        <f t="shared" si="6"/>
        <v>SSCC_CD0020_PR19RR1</v>
      </c>
    </row>
    <row r="398" spans="1:19" x14ac:dyDescent="0.3">
      <c r="A398" t="s">
        <v>33</v>
      </c>
      <c r="B398" t="s">
        <v>277</v>
      </c>
      <c r="C398" t="s">
        <v>278</v>
      </c>
      <c r="D398" t="s">
        <v>12</v>
      </c>
      <c r="E398" t="s">
        <v>147</v>
      </c>
      <c r="F398">
        <v>0.16093380196154949</v>
      </c>
      <c r="G398">
        <v>0.16095245676465342</v>
      </c>
      <c r="H398">
        <v>0.16113949355159296</v>
      </c>
      <c r="I398">
        <v>0.16123359541033463</v>
      </c>
      <c r="J398">
        <v>0.16122295495286337</v>
      </c>
      <c r="K398">
        <v>0.16122295495286337</v>
      </c>
      <c r="L398" t="s">
        <v>293</v>
      </c>
      <c r="M398" t="s">
        <v>293</v>
      </c>
      <c r="N398" t="s">
        <v>293</v>
      </c>
      <c r="O398" t="s">
        <v>293</v>
      </c>
      <c r="P398" t="s">
        <v>293</v>
      </c>
      <c r="Q398" t="s">
        <v>293</v>
      </c>
      <c r="S398" t="str">
        <f t="shared" si="6"/>
        <v>SSCC_CD0021_PR19RR1</v>
      </c>
    </row>
    <row r="399" spans="1:19" x14ac:dyDescent="0.3">
      <c r="A399" t="s">
        <v>33</v>
      </c>
      <c r="B399" t="s">
        <v>279</v>
      </c>
      <c r="C399" t="s">
        <v>280</v>
      </c>
      <c r="D399" t="s">
        <v>15</v>
      </c>
      <c r="E399" t="s">
        <v>147</v>
      </c>
      <c r="F399">
        <v>98.004720687480258</v>
      </c>
      <c r="G399">
        <v>101.13804751007152</v>
      </c>
      <c r="H399">
        <v>93.020823498688642</v>
      </c>
      <c r="I399">
        <v>91.794083506716348</v>
      </c>
      <c r="J399">
        <v>93.381873270001392</v>
      </c>
      <c r="K399">
        <v>95.707325242718426</v>
      </c>
      <c r="L399">
        <v>95.382346125069361</v>
      </c>
      <c r="M399">
        <v>96.345123356706182</v>
      </c>
      <c r="N399">
        <v>95.611252494235799</v>
      </c>
      <c r="O399">
        <v>94.848680003127257</v>
      </c>
      <c r="P399">
        <v>94.134779223962099</v>
      </c>
      <c r="Q399">
        <v>93.40245333390294</v>
      </c>
      <c r="S399" t="str">
        <f t="shared" si="6"/>
        <v>SSCC_CD0022_PR19RR1</v>
      </c>
    </row>
    <row r="400" spans="1:19" x14ac:dyDescent="0.3">
      <c r="A400" t="s">
        <v>33</v>
      </c>
      <c r="B400" t="s">
        <v>286</v>
      </c>
      <c r="C400" t="s">
        <v>287</v>
      </c>
      <c r="D400" t="s">
        <v>15</v>
      </c>
      <c r="E400" t="s">
        <v>147</v>
      </c>
      <c r="F400" t="s">
        <v>293</v>
      </c>
      <c r="G400" t="s">
        <v>293</v>
      </c>
      <c r="H400" t="s">
        <v>293</v>
      </c>
      <c r="I400" t="s">
        <v>293</v>
      </c>
      <c r="J400">
        <v>0.22096936</v>
      </c>
      <c r="K400">
        <v>1.1231116504854366</v>
      </c>
      <c r="L400">
        <v>6.3935534545297684E-2</v>
      </c>
      <c r="M400">
        <v>0.38893801180413995</v>
      </c>
      <c r="N400">
        <v>0.41235437139302589</v>
      </c>
      <c r="O400">
        <v>0.41964892263169196</v>
      </c>
      <c r="P400">
        <v>0.44530068586643928</v>
      </c>
      <c r="Q400">
        <v>0.47463215765016104</v>
      </c>
      <c r="S400" t="str">
        <f t="shared" ref="S400:S463" si="7">A400&amp;B400</f>
        <v>SSCC_BM4017_PR19CA009</v>
      </c>
    </row>
    <row r="401" spans="1:19" x14ac:dyDescent="0.3">
      <c r="A401" t="s">
        <v>33</v>
      </c>
      <c r="B401" t="s">
        <v>289</v>
      </c>
      <c r="C401" t="s">
        <v>290</v>
      </c>
      <c r="D401" t="s">
        <v>146</v>
      </c>
      <c r="E401" t="s">
        <v>147</v>
      </c>
      <c r="F401" t="s">
        <v>314</v>
      </c>
      <c r="G401" t="s">
        <v>314</v>
      </c>
      <c r="H401" t="s">
        <v>314</v>
      </c>
      <c r="I401" t="s">
        <v>314</v>
      </c>
      <c r="J401" t="s">
        <v>314</v>
      </c>
      <c r="K401" t="s">
        <v>314</v>
      </c>
      <c r="L401" t="s">
        <v>314</v>
      </c>
      <c r="M401" t="s">
        <v>314</v>
      </c>
      <c r="N401" t="s">
        <v>314</v>
      </c>
      <c r="O401" t="s">
        <v>314</v>
      </c>
      <c r="P401" t="s">
        <v>314</v>
      </c>
      <c r="Q401" t="s">
        <v>314</v>
      </c>
      <c r="S401" t="str">
        <f t="shared" si="7"/>
        <v>SSCPR19QA_CA009_OUT_1</v>
      </c>
    </row>
    <row r="402" spans="1:19" x14ac:dyDescent="0.3">
      <c r="A402" t="s">
        <v>33</v>
      </c>
      <c r="B402" t="s">
        <v>291</v>
      </c>
      <c r="C402" t="s">
        <v>292</v>
      </c>
      <c r="D402" t="s">
        <v>146</v>
      </c>
      <c r="E402" t="s">
        <v>147</v>
      </c>
      <c r="F402" t="s">
        <v>315</v>
      </c>
      <c r="G402" t="s">
        <v>315</v>
      </c>
      <c r="H402" t="s">
        <v>315</v>
      </c>
      <c r="I402" t="s">
        <v>315</v>
      </c>
      <c r="J402" t="s">
        <v>315</v>
      </c>
      <c r="K402" t="s">
        <v>315</v>
      </c>
      <c r="L402" t="s">
        <v>315</v>
      </c>
      <c r="M402" t="s">
        <v>315</v>
      </c>
      <c r="N402" t="s">
        <v>315</v>
      </c>
      <c r="O402" t="s">
        <v>315</v>
      </c>
      <c r="P402" t="s">
        <v>315</v>
      </c>
      <c r="Q402" t="s">
        <v>315</v>
      </c>
      <c r="S402" t="str">
        <f t="shared" si="7"/>
        <v>SSCPR19QA_CA009_OUT_2</v>
      </c>
    </row>
    <row r="403" spans="1:19" x14ac:dyDescent="0.3">
      <c r="A403" t="s">
        <v>203</v>
      </c>
      <c r="B403" t="s">
        <v>244</v>
      </c>
      <c r="C403" t="s">
        <v>245</v>
      </c>
      <c r="D403" t="s">
        <v>15</v>
      </c>
      <c r="E403" t="s">
        <v>147</v>
      </c>
      <c r="F403" t="s">
        <v>293</v>
      </c>
      <c r="G403" t="s">
        <v>293</v>
      </c>
      <c r="H403" t="s">
        <v>293</v>
      </c>
      <c r="I403" t="s">
        <v>293</v>
      </c>
      <c r="J403" t="s">
        <v>293</v>
      </c>
      <c r="K403" t="s">
        <v>293</v>
      </c>
      <c r="L403" t="s">
        <v>293</v>
      </c>
      <c r="M403" t="s">
        <v>293</v>
      </c>
      <c r="N403" t="s">
        <v>293</v>
      </c>
      <c r="O403" t="s">
        <v>293</v>
      </c>
      <c r="P403" t="s">
        <v>293</v>
      </c>
      <c r="Q403" t="s">
        <v>293</v>
      </c>
      <c r="S403" t="str">
        <f t="shared" si="7"/>
        <v>SVHC_DEP_PR19CA009</v>
      </c>
    </row>
    <row r="404" spans="1:19" x14ac:dyDescent="0.3">
      <c r="A404" t="s">
        <v>203</v>
      </c>
      <c r="B404" t="s">
        <v>246</v>
      </c>
      <c r="C404" t="s">
        <v>247</v>
      </c>
      <c r="D404" t="s">
        <v>15</v>
      </c>
      <c r="E404" t="s">
        <v>147</v>
      </c>
      <c r="F404" t="s">
        <v>293</v>
      </c>
      <c r="G404" t="s">
        <v>293</v>
      </c>
      <c r="H404" t="s">
        <v>293</v>
      </c>
      <c r="I404" t="s">
        <v>293</v>
      </c>
      <c r="J404" t="s">
        <v>293</v>
      </c>
      <c r="K404" t="s">
        <v>293</v>
      </c>
      <c r="L404" t="s">
        <v>293</v>
      </c>
      <c r="M404" t="s">
        <v>293</v>
      </c>
      <c r="N404" t="s">
        <v>293</v>
      </c>
      <c r="O404" t="s">
        <v>293</v>
      </c>
      <c r="P404" t="s">
        <v>293</v>
      </c>
      <c r="Q404" t="s">
        <v>293</v>
      </c>
      <c r="S404" t="str">
        <f t="shared" si="7"/>
        <v>SVHC_STC_TR_PR19CA009</v>
      </c>
    </row>
    <row r="405" spans="1:19" x14ac:dyDescent="0.3">
      <c r="A405" t="s">
        <v>203</v>
      </c>
      <c r="B405" t="s">
        <v>248</v>
      </c>
      <c r="C405" t="s">
        <v>249</v>
      </c>
      <c r="D405" t="s">
        <v>15</v>
      </c>
      <c r="E405" t="s">
        <v>147</v>
      </c>
      <c r="F405" t="s">
        <v>293</v>
      </c>
      <c r="G405" t="s">
        <v>293</v>
      </c>
      <c r="H405" t="s">
        <v>293</v>
      </c>
      <c r="I405" t="s">
        <v>293</v>
      </c>
      <c r="J405" t="s">
        <v>293</v>
      </c>
      <c r="K405" t="s">
        <v>293</v>
      </c>
      <c r="L405" t="s">
        <v>293</v>
      </c>
      <c r="M405" t="s">
        <v>293</v>
      </c>
      <c r="N405" t="s">
        <v>293</v>
      </c>
      <c r="O405" t="s">
        <v>293</v>
      </c>
      <c r="P405" t="s">
        <v>293</v>
      </c>
      <c r="Q405" t="s">
        <v>293</v>
      </c>
      <c r="S405" t="str">
        <f t="shared" si="7"/>
        <v>SVHC_SOC_TR_PR19CA009</v>
      </c>
    </row>
    <row r="406" spans="1:19" x14ac:dyDescent="0.3">
      <c r="A406" t="s">
        <v>203</v>
      </c>
      <c r="B406" t="s">
        <v>250</v>
      </c>
      <c r="C406" t="s">
        <v>251</v>
      </c>
      <c r="D406" t="s">
        <v>15</v>
      </c>
      <c r="E406" t="s">
        <v>147</v>
      </c>
      <c r="F406" t="s">
        <v>293</v>
      </c>
      <c r="G406" t="s">
        <v>293</v>
      </c>
      <c r="H406" t="s">
        <v>293</v>
      </c>
      <c r="I406" t="s">
        <v>293</v>
      </c>
      <c r="J406" t="s">
        <v>293</v>
      </c>
      <c r="K406" t="s">
        <v>293</v>
      </c>
      <c r="L406" t="s">
        <v>293</v>
      </c>
      <c r="M406" t="s">
        <v>293</v>
      </c>
      <c r="N406" t="s">
        <v>293</v>
      </c>
      <c r="O406" t="s">
        <v>293</v>
      </c>
      <c r="P406" t="s">
        <v>293</v>
      </c>
      <c r="Q406" t="s">
        <v>293</v>
      </c>
      <c r="S406" t="str">
        <f t="shared" si="7"/>
        <v>SVHC_DC_T_PR19CA009</v>
      </c>
    </row>
    <row r="407" spans="1:19" x14ac:dyDescent="0.3">
      <c r="A407" t="s">
        <v>203</v>
      </c>
      <c r="B407" t="s">
        <v>252</v>
      </c>
      <c r="C407" t="s">
        <v>253</v>
      </c>
      <c r="D407" t="s">
        <v>13</v>
      </c>
      <c r="E407" t="s">
        <v>147</v>
      </c>
      <c r="F407" t="s">
        <v>293</v>
      </c>
      <c r="G407" t="s">
        <v>293</v>
      </c>
      <c r="H407" t="s">
        <v>293</v>
      </c>
      <c r="I407" t="s">
        <v>293</v>
      </c>
      <c r="J407" t="s">
        <v>293</v>
      </c>
      <c r="K407" t="s">
        <v>293</v>
      </c>
      <c r="L407" t="s">
        <v>293</v>
      </c>
      <c r="M407" t="s">
        <v>293</v>
      </c>
      <c r="N407" t="s">
        <v>293</v>
      </c>
      <c r="O407" t="s">
        <v>293</v>
      </c>
      <c r="P407" t="s">
        <v>293</v>
      </c>
      <c r="Q407" t="s">
        <v>293</v>
      </c>
      <c r="S407" t="str">
        <f t="shared" si="7"/>
        <v>SVHC_HH_T_PR19CA009</v>
      </c>
    </row>
    <row r="408" spans="1:19" x14ac:dyDescent="0.3">
      <c r="A408" t="s">
        <v>203</v>
      </c>
      <c r="B408" t="s">
        <v>254</v>
      </c>
      <c r="C408" t="s">
        <v>255</v>
      </c>
      <c r="D408" t="s">
        <v>12</v>
      </c>
      <c r="E408" t="s">
        <v>147</v>
      </c>
      <c r="F408" t="s">
        <v>293</v>
      </c>
      <c r="G408" t="s">
        <v>293</v>
      </c>
      <c r="H408" t="s">
        <v>293</v>
      </c>
      <c r="I408" t="s">
        <v>293</v>
      </c>
      <c r="J408" t="s">
        <v>293</v>
      </c>
      <c r="K408" t="s">
        <v>293</v>
      </c>
      <c r="L408" t="s">
        <v>293</v>
      </c>
      <c r="M408" t="s">
        <v>293</v>
      </c>
      <c r="N408" t="s">
        <v>293</v>
      </c>
      <c r="O408" t="s">
        <v>293</v>
      </c>
      <c r="P408" t="s">
        <v>293</v>
      </c>
      <c r="Q408" t="s">
        <v>293</v>
      </c>
      <c r="S408" t="str">
        <f t="shared" si="7"/>
        <v>SVHC_HHM_HH_PR19CA009</v>
      </c>
    </row>
    <row r="409" spans="1:19" x14ac:dyDescent="0.3">
      <c r="A409" t="s">
        <v>203</v>
      </c>
      <c r="B409" t="s">
        <v>256</v>
      </c>
      <c r="C409" t="s">
        <v>257</v>
      </c>
      <c r="D409" t="s">
        <v>12</v>
      </c>
      <c r="E409" t="s">
        <v>147</v>
      </c>
      <c r="F409" t="s">
        <v>293</v>
      </c>
      <c r="G409" t="s">
        <v>293</v>
      </c>
      <c r="H409" t="s">
        <v>293</v>
      </c>
      <c r="I409" t="s">
        <v>293</v>
      </c>
      <c r="J409" t="s">
        <v>293</v>
      </c>
      <c r="K409" t="s">
        <v>293</v>
      </c>
      <c r="L409" t="s">
        <v>293</v>
      </c>
      <c r="M409" t="s">
        <v>293</v>
      </c>
      <c r="N409" t="s">
        <v>293</v>
      </c>
      <c r="O409" t="s">
        <v>293</v>
      </c>
      <c r="P409" t="s">
        <v>293</v>
      </c>
      <c r="Q409" t="s">
        <v>293</v>
      </c>
      <c r="S409" t="str">
        <f t="shared" si="7"/>
        <v>SVHC_HHDU_HH_PR19CA009</v>
      </c>
    </row>
    <row r="410" spans="1:19" x14ac:dyDescent="0.3">
      <c r="A410" t="s">
        <v>203</v>
      </c>
      <c r="B410" t="s">
        <v>258</v>
      </c>
      <c r="C410" t="s">
        <v>259</v>
      </c>
      <c r="D410" t="s">
        <v>228</v>
      </c>
      <c r="E410" t="s">
        <v>147</v>
      </c>
      <c r="F410" t="s">
        <v>293</v>
      </c>
      <c r="G410" t="s">
        <v>293</v>
      </c>
      <c r="H410" t="s">
        <v>293</v>
      </c>
      <c r="I410" t="s">
        <v>293</v>
      </c>
      <c r="J410" t="s">
        <v>293</v>
      </c>
      <c r="K410" t="s">
        <v>293</v>
      </c>
      <c r="L410" t="s">
        <v>293</v>
      </c>
      <c r="M410" t="s">
        <v>293</v>
      </c>
      <c r="N410" t="s">
        <v>293</v>
      </c>
      <c r="O410" t="s">
        <v>293</v>
      </c>
      <c r="P410" t="s">
        <v>293</v>
      </c>
      <c r="Q410" t="s">
        <v>293</v>
      </c>
      <c r="S410" t="str">
        <f t="shared" si="7"/>
        <v>SVHC_REV_HH_PR19CA009</v>
      </c>
    </row>
    <row r="411" spans="1:19" x14ac:dyDescent="0.3">
      <c r="A411" t="s">
        <v>203</v>
      </c>
      <c r="B411" t="s">
        <v>260</v>
      </c>
      <c r="C411" t="s">
        <v>261</v>
      </c>
      <c r="D411" t="s">
        <v>15</v>
      </c>
      <c r="E411" t="s">
        <v>147</v>
      </c>
      <c r="F411" t="s">
        <v>293</v>
      </c>
      <c r="G411" t="s">
        <v>293</v>
      </c>
      <c r="H411" t="s">
        <v>293</v>
      </c>
      <c r="I411" t="s">
        <v>293</v>
      </c>
      <c r="J411" t="s">
        <v>293</v>
      </c>
      <c r="K411" t="s">
        <v>293</v>
      </c>
      <c r="L411" t="s">
        <v>293</v>
      </c>
      <c r="M411" t="s">
        <v>293</v>
      </c>
      <c r="N411" t="s">
        <v>293</v>
      </c>
      <c r="O411" t="s">
        <v>293</v>
      </c>
      <c r="P411" t="s">
        <v>293</v>
      </c>
      <c r="Q411" t="s">
        <v>293</v>
      </c>
      <c r="S411" t="str">
        <f t="shared" si="7"/>
        <v>SVHC_TC_TRN_PR19CA009</v>
      </c>
    </row>
    <row r="412" spans="1:19" x14ac:dyDescent="0.3">
      <c r="A412" t="s">
        <v>203</v>
      </c>
      <c r="B412" t="s">
        <v>262</v>
      </c>
      <c r="C412" t="s">
        <v>263</v>
      </c>
      <c r="D412" t="s">
        <v>15</v>
      </c>
      <c r="E412" t="s">
        <v>147</v>
      </c>
      <c r="F412" t="s">
        <v>293</v>
      </c>
      <c r="G412" t="s">
        <v>293</v>
      </c>
      <c r="H412" t="s">
        <v>293</v>
      </c>
      <c r="I412" t="s">
        <v>293</v>
      </c>
      <c r="J412" t="s">
        <v>293</v>
      </c>
      <c r="K412" t="s">
        <v>293</v>
      </c>
      <c r="L412" t="s">
        <v>293</v>
      </c>
      <c r="M412" t="s">
        <v>293</v>
      </c>
      <c r="N412" t="s">
        <v>293</v>
      </c>
      <c r="O412" t="s">
        <v>293</v>
      </c>
      <c r="P412" t="s">
        <v>293</v>
      </c>
      <c r="Q412" t="s">
        <v>293</v>
      </c>
      <c r="S412" t="str">
        <f t="shared" si="7"/>
        <v>SVHC_TC_TRR_PR19CA009</v>
      </c>
    </row>
    <row r="413" spans="1:19" x14ac:dyDescent="0.3">
      <c r="A413" t="s">
        <v>203</v>
      </c>
      <c r="B413" t="s">
        <v>264</v>
      </c>
      <c r="C413" t="s">
        <v>265</v>
      </c>
      <c r="D413" t="s">
        <v>15</v>
      </c>
      <c r="E413" t="s">
        <v>147</v>
      </c>
      <c r="F413" t="s">
        <v>293</v>
      </c>
      <c r="G413" t="s">
        <v>293</v>
      </c>
      <c r="H413" t="s">
        <v>293</v>
      </c>
      <c r="I413" t="s">
        <v>293</v>
      </c>
      <c r="J413" t="s">
        <v>293</v>
      </c>
      <c r="K413" t="s">
        <v>293</v>
      </c>
      <c r="L413" t="s">
        <v>293</v>
      </c>
      <c r="M413" t="s">
        <v>293</v>
      </c>
      <c r="N413" t="s">
        <v>293</v>
      </c>
      <c r="O413" t="s">
        <v>293</v>
      </c>
      <c r="P413" t="s">
        <v>293</v>
      </c>
      <c r="Q413" t="s">
        <v>293</v>
      </c>
      <c r="S413" t="str">
        <f t="shared" si="7"/>
        <v>SVHC_OC_TR_PR19CA009</v>
      </c>
    </row>
    <row r="414" spans="1:19" x14ac:dyDescent="0.3">
      <c r="A414" t="s">
        <v>203</v>
      </c>
      <c r="B414" t="s">
        <v>266</v>
      </c>
      <c r="C414" t="s">
        <v>267</v>
      </c>
      <c r="D414" t="s">
        <v>16</v>
      </c>
      <c r="E414" t="s">
        <v>147</v>
      </c>
      <c r="F414" t="s">
        <v>293</v>
      </c>
      <c r="G414" t="s">
        <v>293</v>
      </c>
      <c r="H414" t="s">
        <v>293</v>
      </c>
      <c r="I414" t="s">
        <v>293</v>
      </c>
      <c r="J414" t="s">
        <v>293</v>
      </c>
      <c r="K414" t="s">
        <v>293</v>
      </c>
      <c r="L414" t="s">
        <v>293</v>
      </c>
      <c r="M414" t="s">
        <v>293</v>
      </c>
      <c r="N414" t="s">
        <v>293</v>
      </c>
      <c r="O414" t="s">
        <v>293</v>
      </c>
      <c r="P414" t="s">
        <v>293</v>
      </c>
      <c r="Q414" t="s">
        <v>293</v>
      </c>
      <c r="S414" t="str">
        <f t="shared" si="7"/>
        <v>SVHC_CD0014R_PR19</v>
      </c>
    </row>
    <row r="415" spans="1:19" x14ac:dyDescent="0.3">
      <c r="A415" t="s">
        <v>203</v>
      </c>
      <c r="B415" t="s">
        <v>268</v>
      </c>
      <c r="C415" t="s">
        <v>269</v>
      </c>
      <c r="D415" t="s">
        <v>15</v>
      </c>
      <c r="E415" t="s">
        <v>147</v>
      </c>
      <c r="F415" t="s">
        <v>293</v>
      </c>
      <c r="G415" t="s">
        <v>293</v>
      </c>
      <c r="H415" t="s">
        <v>293</v>
      </c>
      <c r="I415" t="s">
        <v>293</v>
      </c>
      <c r="J415" t="s">
        <v>293</v>
      </c>
      <c r="K415" t="s">
        <v>293</v>
      </c>
      <c r="L415" t="s">
        <v>293</v>
      </c>
      <c r="M415" t="s">
        <v>293</v>
      </c>
      <c r="N415" t="s">
        <v>293</v>
      </c>
      <c r="O415" t="s">
        <v>293</v>
      </c>
      <c r="P415" t="s">
        <v>293</v>
      </c>
      <c r="Q415" t="s">
        <v>293</v>
      </c>
      <c r="S415" t="str">
        <f t="shared" si="7"/>
        <v>SVHC_BPTOTEX_PR19CA009</v>
      </c>
    </row>
    <row r="416" spans="1:19" x14ac:dyDescent="0.3">
      <c r="A416" t="s">
        <v>203</v>
      </c>
      <c r="B416" t="s">
        <v>273</v>
      </c>
      <c r="C416" t="s">
        <v>274</v>
      </c>
      <c r="D416" t="s">
        <v>12</v>
      </c>
      <c r="E416" t="s">
        <v>147</v>
      </c>
      <c r="F416" t="s">
        <v>293</v>
      </c>
      <c r="G416" t="s">
        <v>293</v>
      </c>
      <c r="H416" t="s">
        <v>293</v>
      </c>
      <c r="I416" t="s">
        <v>293</v>
      </c>
      <c r="J416" t="s">
        <v>293</v>
      </c>
      <c r="K416" t="s">
        <v>293</v>
      </c>
      <c r="L416" t="s">
        <v>293</v>
      </c>
      <c r="M416" t="s">
        <v>293</v>
      </c>
      <c r="N416" t="s">
        <v>293</v>
      </c>
      <c r="O416" t="s">
        <v>293</v>
      </c>
      <c r="P416" t="s">
        <v>293</v>
      </c>
      <c r="Q416" t="s">
        <v>293</v>
      </c>
      <c r="S416" t="str">
        <f t="shared" si="7"/>
        <v>SVHC_CD0018_PR19RR1</v>
      </c>
    </row>
    <row r="417" spans="1:19" x14ac:dyDescent="0.3">
      <c r="A417" t="s">
        <v>203</v>
      </c>
      <c r="B417" t="s">
        <v>275</v>
      </c>
      <c r="C417" t="s">
        <v>154</v>
      </c>
      <c r="D417" t="s">
        <v>12</v>
      </c>
      <c r="E417" t="s">
        <v>147</v>
      </c>
      <c r="F417" t="s">
        <v>293</v>
      </c>
      <c r="G417" t="s">
        <v>293</v>
      </c>
      <c r="H417" t="s">
        <v>293</v>
      </c>
      <c r="I417" t="s">
        <v>293</v>
      </c>
      <c r="J417" t="s">
        <v>293</v>
      </c>
      <c r="K417" t="s">
        <v>293</v>
      </c>
      <c r="L417" t="s">
        <v>293</v>
      </c>
      <c r="M417" t="s">
        <v>293</v>
      </c>
      <c r="N417" t="s">
        <v>293</v>
      </c>
      <c r="O417" t="s">
        <v>293</v>
      </c>
      <c r="P417" t="s">
        <v>293</v>
      </c>
      <c r="Q417" t="s">
        <v>293</v>
      </c>
      <c r="S417" t="str">
        <f t="shared" si="7"/>
        <v>SVHC_CD0019_PR19RR1</v>
      </c>
    </row>
    <row r="418" spans="1:19" x14ac:dyDescent="0.3">
      <c r="A418" t="s">
        <v>203</v>
      </c>
      <c r="B418" t="s">
        <v>276</v>
      </c>
      <c r="C418" t="s">
        <v>153</v>
      </c>
      <c r="D418" t="s">
        <v>12</v>
      </c>
      <c r="E418" t="s">
        <v>147</v>
      </c>
      <c r="F418" t="s">
        <v>293</v>
      </c>
      <c r="G418" t="s">
        <v>293</v>
      </c>
      <c r="H418" t="s">
        <v>293</v>
      </c>
      <c r="I418" t="s">
        <v>293</v>
      </c>
      <c r="J418" t="s">
        <v>293</v>
      </c>
      <c r="K418" t="s">
        <v>293</v>
      </c>
      <c r="L418" t="s">
        <v>293</v>
      </c>
      <c r="M418" t="s">
        <v>293</v>
      </c>
      <c r="N418" t="s">
        <v>293</v>
      </c>
      <c r="O418" t="s">
        <v>293</v>
      </c>
      <c r="P418" t="s">
        <v>293</v>
      </c>
      <c r="Q418" t="s">
        <v>293</v>
      </c>
      <c r="S418" t="str">
        <f t="shared" si="7"/>
        <v>SVHC_CD0020_PR19RR1</v>
      </c>
    </row>
    <row r="419" spans="1:19" x14ac:dyDescent="0.3">
      <c r="A419" t="s">
        <v>203</v>
      </c>
      <c r="B419" t="s">
        <v>277</v>
      </c>
      <c r="C419" t="s">
        <v>278</v>
      </c>
      <c r="D419" t="s">
        <v>12</v>
      </c>
      <c r="E419" t="s">
        <v>147</v>
      </c>
      <c r="F419" t="s">
        <v>293</v>
      </c>
      <c r="G419" t="s">
        <v>293</v>
      </c>
      <c r="H419" t="s">
        <v>293</v>
      </c>
      <c r="I419" t="s">
        <v>293</v>
      </c>
      <c r="J419" t="s">
        <v>293</v>
      </c>
      <c r="K419" t="s">
        <v>293</v>
      </c>
      <c r="L419" t="s">
        <v>293</v>
      </c>
      <c r="M419" t="s">
        <v>293</v>
      </c>
      <c r="N419" t="s">
        <v>293</v>
      </c>
      <c r="O419" t="s">
        <v>293</v>
      </c>
      <c r="P419" t="s">
        <v>293</v>
      </c>
      <c r="Q419" t="s">
        <v>293</v>
      </c>
      <c r="S419" t="str">
        <f t="shared" si="7"/>
        <v>SVHC_CD0021_PR19RR1</v>
      </c>
    </row>
    <row r="420" spans="1:19" x14ac:dyDescent="0.3">
      <c r="A420" t="s">
        <v>203</v>
      </c>
      <c r="B420" t="s">
        <v>279</v>
      </c>
      <c r="C420" t="s">
        <v>280</v>
      </c>
      <c r="D420" t="s">
        <v>15</v>
      </c>
      <c r="E420" t="s">
        <v>147</v>
      </c>
      <c r="F420" t="s">
        <v>293</v>
      </c>
      <c r="G420" t="s">
        <v>293</v>
      </c>
      <c r="H420" t="s">
        <v>293</v>
      </c>
      <c r="I420" t="s">
        <v>293</v>
      </c>
      <c r="J420" t="s">
        <v>293</v>
      </c>
      <c r="K420" t="s">
        <v>293</v>
      </c>
      <c r="L420" t="s">
        <v>293</v>
      </c>
      <c r="M420" t="s">
        <v>293</v>
      </c>
      <c r="N420" t="s">
        <v>293</v>
      </c>
      <c r="O420" t="s">
        <v>293</v>
      </c>
      <c r="P420" t="s">
        <v>293</v>
      </c>
      <c r="Q420" t="s">
        <v>293</v>
      </c>
      <c r="S420" t="str">
        <f t="shared" si="7"/>
        <v>SVHC_CD0022_PR19RR1</v>
      </c>
    </row>
    <row r="421" spans="1:19" x14ac:dyDescent="0.3">
      <c r="A421" t="s">
        <v>203</v>
      </c>
      <c r="B421" t="s">
        <v>286</v>
      </c>
      <c r="C421" t="s">
        <v>287</v>
      </c>
      <c r="D421" t="s">
        <v>15</v>
      </c>
      <c r="E421" t="s">
        <v>147</v>
      </c>
      <c r="F421" t="s">
        <v>293</v>
      </c>
      <c r="G421" t="s">
        <v>293</v>
      </c>
      <c r="H421" t="s">
        <v>293</v>
      </c>
      <c r="I421" t="s">
        <v>293</v>
      </c>
      <c r="J421" t="s">
        <v>293</v>
      </c>
      <c r="K421" t="s">
        <v>293</v>
      </c>
      <c r="L421" t="s">
        <v>293</v>
      </c>
      <c r="M421" t="s">
        <v>293</v>
      </c>
      <c r="N421" t="s">
        <v>293</v>
      </c>
      <c r="O421" t="s">
        <v>293</v>
      </c>
      <c r="P421" t="s">
        <v>293</v>
      </c>
      <c r="Q421" t="s">
        <v>293</v>
      </c>
      <c r="S421" t="str">
        <f t="shared" si="7"/>
        <v>SVHC_BM4017_PR19CA009</v>
      </c>
    </row>
    <row r="422" spans="1:19" x14ac:dyDescent="0.3">
      <c r="A422" t="s">
        <v>203</v>
      </c>
      <c r="B422" t="s">
        <v>289</v>
      </c>
      <c r="C422" t="s">
        <v>290</v>
      </c>
      <c r="D422" t="s">
        <v>146</v>
      </c>
      <c r="E422" t="s">
        <v>147</v>
      </c>
      <c r="F422" t="s">
        <v>314</v>
      </c>
      <c r="G422" t="s">
        <v>314</v>
      </c>
      <c r="H422" t="s">
        <v>314</v>
      </c>
      <c r="I422" t="s">
        <v>314</v>
      </c>
      <c r="J422" t="s">
        <v>314</v>
      </c>
      <c r="K422" t="s">
        <v>314</v>
      </c>
      <c r="L422" t="s">
        <v>314</v>
      </c>
      <c r="M422" t="s">
        <v>314</v>
      </c>
      <c r="N422" t="s">
        <v>314</v>
      </c>
      <c r="O422" t="s">
        <v>314</v>
      </c>
      <c r="P422" t="s">
        <v>314</v>
      </c>
      <c r="Q422" t="s">
        <v>314</v>
      </c>
      <c r="S422" t="str">
        <f t="shared" si="7"/>
        <v>SVHPR19QA_CA009_OUT_1</v>
      </c>
    </row>
    <row r="423" spans="1:19" x14ac:dyDescent="0.3">
      <c r="A423" t="s">
        <v>203</v>
      </c>
      <c r="B423" t="s">
        <v>291</v>
      </c>
      <c r="C423" t="s">
        <v>292</v>
      </c>
      <c r="D423" t="s">
        <v>146</v>
      </c>
      <c r="E423" t="s">
        <v>147</v>
      </c>
      <c r="F423" t="s">
        <v>315</v>
      </c>
      <c r="G423" t="s">
        <v>315</v>
      </c>
      <c r="H423" t="s">
        <v>315</v>
      </c>
      <c r="I423" t="s">
        <v>315</v>
      </c>
      <c r="J423" t="s">
        <v>315</v>
      </c>
      <c r="K423" t="s">
        <v>315</v>
      </c>
      <c r="L423" t="s">
        <v>315</v>
      </c>
      <c r="M423" t="s">
        <v>315</v>
      </c>
      <c r="N423" t="s">
        <v>315</v>
      </c>
      <c r="O423" t="s">
        <v>315</v>
      </c>
      <c r="P423" t="s">
        <v>315</v>
      </c>
      <c r="Q423" t="s">
        <v>315</v>
      </c>
      <c r="S423" t="str">
        <f t="shared" si="7"/>
        <v>SVHPR19QA_CA009_OUT_2</v>
      </c>
    </row>
    <row r="424" spans="1:19" x14ac:dyDescent="0.3">
      <c r="A424" t="s">
        <v>149</v>
      </c>
      <c r="B424" t="s">
        <v>244</v>
      </c>
      <c r="C424" t="s">
        <v>245</v>
      </c>
      <c r="D424" t="s">
        <v>15</v>
      </c>
      <c r="E424" t="s">
        <v>147</v>
      </c>
      <c r="F424" t="s">
        <v>293</v>
      </c>
      <c r="G424" t="s">
        <v>293</v>
      </c>
      <c r="H424" t="s">
        <v>293</v>
      </c>
      <c r="I424" t="s">
        <v>293</v>
      </c>
      <c r="J424" t="s">
        <v>293</v>
      </c>
      <c r="K424">
        <v>0.48469072972126515</v>
      </c>
      <c r="L424">
        <v>0.56354009975131414</v>
      </c>
      <c r="M424">
        <v>0.75578056024819384</v>
      </c>
      <c r="N424">
        <v>0.73562344754953191</v>
      </c>
      <c r="O424">
        <v>0.62090354111634738</v>
      </c>
      <c r="P424">
        <v>0.60027674375179663</v>
      </c>
      <c r="Q424">
        <v>0.61277020047156383</v>
      </c>
      <c r="S424" t="str">
        <f t="shared" si="7"/>
        <v>HDDC_DEP_PR19CA009</v>
      </c>
    </row>
    <row r="425" spans="1:19" x14ac:dyDescent="0.3">
      <c r="A425" t="s">
        <v>149</v>
      </c>
      <c r="B425" t="s">
        <v>246</v>
      </c>
      <c r="C425" t="s">
        <v>247</v>
      </c>
      <c r="D425" t="s">
        <v>15</v>
      </c>
      <c r="E425" t="s">
        <v>147</v>
      </c>
      <c r="F425" t="s">
        <v>293</v>
      </c>
      <c r="G425" t="s">
        <v>293</v>
      </c>
      <c r="H425" t="s">
        <v>293</v>
      </c>
      <c r="I425" t="s">
        <v>293</v>
      </c>
      <c r="J425" t="s">
        <v>293</v>
      </c>
      <c r="K425">
        <v>2.8836650485436888</v>
      </c>
      <c r="L425">
        <v>2.8620100469682548</v>
      </c>
      <c r="M425">
        <v>2.7700932310029298</v>
      </c>
      <c r="N425">
        <v>2.7230713556948181</v>
      </c>
      <c r="O425">
        <v>2.485330730338541</v>
      </c>
      <c r="P425">
        <v>2.2155128856411417</v>
      </c>
      <c r="Q425">
        <v>2.2105152675789457</v>
      </c>
      <c r="S425" t="str">
        <f t="shared" si="7"/>
        <v>HDDC_STC_TR_PR19CA009</v>
      </c>
    </row>
    <row r="426" spans="1:19" x14ac:dyDescent="0.3">
      <c r="A426" t="s">
        <v>149</v>
      </c>
      <c r="B426" t="s">
        <v>248</v>
      </c>
      <c r="C426" t="s">
        <v>249</v>
      </c>
      <c r="D426" t="s">
        <v>15</v>
      </c>
      <c r="E426" t="s">
        <v>147</v>
      </c>
      <c r="F426" t="s">
        <v>293</v>
      </c>
      <c r="G426" t="s">
        <v>293</v>
      </c>
      <c r="H426" t="s">
        <v>293</v>
      </c>
      <c r="I426" t="s">
        <v>293</v>
      </c>
      <c r="J426" t="s">
        <v>293</v>
      </c>
      <c r="K426">
        <v>2.1287225180081424</v>
      </c>
      <c r="L426">
        <v>2.0272601393640226</v>
      </c>
      <c r="M426">
        <v>2.1539003303277684</v>
      </c>
      <c r="N426">
        <v>2.0990825540603302</v>
      </c>
      <c r="O426">
        <v>1.8329798019856396</v>
      </c>
      <c r="P426">
        <v>1.6869721668339224</v>
      </c>
      <c r="Q426">
        <v>1.6723168554843961</v>
      </c>
      <c r="S426" t="str">
        <f t="shared" si="7"/>
        <v>HDDC_SOC_TR_PR19CA009</v>
      </c>
    </row>
    <row r="427" spans="1:19" x14ac:dyDescent="0.3">
      <c r="A427" t="s">
        <v>149</v>
      </c>
      <c r="B427" t="s">
        <v>250</v>
      </c>
      <c r="C427" t="s">
        <v>251</v>
      </c>
      <c r="D427" t="s">
        <v>15</v>
      </c>
      <c r="E427" t="s">
        <v>147</v>
      </c>
      <c r="F427" t="s">
        <v>293</v>
      </c>
      <c r="G427" t="s">
        <v>293</v>
      </c>
      <c r="H427" t="s">
        <v>293</v>
      </c>
      <c r="I427" t="s">
        <v>293</v>
      </c>
      <c r="J427" t="s">
        <v>293</v>
      </c>
      <c r="K427">
        <v>0.75494253053554639</v>
      </c>
      <c r="L427">
        <v>0.8347499076042324</v>
      </c>
      <c r="M427">
        <v>0.61619290067516141</v>
      </c>
      <c r="N427">
        <v>0.62398880163448811</v>
      </c>
      <c r="O427">
        <v>0.65235092835290154</v>
      </c>
      <c r="P427">
        <v>0.52854071880721931</v>
      </c>
      <c r="Q427">
        <v>0.53819841209454966</v>
      </c>
      <c r="S427" t="str">
        <f t="shared" si="7"/>
        <v>HDDC_DC_T_PR19CA009</v>
      </c>
    </row>
    <row r="428" spans="1:19" x14ac:dyDescent="0.3">
      <c r="A428" t="s">
        <v>149</v>
      </c>
      <c r="B428" t="s">
        <v>252</v>
      </c>
      <c r="C428" t="s">
        <v>253</v>
      </c>
      <c r="D428" t="s">
        <v>13</v>
      </c>
      <c r="E428" t="s">
        <v>147</v>
      </c>
      <c r="F428" t="s">
        <v>293</v>
      </c>
      <c r="G428" t="s">
        <v>293</v>
      </c>
      <c r="H428" t="s">
        <v>293</v>
      </c>
      <c r="I428" t="s">
        <v>293</v>
      </c>
      <c r="J428" t="s">
        <v>293</v>
      </c>
      <c r="K428">
        <v>94.945999999999998</v>
      </c>
      <c r="L428">
        <v>94.546999999999997</v>
      </c>
      <c r="M428">
        <v>95.024000000000001</v>
      </c>
      <c r="N428">
        <v>95.504000000000005</v>
      </c>
      <c r="O428">
        <v>95.994</v>
      </c>
      <c r="P428">
        <v>96.486999999999995</v>
      </c>
      <c r="Q428">
        <v>96.983999999999995</v>
      </c>
      <c r="S428" t="str">
        <f t="shared" si="7"/>
        <v>HDDC_HH_T_PR19CA009</v>
      </c>
    </row>
    <row r="429" spans="1:19" x14ac:dyDescent="0.3">
      <c r="A429" t="s">
        <v>149</v>
      </c>
      <c r="B429" t="s">
        <v>254</v>
      </c>
      <c r="C429" t="s">
        <v>255</v>
      </c>
      <c r="D429" t="s">
        <v>12</v>
      </c>
      <c r="E429" t="s">
        <v>147</v>
      </c>
      <c r="F429" t="s">
        <v>293</v>
      </c>
      <c r="G429" t="s">
        <v>293</v>
      </c>
      <c r="H429" t="s">
        <v>293</v>
      </c>
      <c r="I429" t="s">
        <v>293</v>
      </c>
      <c r="J429" t="s">
        <v>293</v>
      </c>
      <c r="K429">
        <v>0.55978134939860558</v>
      </c>
      <c r="L429">
        <v>0.56792917808074295</v>
      </c>
      <c r="M429">
        <v>0.58611508671493517</v>
      </c>
      <c r="N429">
        <v>0.60381764114592062</v>
      </c>
      <c r="O429">
        <v>0.62109090151467794</v>
      </c>
      <c r="P429">
        <v>0.63788904204711516</v>
      </c>
      <c r="Q429">
        <v>0.65425224779345048</v>
      </c>
      <c r="S429" t="str">
        <f t="shared" si="7"/>
        <v>HDDC_HHM_HH_PR19CA009</v>
      </c>
    </row>
    <row r="430" spans="1:19" x14ac:dyDescent="0.3">
      <c r="A430" t="s">
        <v>149</v>
      </c>
      <c r="B430" t="s">
        <v>256</v>
      </c>
      <c r="C430" t="s">
        <v>257</v>
      </c>
      <c r="D430" t="s">
        <v>12</v>
      </c>
      <c r="E430" t="s">
        <v>147</v>
      </c>
      <c r="F430" t="s">
        <v>293</v>
      </c>
      <c r="G430" t="s">
        <v>293</v>
      </c>
      <c r="H430" t="s">
        <v>293</v>
      </c>
      <c r="I430" t="s">
        <v>293</v>
      </c>
      <c r="J430" t="s">
        <v>293</v>
      </c>
      <c r="K430">
        <v>0.17250858382659615</v>
      </c>
      <c r="L430">
        <v>0.17570097411869232</v>
      </c>
      <c r="M430">
        <v>0.17665010944603471</v>
      </c>
      <c r="N430">
        <v>0.17759465572122632</v>
      </c>
      <c r="O430">
        <v>0.17860491280705046</v>
      </c>
      <c r="P430">
        <v>0.17960968835179869</v>
      </c>
      <c r="Q430">
        <v>0.18062773240946961</v>
      </c>
      <c r="S430" t="str">
        <f t="shared" si="7"/>
        <v>HDDC_HHDU_HH_PR19CA009</v>
      </c>
    </row>
    <row r="431" spans="1:19" x14ac:dyDescent="0.3">
      <c r="A431" t="s">
        <v>149</v>
      </c>
      <c r="B431" t="s">
        <v>258</v>
      </c>
      <c r="C431" t="s">
        <v>259</v>
      </c>
      <c r="D431" t="s">
        <v>228</v>
      </c>
      <c r="E431" t="s">
        <v>147</v>
      </c>
      <c r="F431" t="s">
        <v>293</v>
      </c>
      <c r="G431" t="s">
        <v>293</v>
      </c>
      <c r="H431" t="s">
        <v>293</v>
      </c>
      <c r="I431" t="s">
        <v>293</v>
      </c>
      <c r="J431" t="s">
        <v>293</v>
      </c>
      <c r="K431">
        <v>176.17609618031418</v>
      </c>
      <c r="L431">
        <v>189.84361263989047</v>
      </c>
      <c r="M431">
        <v>180.80106068531524</v>
      </c>
      <c r="N431">
        <v>180.94592799841419</v>
      </c>
      <c r="O431">
        <v>181.09977762265967</v>
      </c>
      <c r="P431">
        <v>181.25304267605887</v>
      </c>
      <c r="Q431">
        <v>181.40836169564827</v>
      </c>
      <c r="S431" t="str">
        <f t="shared" si="7"/>
        <v>HDDC_REV_HH_PR19CA009</v>
      </c>
    </row>
    <row r="432" spans="1:19" x14ac:dyDescent="0.3">
      <c r="A432" t="s">
        <v>149</v>
      </c>
      <c r="B432" t="s">
        <v>260</v>
      </c>
      <c r="C432" t="s">
        <v>261</v>
      </c>
      <c r="D432" t="s">
        <v>15</v>
      </c>
      <c r="E432" t="s">
        <v>147</v>
      </c>
      <c r="F432" t="s">
        <v>293</v>
      </c>
      <c r="G432" t="s">
        <v>293</v>
      </c>
      <c r="H432" t="s">
        <v>293</v>
      </c>
      <c r="I432" t="s">
        <v>293</v>
      </c>
      <c r="J432" t="s">
        <v>293</v>
      </c>
      <c r="K432">
        <v>2.9450000000000003</v>
      </c>
      <c r="L432">
        <v>2.9737699575781162</v>
      </c>
      <c r="M432">
        <v>2.92189680319545</v>
      </c>
      <c r="N432">
        <v>2.9206490767892648</v>
      </c>
      <c r="O432">
        <v>2.7137992072603869</v>
      </c>
      <c r="P432">
        <v>2.4657015495698658</v>
      </c>
      <c r="Q432">
        <v>2.5082652890222126</v>
      </c>
      <c r="S432" t="str">
        <f t="shared" si="7"/>
        <v>HDDC_TC_TRN_PR19CA009</v>
      </c>
    </row>
    <row r="433" spans="1:19" x14ac:dyDescent="0.3">
      <c r="A433" t="s">
        <v>149</v>
      </c>
      <c r="B433" t="s">
        <v>262</v>
      </c>
      <c r="C433" t="s">
        <v>263</v>
      </c>
      <c r="D433" t="s">
        <v>15</v>
      </c>
      <c r="E433" t="s">
        <v>147</v>
      </c>
      <c r="F433" t="s">
        <v>293</v>
      </c>
      <c r="G433" t="s">
        <v>293</v>
      </c>
      <c r="H433" t="s">
        <v>293</v>
      </c>
      <c r="I433" t="s">
        <v>293</v>
      </c>
      <c r="J433" t="s">
        <v>293</v>
      </c>
      <c r="K433">
        <v>2.8836650485436892</v>
      </c>
      <c r="L433">
        <v>2.8620100469682548</v>
      </c>
      <c r="M433">
        <v>2.7700932310029298</v>
      </c>
      <c r="N433">
        <v>2.7230713556948181</v>
      </c>
      <c r="O433">
        <v>2.4853307303385401</v>
      </c>
      <c r="P433">
        <v>2.2155128856411417</v>
      </c>
      <c r="Q433">
        <v>2.2105152675789461</v>
      </c>
      <c r="S433" t="str">
        <f t="shared" si="7"/>
        <v>HDDC_TC_TRR_PR19CA009</v>
      </c>
    </row>
    <row r="434" spans="1:19" x14ac:dyDescent="0.3">
      <c r="A434" t="s">
        <v>149</v>
      </c>
      <c r="B434" t="s">
        <v>264</v>
      </c>
      <c r="C434" t="s">
        <v>265</v>
      </c>
      <c r="D434" t="s">
        <v>15</v>
      </c>
      <c r="E434" t="s">
        <v>147</v>
      </c>
      <c r="F434" t="s">
        <v>293</v>
      </c>
      <c r="G434" t="s">
        <v>293</v>
      </c>
      <c r="H434" t="s">
        <v>293</v>
      </c>
      <c r="I434" t="s">
        <v>293</v>
      </c>
      <c r="J434" t="s">
        <v>293</v>
      </c>
      <c r="K434">
        <v>2.1287225180081428</v>
      </c>
      <c r="L434">
        <v>2.0272601393640226</v>
      </c>
      <c r="M434">
        <v>2.1539003303277684</v>
      </c>
      <c r="N434">
        <v>2.0990825540603302</v>
      </c>
      <c r="O434">
        <v>1.8329798019856389</v>
      </c>
      <c r="P434">
        <v>1.6869721668339224</v>
      </c>
      <c r="Q434">
        <v>1.6723168554843963</v>
      </c>
      <c r="S434" t="str">
        <f t="shared" si="7"/>
        <v>HDDC_OC_TR_PR19CA009</v>
      </c>
    </row>
    <row r="435" spans="1:19" x14ac:dyDescent="0.3">
      <c r="A435" t="s">
        <v>149</v>
      </c>
      <c r="B435" t="s">
        <v>266</v>
      </c>
      <c r="C435" t="s">
        <v>267</v>
      </c>
      <c r="D435" t="s">
        <v>16</v>
      </c>
      <c r="E435" t="s">
        <v>147</v>
      </c>
      <c r="F435" t="s">
        <v>293</v>
      </c>
      <c r="G435" t="s">
        <v>293</v>
      </c>
      <c r="H435" t="s">
        <v>293</v>
      </c>
      <c r="I435" t="s">
        <v>293</v>
      </c>
      <c r="J435" t="s">
        <v>293</v>
      </c>
      <c r="K435">
        <v>0.97917319135609127</v>
      </c>
      <c r="L435">
        <v>0.96241810489575319</v>
      </c>
      <c r="M435">
        <v>0.94804622393696292</v>
      </c>
      <c r="N435">
        <v>0.93235143425322142</v>
      </c>
      <c r="O435">
        <v>0.91581231348634362</v>
      </c>
      <c r="P435">
        <v>0.89853246270929721</v>
      </c>
      <c r="Q435">
        <v>0.88129245229903996</v>
      </c>
      <c r="S435" t="str">
        <f t="shared" si="7"/>
        <v>HDDC_CD0014R_PR19</v>
      </c>
    </row>
    <row r="436" spans="1:19" x14ac:dyDescent="0.3">
      <c r="A436" t="s">
        <v>149</v>
      </c>
      <c r="B436" t="s">
        <v>268</v>
      </c>
      <c r="C436" t="s">
        <v>269</v>
      </c>
      <c r="D436" t="s">
        <v>15</v>
      </c>
      <c r="E436" t="s">
        <v>147</v>
      </c>
      <c r="F436" t="s">
        <v>293</v>
      </c>
      <c r="G436" t="s">
        <v>293</v>
      </c>
      <c r="H436" t="s">
        <v>293</v>
      </c>
      <c r="I436" t="s">
        <v>293</v>
      </c>
      <c r="J436" t="s">
        <v>293</v>
      </c>
      <c r="K436">
        <v>2.8836650485436892</v>
      </c>
      <c r="L436">
        <v>2.8620100469682548</v>
      </c>
      <c r="M436">
        <v>2.7700932310029298</v>
      </c>
      <c r="N436">
        <v>2.7230713556948181</v>
      </c>
      <c r="O436">
        <v>2.4853307303385401</v>
      </c>
      <c r="P436">
        <v>2.2155128856411417</v>
      </c>
      <c r="Q436">
        <v>2.2105152675789461</v>
      </c>
      <c r="S436" t="str">
        <f t="shared" si="7"/>
        <v>HDDC_BPTOTEX_PR19CA009</v>
      </c>
    </row>
    <row r="437" spans="1:19" x14ac:dyDescent="0.3">
      <c r="A437" t="s">
        <v>149</v>
      </c>
      <c r="B437" t="s">
        <v>273</v>
      </c>
      <c r="C437" t="s">
        <v>274</v>
      </c>
      <c r="D437" t="s">
        <v>12</v>
      </c>
      <c r="E437" t="s">
        <v>147</v>
      </c>
      <c r="F437" t="s">
        <v>293</v>
      </c>
      <c r="G437" t="s">
        <v>293</v>
      </c>
      <c r="H437" t="s">
        <v>293</v>
      </c>
      <c r="I437" t="s">
        <v>293</v>
      </c>
      <c r="J437" t="s">
        <v>293</v>
      </c>
      <c r="K437" t="s">
        <v>293</v>
      </c>
      <c r="L437" t="s">
        <v>293</v>
      </c>
      <c r="M437" t="s">
        <v>293</v>
      </c>
      <c r="N437" t="s">
        <v>293</v>
      </c>
      <c r="O437" t="s">
        <v>293</v>
      </c>
      <c r="P437" t="s">
        <v>293</v>
      </c>
      <c r="Q437" t="s">
        <v>293</v>
      </c>
      <c r="S437" t="str">
        <f t="shared" si="7"/>
        <v>HDDC_CD0018_PR19RR1</v>
      </c>
    </row>
    <row r="438" spans="1:19" x14ac:dyDescent="0.3">
      <c r="A438" t="s">
        <v>149</v>
      </c>
      <c r="B438" t="s">
        <v>275</v>
      </c>
      <c r="C438" t="s">
        <v>154</v>
      </c>
      <c r="D438" t="s">
        <v>12</v>
      </c>
      <c r="E438" t="s">
        <v>147</v>
      </c>
      <c r="F438" t="s">
        <v>293</v>
      </c>
      <c r="G438" t="s">
        <v>293</v>
      </c>
      <c r="H438" t="s">
        <v>293</v>
      </c>
      <c r="I438" t="s">
        <v>293</v>
      </c>
      <c r="J438" t="s">
        <v>293</v>
      </c>
      <c r="K438" t="s">
        <v>293</v>
      </c>
      <c r="L438" t="s">
        <v>293</v>
      </c>
      <c r="M438" t="s">
        <v>293</v>
      </c>
      <c r="N438" t="s">
        <v>293</v>
      </c>
      <c r="O438" t="s">
        <v>293</v>
      </c>
      <c r="P438" t="s">
        <v>293</v>
      </c>
      <c r="Q438" t="s">
        <v>293</v>
      </c>
      <c r="S438" t="str">
        <f t="shared" si="7"/>
        <v>HDDC_CD0019_PR19RR1</v>
      </c>
    </row>
    <row r="439" spans="1:19" x14ac:dyDescent="0.3">
      <c r="A439" t="s">
        <v>149</v>
      </c>
      <c r="B439" t="s">
        <v>276</v>
      </c>
      <c r="C439" t="s">
        <v>153</v>
      </c>
      <c r="D439" t="s">
        <v>12</v>
      </c>
      <c r="E439" t="s">
        <v>147</v>
      </c>
      <c r="F439" t="s">
        <v>293</v>
      </c>
      <c r="G439" t="s">
        <v>293</v>
      </c>
      <c r="H439" t="s">
        <v>293</v>
      </c>
      <c r="I439" t="s">
        <v>293</v>
      </c>
      <c r="J439" t="s">
        <v>293</v>
      </c>
      <c r="K439" t="s">
        <v>293</v>
      </c>
      <c r="L439" t="s">
        <v>293</v>
      </c>
      <c r="M439" t="s">
        <v>293</v>
      </c>
      <c r="N439" t="s">
        <v>293</v>
      </c>
      <c r="O439" t="s">
        <v>293</v>
      </c>
      <c r="P439" t="s">
        <v>293</v>
      </c>
      <c r="Q439" t="s">
        <v>293</v>
      </c>
      <c r="S439" t="str">
        <f t="shared" si="7"/>
        <v>HDDC_CD0020_PR19RR1</v>
      </c>
    </row>
    <row r="440" spans="1:19" x14ac:dyDescent="0.3">
      <c r="A440" t="s">
        <v>149</v>
      </c>
      <c r="B440" t="s">
        <v>277</v>
      </c>
      <c r="C440" t="s">
        <v>278</v>
      </c>
      <c r="D440" t="s">
        <v>12</v>
      </c>
      <c r="E440" t="s">
        <v>147</v>
      </c>
      <c r="F440" t="s">
        <v>293</v>
      </c>
      <c r="G440" t="s">
        <v>293</v>
      </c>
      <c r="H440" t="s">
        <v>293</v>
      </c>
      <c r="I440" t="s">
        <v>293</v>
      </c>
      <c r="J440" t="s">
        <v>293</v>
      </c>
      <c r="K440" t="s">
        <v>293</v>
      </c>
      <c r="L440" t="s">
        <v>293</v>
      </c>
      <c r="M440" t="s">
        <v>293</v>
      </c>
      <c r="N440" t="s">
        <v>293</v>
      </c>
      <c r="O440" t="s">
        <v>293</v>
      </c>
      <c r="P440" t="s">
        <v>293</v>
      </c>
      <c r="Q440" t="s">
        <v>293</v>
      </c>
      <c r="S440" t="str">
        <f t="shared" si="7"/>
        <v>HDDC_CD0021_PR19RR1</v>
      </c>
    </row>
    <row r="441" spans="1:19" x14ac:dyDescent="0.3">
      <c r="A441" t="s">
        <v>149</v>
      </c>
      <c r="B441" t="s">
        <v>279</v>
      </c>
      <c r="C441" t="s">
        <v>280</v>
      </c>
      <c r="D441" t="s">
        <v>15</v>
      </c>
      <c r="E441" t="s">
        <v>147</v>
      </c>
      <c r="F441" t="s">
        <v>293</v>
      </c>
      <c r="G441" t="s">
        <v>293</v>
      </c>
      <c r="H441" t="s">
        <v>293</v>
      </c>
      <c r="I441" t="s">
        <v>293</v>
      </c>
      <c r="J441" t="s">
        <v>293</v>
      </c>
      <c r="K441">
        <v>16.727215627936104</v>
      </c>
      <c r="L441">
        <v>17.949144044263722</v>
      </c>
      <c r="M441">
        <v>17.180439990561396</v>
      </c>
      <c r="N441">
        <v>17.28105990756055</v>
      </c>
      <c r="O441">
        <v>17.384492053109593</v>
      </c>
      <c r="P441">
        <v>17.488562328684893</v>
      </c>
      <c r="Q441">
        <v>17.593708550690753</v>
      </c>
      <c r="S441" t="str">
        <f t="shared" si="7"/>
        <v>HDDC_CD0022_PR19RR1</v>
      </c>
    </row>
    <row r="442" spans="1:19" x14ac:dyDescent="0.3">
      <c r="A442" t="s">
        <v>149</v>
      </c>
      <c r="B442" t="s">
        <v>286</v>
      </c>
      <c r="C442" t="s">
        <v>287</v>
      </c>
      <c r="D442" t="s">
        <v>15</v>
      </c>
      <c r="E442" t="s">
        <v>147</v>
      </c>
      <c r="F442" t="s">
        <v>293</v>
      </c>
      <c r="G442" t="s">
        <v>293</v>
      </c>
      <c r="H442" t="s">
        <v>293</v>
      </c>
      <c r="I442" t="s">
        <v>293</v>
      </c>
      <c r="J442" t="s">
        <v>293</v>
      </c>
      <c r="K442">
        <v>2.2325148762918881</v>
      </c>
      <c r="L442">
        <v>8.3561710957429799E-2</v>
      </c>
      <c r="M442">
        <v>0.19834004723968643</v>
      </c>
      <c r="N442">
        <v>0.16769144729500393</v>
      </c>
      <c r="O442">
        <v>0.1695310131981663</v>
      </c>
      <c r="P442">
        <v>0.18640683258482724</v>
      </c>
      <c r="Q442">
        <v>0.12414808306159791</v>
      </c>
      <c r="S442" t="str">
        <f t="shared" si="7"/>
        <v>HDDC_BM4017_PR19CA009</v>
      </c>
    </row>
    <row r="443" spans="1:19" x14ac:dyDescent="0.3">
      <c r="A443" t="s">
        <v>149</v>
      </c>
      <c r="B443" t="s">
        <v>289</v>
      </c>
      <c r="C443" t="s">
        <v>290</v>
      </c>
      <c r="D443" t="s">
        <v>146</v>
      </c>
      <c r="E443" t="s">
        <v>147</v>
      </c>
      <c r="F443" t="s">
        <v>314</v>
      </c>
      <c r="G443" t="s">
        <v>314</v>
      </c>
      <c r="H443" t="s">
        <v>314</v>
      </c>
      <c r="I443" t="s">
        <v>314</v>
      </c>
      <c r="J443" t="s">
        <v>314</v>
      </c>
      <c r="K443" t="s">
        <v>314</v>
      </c>
      <c r="L443" t="s">
        <v>314</v>
      </c>
      <c r="M443" t="s">
        <v>314</v>
      </c>
      <c r="N443" t="s">
        <v>314</v>
      </c>
      <c r="O443" t="s">
        <v>314</v>
      </c>
      <c r="P443" t="s">
        <v>314</v>
      </c>
      <c r="Q443" t="s">
        <v>314</v>
      </c>
      <c r="S443" t="str">
        <f t="shared" si="7"/>
        <v>HDDPR19QA_CA009_OUT_1</v>
      </c>
    </row>
    <row r="444" spans="1:19" x14ac:dyDescent="0.3">
      <c r="A444" t="s">
        <v>149</v>
      </c>
      <c r="B444" t="s">
        <v>291</v>
      </c>
      <c r="C444" t="s">
        <v>292</v>
      </c>
      <c r="D444" t="s">
        <v>146</v>
      </c>
      <c r="E444" t="s">
        <v>147</v>
      </c>
      <c r="F444" t="s">
        <v>315</v>
      </c>
      <c r="G444" t="s">
        <v>315</v>
      </c>
      <c r="H444" t="s">
        <v>315</v>
      </c>
      <c r="I444" t="s">
        <v>315</v>
      </c>
      <c r="J444" t="s">
        <v>315</v>
      </c>
      <c r="K444" t="s">
        <v>315</v>
      </c>
      <c r="L444" t="s">
        <v>315</v>
      </c>
      <c r="M444" t="s">
        <v>315</v>
      </c>
      <c r="N444" t="s">
        <v>315</v>
      </c>
      <c r="O444" t="s">
        <v>315</v>
      </c>
      <c r="P444" t="s">
        <v>315</v>
      </c>
      <c r="Q444" t="s">
        <v>315</v>
      </c>
      <c r="S444" t="str">
        <f t="shared" si="7"/>
        <v>HDDPR19QA_CA009_OUT_2</v>
      </c>
    </row>
    <row r="445" spans="1:19" x14ac:dyDescent="0.3">
      <c r="A445" t="s">
        <v>148</v>
      </c>
      <c r="B445" t="s">
        <v>244</v>
      </c>
      <c r="C445" t="s">
        <v>245</v>
      </c>
      <c r="D445" t="s">
        <v>15</v>
      </c>
      <c r="E445" t="s">
        <v>147</v>
      </c>
      <c r="F445" t="s">
        <v>293</v>
      </c>
      <c r="G445" t="s">
        <v>293</v>
      </c>
      <c r="H445" t="s">
        <v>293</v>
      </c>
      <c r="I445" t="s">
        <v>293</v>
      </c>
      <c r="J445" t="s">
        <v>293</v>
      </c>
      <c r="K445">
        <v>7.3124653930472894</v>
      </c>
      <c r="L445">
        <v>4.4341373195721099</v>
      </c>
      <c r="M445">
        <v>6.5489602353730971</v>
      </c>
      <c r="N445">
        <v>7.7489132840837271</v>
      </c>
      <c r="O445">
        <v>8.7382429080921895</v>
      </c>
      <c r="P445">
        <v>6.8815326563999735</v>
      </c>
      <c r="Q445">
        <v>6.6016764260218039</v>
      </c>
      <c r="S445" t="str">
        <f t="shared" si="7"/>
        <v>SVEC_DEP_PR19CA009</v>
      </c>
    </row>
    <row r="446" spans="1:19" x14ac:dyDescent="0.3">
      <c r="A446" t="s">
        <v>148</v>
      </c>
      <c r="B446" t="s">
        <v>246</v>
      </c>
      <c r="C446" t="s">
        <v>247</v>
      </c>
      <c r="D446" t="s">
        <v>15</v>
      </c>
      <c r="E446" t="s">
        <v>147</v>
      </c>
      <c r="F446" t="s">
        <v>293</v>
      </c>
      <c r="G446" t="s">
        <v>293</v>
      </c>
      <c r="H446" t="s">
        <v>293</v>
      </c>
      <c r="I446" t="s">
        <v>293</v>
      </c>
      <c r="J446" t="s">
        <v>293</v>
      </c>
      <c r="K446">
        <v>105.60382868775444</v>
      </c>
      <c r="L446">
        <v>101.81375022112384</v>
      </c>
      <c r="M446">
        <v>87.259232123243137</v>
      </c>
      <c r="N446">
        <v>88.537656376310053</v>
      </c>
      <c r="O446">
        <v>85.875998809211438</v>
      </c>
      <c r="P446">
        <v>80.708049373170383</v>
      </c>
      <c r="Q446">
        <v>80.457893289737569</v>
      </c>
      <c r="S446" t="str">
        <f t="shared" si="7"/>
        <v>SVEC_STC_TR_PR19CA009</v>
      </c>
    </row>
    <row r="447" spans="1:19" x14ac:dyDescent="0.3">
      <c r="A447" t="s">
        <v>148</v>
      </c>
      <c r="B447" t="s">
        <v>248</v>
      </c>
      <c r="C447" t="s">
        <v>249</v>
      </c>
      <c r="D447" t="s">
        <v>15</v>
      </c>
      <c r="E447" t="s">
        <v>147</v>
      </c>
      <c r="F447" t="s">
        <v>293</v>
      </c>
      <c r="G447" t="s">
        <v>293</v>
      </c>
      <c r="H447" t="s">
        <v>293</v>
      </c>
      <c r="I447" t="s">
        <v>293</v>
      </c>
      <c r="J447" t="s">
        <v>293</v>
      </c>
      <c r="K447">
        <v>76.228632947071702</v>
      </c>
      <c r="L447">
        <v>70.417143417178011</v>
      </c>
      <c r="M447">
        <v>62.969831320493256</v>
      </c>
      <c r="N447">
        <v>63.784136052392945</v>
      </c>
      <c r="O447">
        <v>60.698736925236048</v>
      </c>
      <c r="P447">
        <v>55.762766540992246</v>
      </c>
      <c r="Q447">
        <v>55.750193839358076</v>
      </c>
      <c r="S447" t="str">
        <f t="shared" si="7"/>
        <v>SVEC_SOC_TR_PR19CA009</v>
      </c>
    </row>
    <row r="448" spans="1:19" x14ac:dyDescent="0.3">
      <c r="A448" t="s">
        <v>148</v>
      </c>
      <c r="B448" t="s">
        <v>250</v>
      </c>
      <c r="C448" t="s">
        <v>251</v>
      </c>
      <c r="D448" t="s">
        <v>15</v>
      </c>
      <c r="E448" t="s">
        <v>147</v>
      </c>
      <c r="F448" t="s">
        <v>293</v>
      </c>
      <c r="G448" t="s">
        <v>293</v>
      </c>
      <c r="H448" t="s">
        <v>293</v>
      </c>
      <c r="I448" t="s">
        <v>293</v>
      </c>
      <c r="J448" t="s">
        <v>293</v>
      </c>
      <c r="K448">
        <v>29.375195740682738</v>
      </c>
      <c r="L448">
        <v>31.396606803945822</v>
      </c>
      <c r="M448">
        <v>24.289400802749881</v>
      </c>
      <c r="N448">
        <v>24.753520323917108</v>
      </c>
      <c r="O448">
        <v>25.177261883975387</v>
      </c>
      <c r="P448">
        <v>24.945282832178133</v>
      </c>
      <c r="Q448">
        <v>24.70769945037949</v>
      </c>
      <c r="S448" t="str">
        <f t="shared" si="7"/>
        <v>SVEC_DC_T_PR19CA009</v>
      </c>
    </row>
    <row r="449" spans="1:19" x14ac:dyDescent="0.3">
      <c r="A449" t="s">
        <v>148</v>
      </c>
      <c r="B449" t="s">
        <v>252</v>
      </c>
      <c r="C449" t="s">
        <v>253</v>
      </c>
      <c r="D449" t="s">
        <v>13</v>
      </c>
      <c r="E449" t="s">
        <v>147</v>
      </c>
      <c r="F449" t="s">
        <v>293</v>
      </c>
      <c r="G449" t="s">
        <v>293</v>
      </c>
      <c r="H449" t="s">
        <v>293</v>
      </c>
      <c r="I449" t="s">
        <v>293</v>
      </c>
      <c r="J449" t="s">
        <v>293</v>
      </c>
      <c r="K449">
        <v>4006.4189999999999</v>
      </c>
      <c r="L449">
        <v>4089.596095555768</v>
      </c>
      <c r="M449">
        <v>4112.9695451171256</v>
      </c>
      <c r="N449">
        <v>4136.7720260177966</v>
      </c>
      <c r="O449">
        <v>4162.0403639944807</v>
      </c>
      <c r="P449">
        <v>4187.7381527726839</v>
      </c>
      <c r="Q449">
        <v>4213.8639797621199</v>
      </c>
      <c r="S449" t="str">
        <f t="shared" si="7"/>
        <v>SVEC_HH_T_PR19CA009</v>
      </c>
    </row>
    <row r="450" spans="1:19" x14ac:dyDescent="0.3">
      <c r="A450" t="s">
        <v>148</v>
      </c>
      <c r="B450" t="s">
        <v>254</v>
      </c>
      <c r="C450" t="s">
        <v>255</v>
      </c>
      <c r="D450" t="s">
        <v>12</v>
      </c>
      <c r="E450" t="s">
        <v>147</v>
      </c>
      <c r="F450" t="s">
        <v>293</v>
      </c>
      <c r="G450" t="s">
        <v>293</v>
      </c>
      <c r="H450" t="s">
        <v>293</v>
      </c>
      <c r="I450" t="s">
        <v>293</v>
      </c>
      <c r="J450" t="s">
        <v>293</v>
      </c>
      <c r="K450">
        <v>0.45189656898092795</v>
      </c>
      <c r="L450">
        <v>0.45661008861362062</v>
      </c>
      <c r="M450">
        <v>0.48483917804856924</v>
      </c>
      <c r="N450">
        <v>0.512658578586623</v>
      </c>
      <c r="O450">
        <v>0.54018367809652912</v>
      </c>
      <c r="P450">
        <v>0.56728641253489576</v>
      </c>
      <c r="Q450">
        <v>0.59396871742724699</v>
      </c>
      <c r="S450" t="str">
        <f t="shared" si="7"/>
        <v>SVEC_HHM_HH_PR19CA009</v>
      </c>
    </row>
    <row r="451" spans="1:19" x14ac:dyDescent="0.3">
      <c r="A451" t="s">
        <v>148</v>
      </c>
      <c r="B451" t="s">
        <v>256</v>
      </c>
      <c r="C451" t="s">
        <v>257</v>
      </c>
      <c r="D451" t="s">
        <v>12</v>
      </c>
      <c r="E451" t="s">
        <v>147</v>
      </c>
      <c r="F451" t="s">
        <v>293</v>
      </c>
      <c r="G451" t="s">
        <v>293</v>
      </c>
      <c r="H451" t="s">
        <v>293</v>
      </c>
      <c r="I451" t="s">
        <v>293</v>
      </c>
      <c r="J451" t="s">
        <v>293</v>
      </c>
      <c r="K451">
        <v>0.74158768715903145</v>
      </c>
      <c r="L451">
        <v>0.73010698300061838</v>
      </c>
      <c r="M451">
        <v>0.7315952814553971</v>
      </c>
      <c r="N451">
        <v>0.73306304998925598</v>
      </c>
      <c r="O451">
        <v>0.73451880220883026</v>
      </c>
      <c r="P451">
        <v>0.7359532189405571</v>
      </c>
      <c r="Q451">
        <v>0.73736644510629756</v>
      </c>
      <c r="S451" t="str">
        <f t="shared" si="7"/>
        <v>SVEC_HHDU_HH_PR19CA009</v>
      </c>
    </row>
    <row r="452" spans="1:19" x14ac:dyDescent="0.3">
      <c r="A452" t="s">
        <v>148</v>
      </c>
      <c r="B452" t="s">
        <v>258</v>
      </c>
      <c r="C452" t="s">
        <v>259</v>
      </c>
      <c r="D452" t="s">
        <v>228</v>
      </c>
      <c r="E452" t="s">
        <v>147</v>
      </c>
      <c r="F452" t="s">
        <v>293</v>
      </c>
      <c r="G452" t="s">
        <v>293</v>
      </c>
      <c r="H452" t="s">
        <v>293</v>
      </c>
      <c r="I452" t="s">
        <v>293</v>
      </c>
      <c r="J452" t="s">
        <v>293</v>
      </c>
      <c r="K452">
        <v>296.52158393775306</v>
      </c>
      <c r="L452">
        <v>306.08909962982773</v>
      </c>
      <c r="M452">
        <v>283.79379614841719</v>
      </c>
      <c r="N452">
        <v>288.23085343970922</v>
      </c>
      <c r="O452">
        <v>289.35856312977427</v>
      </c>
      <c r="P452">
        <v>287.92091015113573</v>
      </c>
      <c r="Q452">
        <v>282.76945681298741</v>
      </c>
      <c r="S452" t="str">
        <f t="shared" si="7"/>
        <v>SVEC_REV_HH_PR19CA009</v>
      </c>
    </row>
    <row r="453" spans="1:19" x14ac:dyDescent="0.3">
      <c r="A453" t="s">
        <v>148</v>
      </c>
      <c r="B453" t="s">
        <v>260</v>
      </c>
      <c r="C453" t="s">
        <v>261</v>
      </c>
      <c r="D453" t="s">
        <v>15</v>
      </c>
      <c r="E453" t="s">
        <v>147</v>
      </c>
      <c r="F453" t="s">
        <v>293</v>
      </c>
      <c r="G453" t="s">
        <v>293</v>
      </c>
      <c r="H453" t="s">
        <v>293</v>
      </c>
      <c r="I453" t="s">
        <v>293</v>
      </c>
      <c r="J453" t="s">
        <v>293</v>
      </c>
      <c r="K453">
        <v>107.85</v>
      </c>
      <c r="L453">
        <v>105.78952089866604</v>
      </c>
      <c r="M453">
        <v>91.93093982804497</v>
      </c>
      <c r="N453">
        <v>94.959928310055517</v>
      </c>
      <c r="O453">
        <v>93.822874169263883</v>
      </c>
      <c r="P453">
        <v>89.882597231764009</v>
      </c>
      <c r="Q453">
        <v>91.374835121656147</v>
      </c>
      <c r="S453" t="str">
        <f t="shared" si="7"/>
        <v>SVEC_TC_TRN_PR19CA009</v>
      </c>
    </row>
    <row r="454" spans="1:19" x14ac:dyDescent="0.3">
      <c r="A454" t="s">
        <v>148</v>
      </c>
      <c r="B454" t="s">
        <v>262</v>
      </c>
      <c r="C454" t="s">
        <v>263</v>
      </c>
      <c r="D454" t="s">
        <v>15</v>
      </c>
      <c r="E454" t="s">
        <v>147</v>
      </c>
      <c r="F454" t="s">
        <v>293</v>
      </c>
      <c r="G454" t="s">
        <v>293</v>
      </c>
      <c r="H454" t="s">
        <v>293</v>
      </c>
      <c r="I454" t="s">
        <v>293</v>
      </c>
      <c r="J454" t="s">
        <v>293</v>
      </c>
      <c r="K454">
        <v>105.60382868775444</v>
      </c>
      <c r="L454">
        <v>101.81375022112385</v>
      </c>
      <c r="M454">
        <v>87.259232123243137</v>
      </c>
      <c r="N454">
        <v>88.537656376310053</v>
      </c>
      <c r="O454">
        <v>85.875998809211453</v>
      </c>
      <c r="P454">
        <v>80.708049373170354</v>
      </c>
      <c r="Q454">
        <v>80.457893289737541</v>
      </c>
      <c r="S454" t="str">
        <f t="shared" si="7"/>
        <v>SVEC_TC_TRR_PR19CA009</v>
      </c>
    </row>
    <row r="455" spans="1:19" x14ac:dyDescent="0.3">
      <c r="A455" t="s">
        <v>148</v>
      </c>
      <c r="B455" t="s">
        <v>264</v>
      </c>
      <c r="C455" t="s">
        <v>265</v>
      </c>
      <c r="D455" t="s">
        <v>15</v>
      </c>
      <c r="E455" t="s">
        <v>147</v>
      </c>
      <c r="F455" t="s">
        <v>293</v>
      </c>
      <c r="G455" t="s">
        <v>293</v>
      </c>
      <c r="H455" t="s">
        <v>293</v>
      </c>
      <c r="I455" t="s">
        <v>293</v>
      </c>
      <c r="J455" t="s">
        <v>293</v>
      </c>
      <c r="K455">
        <v>76.228632947071702</v>
      </c>
      <c r="L455">
        <v>70.417143417178039</v>
      </c>
      <c r="M455">
        <v>62.969831320493263</v>
      </c>
      <c r="N455">
        <v>63.784136052392952</v>
      </c>
      <c r="O455">
        <v>60.698736925236069</v>
      </c>
      <c r="P455">
        <v>55.762766540992224</v>
      </c>
      <c r="Q455">
        <v>55.750193839358055</v>
      </c>
      <c r="S455" t="str">
        <f t="shared" si="7"/>
        <v>SVEC_OC_TR_PR19CA009</v>
      </c>
    </row>
    <row r="456" spans="1:19" x14ac:dyDescent="0.3">
      <c r="A456" t="s">
        <v>148</v>
      </c>
      <c r="B456" t="s">
        <v>266</v>
      </c>
      <c r="C456" t="s">
        <v>267</v>
      </c>
      <c r="D456" t="s">
        <v>16</v>
      </c>
      <c r="E456" t="s">
        <v>147</v>
      </c>
      <c r="F456" t="s">
        <v>293</v>
      </c>
      <c r="G456" t="s">
        <v>293</v>
      </c>
      <c r="H456" t="s">
        <v>293</v>
      </c>
      <c r="I456" t="s">
        <v>293</v>
      </c>
      <c r="J456" t="s">
        <v>293</v>
      </c>
      <c r="K456">
        <v>0.97917319135609127</v>
      </c>
      <c r="L456">
        <v>0.96241810489575319</v>
      </c>
      <c r="M456">
        <v>0.9491824220056907</v>
      </c>
      <c r="N456">
        <v>0.93236861012809558</v>
      </c>
      <c r="O456">
        <v>0.91529916952111656</v>
      </c>
      <c r="P456">
        <v>0.89792742821019178</v>
      </c>
      <c r="Q456">
        <v>0.88052572880286106</v>
      </c>
      <c r="S456" t="str">
        <f t="shared" si="7"/>
        <v>SVEC_CD0014R_PR19</v>
      </c>
    </row>
    <row r="457" spans="1:19" x14ac:dyDescent="0.3">
      <c r="A457" t="s">
        <v>148</v>
      </c>
      <c r="B457" t="s">
        <v>268</v>
      </c>
      <c r="C457" t="s">
        <v>269</v>
      </c>
      <c r="D457" t="s">
        <v>15</v>
      </c>
      <c r="E457" t="s">
        <v>147</v>
      </c>
      <c r="F457" t="s">
        <v>293</v>
      </c>
      <c r="G457" t="s">
        <v>293</v>
      </c>
      <c r="H457" t="s">
        <v>293</v>
      </c>
      <c r="I457" t="s">
        <v>293</v>
      </c>
      <c r="J457" t="s">
        <v>293</v>
      </c>
      <c r="K457">
        <v>105.60382868775444</v>
      </c>
      <c r="L457">
        <v>111.87943239278741</v>
      </c>
      <c r="M457">
        <v>97.266287713308984</v>
      </c>
      <c r="N457">
        <v>98.453100328188782</v>
      </c>
      <c r="O457">
        <v>95.69742704856175</v>
      </c>
      <c r="P457">
        <v>90.437442256964061</v>
      </c>
      <c r="Q457">
        <v>90.09987206852</v>
      </c>
      <c r="S457" t="str">
        <f t="shared" si="7"/>
        <v>SVEC_BPTOTEX_PR19CA009</v>
      </c>
    </row>
    <row r="458" spans="1:19" x14ac:dyDescent="0.3">
      <c r="A458" t="s">
        <v>148</v>
      </c>
      <c r="B458" t="s">
        <v>273</v>
      </c>
      <c r="C458" t="s">
        <v>274</v>
      </c>
      <c r="D458" t="s">
        <v>12</v>
      </c>
      <c r="E458" t="s">
        <v>147</v>
      </c>
      <c r="F458" t="s">
        <v>293</v>
      </c>
      <c r="G458" t="s">
        <v>293</v>
      </c>
      <c r="H458" t="s">
        <v>293</v>
      </c>
      <c r="I458" t="s">
        <v>293</v>
      </c>
      <c r="J458" t="s">
        <v>293</v>
      </c>
      <c r="K458" t="s">
        <v>293</v>
      </c>
      <c r="L458" t="s">
        <v>293</v>
      </c>
      <c r="M458" t="s">
        <v>293</v>
      </c>
      <c r="N458" t="s">
        <v>293</v>
      </c>
      <c r="O458" t="s">
        <v>293</v>
      </c>
      <c r="P458" t="s">
        <v>293</v>
      </c>
      <c r="Q458" t="s">
        <v>293</v>
      </c>
      <c r="S458" t="str">
        <f t="shared" si="7"/>
        <v>SVEC_CD0018_PR19RR1</v>
      </c>
    </row>
    <row r="459" spans="1:19" x14ac:dyDescent="0.3">
      <c r="A459" t="s">
        <v>148</v>
      </c>
      <c r="B459" t="s">
        <v>275</v>
      </c>
      <c r="C459" t="s">
        <v>154</v>
      </c>
      <c r="D459" t="s">
        <v>12</v>
      </c>
      <c r="E459" t="s">
        <v>147</v>
      </c>
      <c r="F459" t="s">
        <v>293</v>
      </c>
      <c r="G459" t="s">
        <v>293</v>
      </c>
      <c r="H459" t="s">
        <v>293</v>
      </c>
      <c r="I459" t="s">
        <v>293</v>
      </c>
      <c r="J459" t="s">
        <v>293</v>
      </c>
      <c r="K459" t="s">
        <v>293</v>
      </c>
      <c r="L459" t="s">
        <v>293</v>
      </c>
      <c r="M459" t="s">
        <v>293</v>
      </c>
      <c r="N459" t="s">
        <v>293</v>
      </c>
      <c r="O459" t="s">
        <v>293</v>
      </c>
      <c r="P459" t="s">
        <v>293</v>
      </c>
      <c r="Q459" t="s">
        <v>293</v>
      </c>
      <c r="S459" t="str">
        <f t="shared" si="7"/>
        <v>SVEC_CD0019_PR19RR1</v>
      </c>
    </row>
    <row r="460" spans="1:19" x14ac:dyDescent="0.3">
      <c r="A460" t="s">
        <v>148</v>
      </c>
      <c r="B460" t="s">
        <v>276</v>
      </c>
      <c r="C460" t="s">
        <v>153</v>
      </c>
      <c r="D460" t="s">
        <v>12</v>
      </c>
      <c r="E460" t="s">
        <v>147</v>
      </c>
      <c r="F460" t="s">
        <v>293</v>
      </c>
      <c r="G460" t="s">
        <v>293</v>
      </c>
      <c r="H460" t="s">
        <v>293</v>
      </c>
      <c r="I460" t="s">
        <v>293</v>
      </c>
      <c r="J460" t="s">
        <v>293</v>
      </c>
      <c r="K460" t="s">
        <v>293</v>
      </c>
      <c r="L460" t="s">
        <v>293</v>
      </c>
      <c r="M460" t="s">
        <v>293</v>
      </c>
      <c r="N460" t="s">
        <v>293</v>
      </c>
      <c r="O460" t="s">
        <v>293</v>
      </c>
      <c r="P460" t="s">
        <v>293</v>
      </c>
      <c r="Q460" t="s">
        <v>293</v>
      </c>
      <c r="S460" t="str">
        <f t="shared" si="7"/>
        <v>SVEC_CD0020_PR19RR1</v>
      </c>
    </row>
    <row r="461" spans="1:19" x14ac:dyDescent="0.3">
      <c r="A461" t="s">
        <v>148</v>
      </c>
      <c r="B461" t="s">
        <v>277</v>
      </c>
      <c r="C461" t="s">
        <v>278</v>
      </c>
      <c r="D461" t="s">
        <v>12</v>
      </c>
      <c r="E461" t="s">
        <v>147</v>
      </c>
      <c r="F461" t="s">
        <v>293</v>
      </c>
      <c r="G461" t="s">
        <v>293</v>
      </c>
      <c r="H461" t="s">
        <v>293</v>
      </c>
      <c r="I461" t="s">
        <v>293</v>
      </c>
      <c r="J461" t="s">
        <v>293</v>
      </c>
      <c r="K461" t="s">
        <v>293</v>
      </c>
      <c r="L461" t="s">
        <v>293</v>
      </c>
      <c r="M461" t="s">
        <v>293</v>
      </c>
      <c r="N461" t="s">
        <v>293</v>
      </c>
      <c r="O461" t="s">
        <v>293</v>
      </c>
      <c r="P461" t="s">
        <v>293</v>
      </c>
      <c r="Q461" t="s">
        <v>293</v>
      </c>
      <c r="S461" t="str">
        <f t="shared" si="7"/>
        <v>SVEC_CD0021_PR19RR1</v>
      </c>
    </row>
    <row r="462" spans="1:19" x14ac:dyDescent="0.3">
      <c r="A462" t="s">
        <v>148</v>
      </c>
      <c r="B462" t="s">
        <v>279</v>
      </c>
      <c r="C462" t="s">
        <v>280</v>
      </c>
      <c r="D462" t="s">
        <v>15</v>
      </c>
      <c r="E462" t="s">
        <v>147</v>
      </c>
      <c r="F462" t="s">
        <v>293</v>
      </c>
      <c r="G462" t="s">
        <v>293</v>
      </c>
      <c r="H462" t="s">
        <v>293</v>
      </c>
      <c r="I462" t="s">
        <v>293</v>
      </c>
      <c r="J462" t="s">
        <v>293</v>
      </c>
      <c r="K462">
        <v>1187.9897077983087</v>
      </c>
      <c r="L462">
        <v>1251.780786738324</v>
      </c>
      <c r="M462">
        <v>1167.2352406516177</v>
      </c>
      <c r="N462">
        <v>1192.3453315446247</v>
      </c>
      <c r="O462">
        <v>1204.3220194135656</v>
      </c>
      <c r="P462">
        <v>1205.7373804209471</v>
      </c>
      <c r="Q462">
        <v>1191.5520286411479</v>
      </c>
      <c r="S462" t="str">
        <f t="shared" si="7"/>
        <v>SVEC_CD0022_PR19RR1</v>
      </c>
    </row>
    <row r="463" spans="1:19" x14ac:dyDescent="0.3">
      <c r="A463" t="s">
        <v>148</v>
      </c>
      <c r="B463" t="s">
        <v>286</v>
      </c>
      <c r="C463" t="s">
        <v>287</v>
      </c>
      <c r="D463" t="s">
        <v>15</v>
      </c>
      <c r="E463" t="s">
        <v>147</v>
      </c>
      <c r="F463" t="s">
        <v>293</v>
      </c>
      <c r="G463" t="s">
        <v>293</v>
      </c>
      <c r="H463" t="s">
        <v>293</v>
      </c>
      <c r="I463" t="s">
        <v>293</v>
      </c>
      <c r="J463" t="s">
        <v>293</v>
      </c>
      <c r="K463">
        <v>8.1437834325086111</v>
      </c>
      <c r="L463">
        <v>2.4690119165568154</v>
      </c>
      <c r="M463">
        <v>8.8674681796644066</v>
      </c>
      <c r="N463">
        <v>7.4883815713286745</v>
      </c>
      <c r="O463">
        <v>6.547370910693604</v>
      </c>
      <c r="P463">
        <v>8.3183721271289421</v>
      </c>
      <c r="Q463">
        <v>5.5389962380775</v>
      </c>
      <c r="S463" t="str">
        <f t="shared" si="7"/>
        <v>SVEC_BM4017_PR19CA009</v>
      </c>
    </row>
    <row r="464" spans="1:19" x14ac:dyDescent="0.3">
      <c r="A464" t="s">
        <v>148</v>
      </c>
      <c r="B464" t="s">
        <v>289</v>
      </c>
      <c r="C464" t="s">
        <v>290</v>
      </c>
      <c r="D464" t="s">
        <v>146</v>
      </c>
      <c r="E464" t="s">
        <v>147</v>
      </c>
      <c r="F464" t="s">
        <v>314</v>
      </c>
      <c r="G464" t="s">
        <v>314</v>
      </c>
      <c r="H464" t="s">
        <v>314</v>
      </c>
      <c r="I464" t="s">
        <v>314</v>
      </c>
      <c r="J464" t="s">
        <v>314</v>
      </c>
      <c r="K464" t="s">
        <v>314</v>
      </c>
      <c r="L464" t="s">
        <v>314</v>
      </c>
      <c r="M464" t="s">
        <v>314</v>
      </c>
      <c r="N464" t="s">
        <v>314</v>
      </c>
      <c r="O464" t="s">
        <v>314</v>
      </c>
      <c r="P464" t="s">
        <v>314</v>
      </c>
      <c r="Q464" t="s">
        <v>314</v>
      </c>
      <c r="S464" t="str">
        <f t="shared" ref="S464:S465" si="8">A464&amp;B464</f>
        <v>SVEPR19QA_CA009_OUT_1</v>
      </c>
    </row>
    <row r="465" spans="1:19" x14ac:dyDescent="0.3">
      <c r="A465" t="s">
        <v>148</v>
      </c>
      <c r="B465" t="s">
        <v>291</v>
      </c>
      <c r="C465" t="s">
        <v>292</v>
      </c>
      <c r="D465" t="s">
        <v>146</v>
      </c>
      <c r="E465" t="s">
        <v>147</v>
      </c>
      <c r="F465" t="s">
        <v>315</v>
      </c>
      <c r="G465" t="s">
        <v>315</v>
      </c>
      <c r="H465" t="s">
        <v>315</v>
      </c>
      <c r="I465" t="s">
        <v>315</v>
      </c>
      <c r="J465" t="s">
        <v>315</v>
      </c>
      <c r="K465" t="s">
        <v>315</v>
      </c>
      <c r="L465" t="s">
        <v>315</v>
      </c>
      <c r="M465" t="s">
        <v>315</v>
      </c>
      <c r="N465" t="s">
        <v>315</v>
      </c>
      <c r="O465" t="s">
        <v>315</v>
      </c>
      <c r="P465" t="s">
        <v>315</v>
      </c>
      <c r="Q465" t="s">
        <v>315</v>
      </c>
      <c r="S465" t="str">
        <f t="shared" si="8"/>
        <v>SVEPR19QA_CA009_OUT_2</v>
      </c>
    </row>
    <row r="467" spans="1:19" x14ac:dyDescent="0.3">
      <c r="F467" t="b">
        <v>1</v>
      </c>
      <c r="G467" t="b">
        <v>1</v>
      </c>
      <c r="H467" t="b">
        <v>1</v>
      </c>
      <c r="I467" t="b">
        <v>1</v>
      </c>
      <c r="J467" t="b">
        <v>1</v>
      </c>
      <c r="K467" t="b">
        <v>0</v>
      </c>
      <c r="L467" t="b">
        <v>1</v>
      </c>
      <c r="M467" t="b">
        <v>1</v>
      </c>
      <c r="N467" t="b">
        <v>1</v>
      </c>
      <c r="O467" t="b">
        <v>1</v>
      </c>
      <c r="P467" t="b">
        <v>1</v>
      </c>
      <c r="Q467" t="b">
        <v>1</v>
      </c>
    </row>
  </sheetData>
  <conditionalFormatting sqref="F467:Q467">
    <cfRule type="containsText" dxfId="24" priority="1" operator="containsText" text="FALSE">
      <formula>NOT(ISERROR(SEARCH("FALSE",F467)))</formula>
    </cfRule>
    <cfRule type="containsText" dxfId="23" priority="2" operator="containsText" text="TRUE">
      <formula>NOT(ISERROR(SEARCH("TRUE",F467)))</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5:M31"/>
  <sheetViews>
    <sheetView showGridLines="0" zoomScale="85" zoomScaleNormal="85" workbookViewId="0"/>
  </sheetViews>
  <sheetFormatPr defaultColWidth="9" defaultRowHeight="13" x14ac:dyDescent="0.3"/>
  <cols>
    <col min="1" max="1" width="2" style="33" customWidth="1"/>
    <col min="2" max="2" width="2.83203125" style="33" customWidth="1"/>
    <col min="3" max="3" width="10.58203125" style="33" customWidth="1"/>
    <col min="4" max="4" width="9" style="33" customWidth="1"/>
    <col min="5" max="5" width="10.5" style="33" customWidth="1"/>
    <col min="6" max="6" width="10.33203125" style="33" customWidth="1"/>
    <col min="7" max="7" width="10.83203125" style="33" customWidth="1"/>
    <col min="8" max="10" width="9" style="33"/>
    <col min="11" max="11" width="10.58203125" style="33" customWidth="1"/>
    <col min="12" max="12" width="9.33203125" style="33" bestFit="1" customWidth="1"/>
    <col min="13" max="16384" width="9" style="33"/>
  </cols>
  <sheetData>
    <row r="5" spans="3:8" x14ac:dyDescent="0.3">
      <c r="C5" s="32" t="s">
        <v>180</v>
      </c>
      <c r="G5" s="32" t="s">
        <v>331</v>
      </c>
    </row>
    <row r="6" spans="3:8" x14ac:dyDescent="0.3">
      <c r="C6" s="32"/>
    </row>
    <row r="7" spans="3:8" x14ac:dyDescent="0.3">
      <c r="C7" s="30" t="s">
        <v>159</v>
      </c>
      <c r="D7" s="151">
        <v>0.5</v>
      </c>
      <c r="G7" s="30" t="s">
        <v>170</v>
      </c>
      <c r="H7" s="151">
        <v>0.25</v>
      </c>
    </row>
    <row r="8" spans="3:8" x14ac:dyDescent="0.3">
      <c r="C8" s="30" t="s">
        <v>160</v>
      </c>
      <c r="D8" s="151">
        <v>0.5</v>
      </c>
      <c r="G8" s="30" t="s">
        <v>169</v>
      </c>
      <c r="H8" s="151">
        <v>0.75</v>
      </c>
    </row>
    <row r="9" spans="3:8" x14ac:dyDescent="0.3">
      <c r="C9" s="30" t="s">
        <v>161</v>
      </c>
      <c r="D9" s="151">
        <v>0.5</v>
      </c>
    </row>
    <row r="10" spans="3:8" x14ac:dyDescent="0.3">
      <c r="C10" s="30" t="s">
        <v>162</v>
      </c>
      <c r="D10" s="151">
        <v>0.5</v>
      </c>
    </row>
    <row r="11" spans="3:8" x14ac:dyDescent="0.3">
      <c r="C11" s="30" t="s">
        <v>163</v>
      </c>
      <c r="D11" s="151">
        <f>1/3</f>
        <v>0.33333333333333331</v>
      </c>
    </row>
    <row r="12" spans="3:8" x14ac:dyDescent="0.3">
      <c r="C12" s="30" t="s">
        <v>164</v>
      </c>
      <c r="D12" s="151">
        <f>1/3</f>
        <v>0.33333333333333331</v>
      </c>
    </row>
    <row r="13" spans="3:8" x14ac:dyDescent="0.3">
      <c r="C13" s="30" t="s">
        <v>165</v>
      </c>
      <c r="D13" s="151">
        <f>1/3</f>
        <v>0.33333333333333331</v>
      </c>
    </row>
    <row r="15" spans="3:8" x14ac:dyDescent="0.3">
      <c r="C15" s="32" t="s">
        <v>158</v>
      </c>
      <c r="F15" s="33" t="s">
        <v>211</v>
      </c>
    </row>
    <row r="16" spans="3:8" x14ac:dyDescent="0.3">
      <c r="F16" s="30" t="s">
        <v>308</v>
      </c>
    </row>
    <row r="17" spans="3:13" x14ac:dyDescent="0.3">
      <c r="C17" s="82" t="str">
        <f>IF($F$16="Historical",$I$17,IF(F16="Triangulation","Triangulated efficiency challenge",$I$18))</f>
        <v>Triangulated efficiency challenge</v>
      </c>
      <c r="D17" s="83"/>
      <c r="E17" s="80"/>
      <c r="F17" s="150">
        <f>IF($F$16="Historical",$L$17,IF($F$16="Forward looking",$L$18,AVERAGE($L$17:$L$18)))</f>
        <v>0.84570312546446125</v>
      </c>
      <c r="I17" s="82" t="s">
        <v>208</v>
      </c>
      <c r="J17" s="83"/>
      <c r="K17" s="80"/>
      <c r="L17" s="150">
        <v>0.89771755224202798</v>
      </c>
      <c r="M17" s="33" t="s">
        <v>207</v>
      </c>
    </row>
    <row r="18" spans="3:13" ht="26" x14ac:dyDescent="0.3">
      <c r="C18" s="30" t="s">
        <v>202</v>
      </c>
      <c r="D18" s="84" t="s">
        <v>143</v>
      </c>
      <c r="E18" s="84" t="s">
        <v>204</v>
      </c>
      <c r="F18" s="84" t="s">
        <v>307</v>
      </c>
      <c r="G18" s="84" t="s">
        <v>302</v>
      </c>
      <c r="I18" s="82" t="s">
        <v>209</v>
      </c>
      <c r="J18" s="83"/>
      <c r="K18" s="80"/>
      <c r="L18" s="150">
        <f>'Modelled costs'!$AJ$27</f>
        <v>0.79368869868689451</v>
      </c>
      <c r="M18" s="33" t="s">
        <v>207</v>
      </c>
    </row>
    <row r="19" spans="3:13" x14ac:dyDescent="0.3">
      <c r="C19" s="30">
        <v>2020</v>
      </c>
      <c r="D19" s="160" t="str">
        <f t="shared" ref="D19" si="0">IF($F$16="Historical", M26, "0")</f>
        <v>0</v>
      </c>
      <c r="E19" s="163" t="str">
        <f>IF($F$16="Historical", L26, "0")</f>
        <v>0</v>
      </c>
      <c r="F19" s="161" t="str">
        <f t="shared" ref="F19:F24" si="1">IF($F$16="Historical", E19-D19, "0")</f>
        <v>0</v>
      </c>
      <c r="G19" s="161" t="str">
        <f>IF($F$16="Historical", F19, "0")</f>
        <v>0</v>
      </c>
    </row>
    <row r="20" spans="3:13" x14ac:dyDescent="0.3">
      <c r="C20" s="30">
        <v>2021</v>
      </c>
      <c r="D20" s="160" t="str">
        <f t="shared" ref="D20:D24" si="2">IF($F$16="Historical", M27, "0")</f>
        <v>0</v>
      </c>
      <c r="E20" s="163" t="str">
        <f>IF($F$16="Historical", L27, "0")</f>
        <v>0</v>
      </c>
      <c r="F20" s="161" t="str">
        <f t="shared" si="1"/>
        <v>0</v>
      </c>
      <c r="G20" s="161" t="str">
        <f>IF($F$16="Historical", (1+F19)*(1+F20)-1, "0")</f>
        <v>0</v>
      </c>
    </row>
    <row r="21" spans="3:13" x14ac:dyDescent="0.3">
      <c r="C21" s="30">
        <v>2022</v>
      </c>
      <c r="D21" s="160" t="str">
        <f t="shared" si="2"/>
        <v>0</v>
      </c>
      <c r="E21" s="163" t="str">
        <f t="shared" ref="E21:E24" si="3">IF($F$16="Historical", L28, "0")</f>
        <v>0</v>
      </c>
      <c r="F21" s="161" t="str">
        <f t="shared" si="1"/>
        <v>0</v>
      </c>
      <c r="G21" s="161" t="str">
        <f>IF($F$16="Historical", (1+F19)*(1+F20)*(1+F21)-1, "0")</f>
        <v>0</v>
      </c>
    </row>
    <row r="22" spans="3:13" x14ac:dyDescent="0.3">
      <c r="C22" s="30">
        <v>2023</v>
      </c>
      <c r="D22" s="160" t="str">
        <f t="shared" si="2"/>
        <v>0</v>
      </c>
      <c r="E22" s="163" t="str">
        <f t="shared" si="3"/>
        <v>0</v>
      </c>
      <c r="F22" s="161" t="str">
        <f t="shared" si="1"/>
        <v>0</v>
      </c>
      <c r="G22" s="161" t="str">
        <f>IF($F$16="Historical", (1+F19)*(1+F20)*(1+F21)*(1+F22)-1, "0")</f>
        <v>0</v>
      </c>
    </row>
    <row r="23" spans="3:13" x14ac:dyDescent="0.3">
      <c r="C23" s="30">
        <v>2024</v>
      </c>
      <c r="D23" s="160" t="str">
        <f t="shared" si="2"/>
        <v>0</v>
      </c>
      <c r="E23" s="163" t="str">
        <f t="shared" si="3"/>
        <v>0</v>
      </c>
      <c r="F23" s="161" t="str">
        <f t="shared" si="1"/>
        <v>0</v>
      </c>
      <c r="G23" s="161" t="str">
        <f>IF($F$16="Historical", (1+F19)*(1+F20)*(1+F21)*(1+F22)*(1+F23)-1, "0")</f>
        <v>0</v>
      </c>
    </row>
    <row r="24" spans="3:13" x14ac:dyDescent="0.3">
      <c r="C24" s="30">
        <v>2025</v>
      </c>
      <c r="D24" s="160" t="str">
        <f t="shared" si="2"/>
        <v>0</v>
      </c>
      <c r="E24" s="163" t="str">
        <f t="shared" si="3"/>
        <v>0</v>
      </c>
      <c r="F24" s="161" t="str">
        <f t="shared" si="1"/>
        <v>0</v>
      </c>
      <c r="G24" s="161" t="str">
        <f>IF($F$16="Historical", (1+F19)*(1+F20)*(1+F21)*(1+F22)*(1+F23)*(1+F24)-1, "0")</f>
        <v>0</v>
      </c>
    </row>
    <row r="25" spans="3:13" ht="39" x14ac:dyDescent="0.3">
      <c r="K25" s="29" t="s">
        <v>202</v>
      </c>
      <c r="L25" s="122" t="s">
        <v>204</v>
      </c>
      <c r="M25" s="122" t="s">
        <v>210</v>
      </c>
    </row>
    <row r="26" spans="3:13" x14ac:dyDescent="0.3">
      <c r="C26" s="32" t="s">
        <v>212</v>
      </c>
      <c r="K26" s="30">
        <v>2020</v>
      </c>
      <c r="L26" s="162">
        <v>3.7000000000000002E-3</v>
      </c>
      <c r="M26" s="164">
        <v>1.0999999999999999E-2</v>
      </c>
    </row>
    <row r="27" spans="3:13" x14ac:dyDescent="0.3">
      <c r="C27" s="92" t="s">
        <v>37</v>
      </c>
      <c r="D27" s="93" t="s">
        <v>225</v>
      </c>
      <c r="K27" s="30">
        <v>2021</v>
      </c>
      <c r="L27" s="162">
        <v>4.4000000000000003E-3</v>
      </c>
      <c r="M27" s="164">
        <v>1.0999999999999999E-2</v>
      </c>
    </row>
    <row r="28" spans="3:13" x14ac:dyDescent="0.3">
      <c r="C28" s="30" t="s">
        <v>148</v>
      </c>
      <c r="D28" s="134">
        <f>SUMIF('BP costs'!$B$7:$B$61,"SVE",'BP costs'!$E$7:$E$61)/(SUMIF('BP costs'!$B$7:$B$61,"SVE",'BP costs'!$E$7:$E$61)+SUMIF('BP costs'!$B$7:$B$61,"HDD",'BP costs'!$E$7:$E$61))</f>
        <v>0.97149979805053721</v>
      </c>
      <c r="K28" s="30">
        <v>2022</v>
      </c>
      <c r="L28" s="162">
        <v>4.3E-3</v>
      </c>
      <c r="M28" s="164">
        <v>1.0999999999999999E-2</v>
      </c>
    </row>
    <row r="29" spans="3:13" x14ac:dyDescent="0.3">
      <c r="C29" s="30" t="s">
        <v>149</v>
      </c>
      <c r="D29" s="134">
        <f>1-D28</f>
        <v>2.8500201949462789E-2</v>
      </c>
      <c r="K29" s="30">
        <v>2023</v>
      </c>
      <c r="L29" s="162">
        <v>4.4999999999999997E-3</v>
      </c>
      <c r="M29" s="164">
        <v>1.0999999999999999E-2</v>
      </c>
    </row>
    <row r="30" spans="3:13" x14ac:dyDescent="0.3">
      <c r="K30" s="30">
        <v>2024</v>
      </c>
      <c r="L30" s="162">
        <v>5.0000000000000001E-3</v>
      </c>
      <c r="M30" s="164">
        <v>1.0999999999999999E-2</v>
      </c>
    </row>
    <row r="31" spans="3:13" x14ac:dyDescent="0.3">
      <c r="K31" s="30">
        <v>2025</v>
      </c>
      <c r="L31" s="162">
        <v>5.4000000000000003E-3</v>
      </c>
      <c r="M31" s="164">
        <v>1.0999999999999999E-2</v>
      </c>
    </row>
  </sheetData>
  <conditionalFormatting sqref="I7">
    <cfRule type="expression" dxfId="22" priority="7">
      <formula>I7="error"</formula>
    </cfRule>
    <cfRule type="expression" dxfId="21" priority="8">
      <formula>I7="OK"</formula>
    </cfRule>
  </conditionalFormatting>
  <conditionalFormatting sqref="D7:D13">
    <cfRule type="cellIs" dxfId="20" priority="4" operator="equal">
      <formula>0</formula>
    </cfRule>
  </conditionalFormatting>
  <conditionalFormatting sqref="H7:H8">
    <cfRule type="cellIs" dxfId="19" priority="3" operator="equal">
      <formula>0</formula>
    </cfRule>
  </conditionalFormatting>
  <conditionalFormatting sqref="I8">
    <cfRule type="expression" dxfId="18" priority="1">
      <formula>I8="error"</formula>
    </cfRule>
    <cfRule type="expression" dxfId="17" priority="2">
      <formula>I8="OK"</formula>
    </cfRule>
  </conditionalFormatting>
  <dataValidations count="1">
    <dataValidation type="list" allowBlank="1" showInputMessage="1" showErrorMessage="1" sqref="F16">
      <formula1>"Forward looking, Historical, Triangulation"</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4"/>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ColWidth="9" defaultRowHeight="13" x14ac:dyDescent="0.3"/>
  <cols>
    <col min="1" max="3" width="9" style="16"/>
    <col min="4" max="7" width="9.5" style="16" bestFit="1" customWidth="1"/>
    <col min="8" max="8" width="14.08203125" style="16" customWidth="1"/>
    <col min="9" max="16384" width="9" style="16"/>
  </cols>
  <sheetData>
    <row r="1" spans="1:12" ht="15.5" x14ac:dyDescent="0.35">
      <c r="A1" s="96" t="s">
        <v>221</v>
      </c>
    </row>
    <row r="2" spans="1:12" x14ac:dyDescent="0.3">
      <c r="A2" s="101"/>
    </row>
    <row r="4" spans="1:12" ht="26.65" customHeight="1" x14ac:dyDescent="0.3">
      <c r="B4" s="17">
        <f>COUNTA(B7:B91)</f>
        <v>85</v>
      </c>
      <c r="D4" s="122" t="s">
        <v>260</v>
      </c>
      <c r="E4" s="122" t="s">
        <v>262</v>
      </c>
      <c r="F4" s="122" t="s">
        <v>250</v>
      </c>
      <c r="G4" s="122" t="s">
        <v>264</v>
      </c>
      <c r="H4" s="122" t="s">
        <v>268</v>
      </c>
    </row>
    <row r="5" spans="1:12" x14ac:dyDescent="0.3">
      <c r="D5" s="29" t="s">
        <v>225</v>
      </c>
      <c r="E5" s="29" t="s">
        <v>225</v>
      </c>
      <c r="F5" s="44" t="s">
        <v>232</v>
      </c>
      <c r="G5" s="44" t="s">
        <v>233</v>
      </c>
      <c r="H5" s="44" t="s">
        <v>236</v>
      </c>
      <c r="I5" s="86"/>
      <c r="J5" s="86"/>
      <c r="K5" s="86"/>
      <c r="L5" s="86"/>
    </row>
    <row r="6" spans="1:12" ht="65" x14ac:dyDescent="0.3">
      <c r="A6" s="102" t="s">
        <v>222</v>
      </c>
      <c r="B6" s="102" t="s">
        <v>37</v>
      </c>
      <c r="C6" s="103" t="s">
        <v>202</v>
      </c>
      <c r="D6" s="43" t="s">
        <v>333</v>
      </c>
      <c r="E6" s="43" t="s">
        <v>335</v>
      </c>
      <c r="F6" s="43" t="s">
        <v>334</v>
      </c>
      <c r="G6" s="43" t="s">
        <v>336</v>
      </c>
      <c r="H6" s="43" t="s">
        <v>337</v>
      </c>
      <c r="I6" s="86"/>
      <c r="J6" s="86"/>
      <c r="K6" s="86"/>
      <c r="L6" s="86"/>
    </row>
    <row r="7" spans="1:12" x14ac:dyDescent="0.3">
      <c r="A7" s="104" t="s">
        <v>56</v>
      </c>
      <c r="B7" s="17" t="s">
        <v>19</v>
      </c>
      <c r="C7" s="17" t="s">
        <v>47</v>
      </c>
      <c r="D7" s="48">
        <f>INDEX(Inputs!$F$2:$S$544,MATCH('BP costs'!$B7&amp;'BP costs'!D$4,Inputs!$S$2:$S$544,0),MATCH('BP costs'!$C7,Inputs!$F$2:$S$2,0))</f>
        <v>77.373546324000003</v>
      </c>
      <c r="E7" s="48">
        <f>INDEX(Inputs!$F$2:$S$544,MATCH('BP costs'!$B7&amp;'BP costs'!E$4,Inputs!$S$2:$S$544,0),MATCH('BP costs'!$C7,Inputs!$F$2:$S$2,0))</f>
        <v>72.554880674493958</v>
      </c>
      <c r="F7" s="48">
        <f>INDEX(Inputs!$F$2:$S$544,MATCH('BP costs'!$B7&amp;'BP costs'!F$4,Inputs!$S$2:$S$544,0),MATCH('BP costs'!$C7,Inputs!$F$2:$S$2,0))</f>
        <v>28.180539502066679</v>
      </c>
      <c r="G7" s="48">
        <f>INDEX(Inputs!$F$2:$S$544,MATCH('BP costs'!$B7&amp;'BP costs'!G$4,Inputs!$S$2:$S$544,0),MATCH('BP costs'!$C7,Inputs!$F$2:$S$2,0))</f>
        <v>44.374341172427279</v>
      </c>
      <c r="H7" s="48">
        <f>INDEX(Inputs!$F$2:$S$544,MATCH('BP costs'!$B7&amp;'BP costs'!H$4,Inputs!$S$2:$S$544,0),MATCH('BP costs'!$C7,Inputs!$F$2:$S$2,0))</f>
        <v>73.821743167532304</v>
      </c>
      <c r="I7" s="86"/>
      <c r="J7" s="86"/>
      <c r="K7" s="86"/>
      <c r="L7" s="86"/>
    </row>
    <row r="8" spans="1:12" x14ac:dyDescent="0.3">
      <c r="A8" s="104" t="s">
        <v>57</v>
      </c>
      <c r="B8" s="17" t="s">
        <v>19</v>
      </c>
      <c r="C8" s="17" t="s">
        <v>48</v>
      </c>
      <c r="D8" s="48">
        <f>INDEX(Inputs!$F$2:$S$544,MATCH('BP costs'!$B8&amp;'BP costs'!D$4,Inputs!$S$2:$S$544,0),MATCH('BP costs'!$C8,Inputs!$F$2:$S$2,0))</f>
        <v>79.720189504000004</v>
      </c>
      <c r="E8" s="48">
        <f>INDEX(Inputs!$F$2:$S$544,MATCH('BP costs'!$B8&amp;'BP costs'!E$4,Inputs!$S$2:$S$544,0),MATCH('BP costs'!$C8,Inputs!$F$2:$S$2,0))</f>
        <v>73.289587974432578</v>
      </c>
      <c r="F8" s="48">
        <f>INDEX(Inputs!$F$2:$S$544,MATCH('BP costs'!$B8&amp;'BP costs'!F$4,Inputs!$S$2:$S$544,0),MATCH('BP costs'!$C8,Inputs!$F$2:$S$2,0))</f>
        <v>28.250489803301683</v>
      </c>
      <c r="G8" s="48">
        <f>INDEX(Inputs!$F$2:$S$544,MATCH('BP costs'!$B8&amp;'BP costs'!G$4,Inputs!$S$2:$S$544,0),MATCH('BP costs'!$C8,Inputs!$F$2:$S$2,0))</f>
        <v>45.039098171130888</v>
      </c>
      <c r="H8" s="48">
        <f>INDEX(Inputs!$F$2:$S$544,MATCH('BP costs'!$B8&amp;'BP costs'!H$4,Inputs!$S$2:$S$544,0),MATCH('BP costs'!$C8,Inputs!$F$2:$S$2,0))</f>
        <v>74.568383440257719</v>
      </c>
      <c r="I8" s="86"/>
      <c r="J8" s="86"/>
      <c r="K8" s="86"/>
      <c r="L8" s="86"/>
    </row>
    <row r="9" spans="1:12" x14ac:dyDescent="0.3">
      <c r="A9" s="104" t="s">
        <v>58</v>
      </c>
      <c r="B9" s="17" t="s">
        <v>19</v>
      </c>
      <c r="C9" s="17" t="s">
        <v>49</v>
      </c>
      <c r="D9" s="48">
        <f>INDEX(Inputs!$F$2:$S$544,MATCH('BP costs'!$B9&amp;'BP costs'!D$4,Inputs!$S$2:$S$544,0),MATCH('BP costs'!$C9,Inputs!$F$2:$S$2,0))</f>
        <v>81.669398114999979</v>
      </c>
      <c r="E9" s="48">
        <f>INDEX(Inputs!$F$2:$S$544,MATCH('BP costs'!$B9&amp;'BP costs'!E$4,Inputs!$S$2:$S$544,0),MATCH('BP costs'!$C9,Inputs!$F$2:$S$2,0))</f>
        <v>73.609376810398388</v>
      </c>
      <c r="F9" s="48">
        <f>INDEX(Inputs!$F$2:$S$544,MATCH('BP costs'!$B9&amp;'BP costs'!F$4,Inputs!$S$2:$S$544,0),MATCH('BP costs'!$C9,Inputs!$F$2:$S$2,0))</f>
        <v>28.776706674738897</v>
      </c>
      <c r="G9" s="48">
        <f>INDEX(Inputs!$F$2:$S$544,MATCH('BP costs'!$B9&amp;'BP costs'!G$4,Inputs!$S$2:$S$544,0),MATCH('BP costs'!$C9,Inputs!$F$2:$S$2,0))</f>
        <v>44.832670135659484</v>
      </c>
      <c r="H9" s="48">
        <f>INDEX(Inputs!$F$2:$S$544,MATCH('BP costs'!$B9&amp;'BP costs'!H$4,Inputs!$S$2:$S$544,0),MATCH('BP costs'!$C9,Inputs!$F$2:$S$2,0))</f>
        <v>74.900952840146644</v>
      </c>
      <c r="I9" s="86"/>
      <c r="J9" s="86"/>
      <c r="K9" s="86"/>
      <c r="L9" s="86"/>
    </row>
    <row r="10" spans="1:12" x14ac:dyDescent="0.3">
      <c r="A10" s="104" t="s">
        <v>59</v>
      </c>
      <c r="B10" s="17" t="s">
        <v>19</v>
      </c>
      <c r="C10" s="17" t="s">
        <v>50</v>
      </c>
      <c r="D10" s="48">
        <f>INDEX(Inputs!$F$2:$S$544,MATCH('BP costs'!$B10&amp;'BP costs'!D$4,Inputs!$S$2:$S$544,0),MATCH('BP costs'!$C10,Inputs!$F$2:$S$2,0))</f>
        <v>83.52165006499996</v>
      </c>
      <c r="E10" s="48">
        <f>INDEX(Inputs!$F$2:$S$544,MATCH('BP costs'!$B10&amp;'BP costs'!E$4,Inputs!$S$2:$S$544,0),MATCH('BP costs'!$C10,Inputs!$F$2:$S$2,0))</f>
        <v>73.802773003965413</v>
      </c>
      <c r="F10" s="48">
        <f>INDEX(Inputs!$F$2:$S$544,MATCH('BP costs'!$B10&amp;'BP costs'!F$4,Inputs!$S$2:$S$544,0),MATCH('BP costs'!$C10,Inputs!$F$2:$S$2,0))</f>
        <v>29.549680136507586</v>
      </c>
      <c r="G10" s="48">
        <f>INDEX(Inputs!$F$2:$S$544,MATCH('BP costs'!$B10&amp;'BP costs'!G$4,Inputs!$S$2:$S$544,0),MATCH('BP costs'!$C10,Inputs!$F$2:$S$2,0))</f>
        <v>44.253092867457823</v>
      </c>
      <c r="H10" s="48">
        <f>INDEX(Inputs!$F$2:$S$544,MATCH('BP costs'!$B10&amp;'BP costs'!H$4,Inputs!$S$2:$S$544,0),MATCH('BP costs'!$C10,Inputs!$F$2:$S$2,0))</f>
        <v>75.10702038017358</v>
      </c>
      <c r="I10" s="86"/>
      <c r="J10" s="86"/>
      <c r="K10" s="86"/>
      <c r="L10" s="86"/>
    </row>
    <row r="11" spans="1:12" x14ac:dyDescent="0.3">
      <c r="A11" s="104" t="s">
        <v>60</v>
      </c>
      <c r="B11" s="17" t="s">
        <v>19</v>
      </c>
      <c r="C11" s="17" t="s">
        <v>51</v>
      </c>
      <c r="D11" s="48">
        <f>INDEX(Inputs!$F$2:$S$544,MATCH('BP costs'!$B11&amp;'BP costs'!D$4,Inputs!$S$2:$S$544,0),MATCH('BP costs'!$C11,Inputs!$F$2:$S$2,0))</f>
        <v>85.296470705000047</v>
      </c>
      <c r="E11" s="48">
        <f>INDEX(Inputs!$F$2:$S$544,MATCH('BP costs'!$B11&amp;'BP costs'!E$4,Inputs!$S$2:$S$544,0),MATCH('BP costs'!$C11,Inputs!$F$2:$S$2,0))</f>
        <v>73.893205083169377</v>
      </c>
      <c r="F11" s="48">
        <f>INDEX(Inputs!$F$2:$S$544,MATCH('BP costs'!$B11&amp;'BP costs'!F$4,Inputs!$S$2:$S$544,0),MATCH('BP costs'!$C11,Inputs!$F$2:$S$2,0))</f>
        <v>30.049315562188745</v>
      </c>
      <c r="G11" s="48">
        <f>INDEX(Inputs!$F$2:$S$544,MATCH('BP costs'!$B11&amp;'BP costs'!G$4,Inputs!$S$2:$S$544,0),MATCH('BP costs'!$C11,Inputs!$F$2:$S$2,0))</f>
        <v>43.843889520980625</v>
      </c>
      <c r="H11" s="48">
        <f>INDEX(Inputs!$F$2:$S$544,MATCH('BP costs'!$B11&amp;'BP costs'!H$4,Inputs!$S$2:$S$544,0),MATCH('BP costs'!$C11,Inputs!$F$2:$S$2,0))</f>
        <v>75.209996631495798</v>
      </c>
      <c r="I11" s="86"/>
      <c r="J11" s="86"/>
      <c r="K11" s="86"/>
      <c r="L11" s="86"/>
    </row>
    <row r="12" spans="1:12" x14ac:dyDescent="0.3">
      <c r="A12" s="104" t="s">
        <v>61</v>
      </c>
      <c r="B12" s="17" t="s">
        <v>20</v>
      </c>
      <c r="C12" s="17" t="s">
        <v>47</v>
      </c>
      <c r="D12" s="48">
        <f>INDEX(Inputs!$F$2:$S$544,MATCH('BP costs'!$B12&amp;'BP costs'!D$4,Inputs!$S$2:$S$544,0),MATCH('BP costs'!$C12,Inputs!$F$2:$S$2,0))</f>
        <v>54.445</v>
      </c>
      <c r="E12" s="48">
        <f>INDEX(Inputs!$F$2:$S$544,MATCH('BP costs'!$B12&amp;'BP costs'!E$4,Inputs!$S$2:$S$544,0),MATCH('BP costs'!$C12,Inputs!$F$2:$S$2,0))</f>
        <v>51.264054359283556</v>
      </c>
      <c r="F12" s="48">
        <f>INDEX(Inputs!$F$2:$S$544,MATCH('BP costs'!$B12&amp;'BP costs'!F$4,Inputs!$S$2:$S$544,0),MATCH('BP costs'!$C12,Inputs!$F$2:$S$2,0))</f>
        <v>21.115762385183082</v>
      </c>
      <c r="G12" s="48">
        <f>INDEX(Inputs!$F$2:$S$544,MATCH('BP costs'!$B12&amp;'BP costs'!G$4,Inputs!$S$2:$S$544,0),MATCH('BP costs'!$C12,Inputs!$F$2:$S$2,0))</f>
        <v>30.148291974100477</v>
      </c>
      <c r="H12" s="48">
        <f>INDEX(Inputs!$F$2:$S$544,MATCH('BP costs'!$B12&amp;'BP costs'!H$4,Inputs!$S$2:$S$544,0),MATCH('BP costs'!$C12,Inputs!$F$2:$S$2,0))</f>
        <v>53.435326456859229</v>
      </c>
      <c r="I12" s="86"/>
      <c r="J12" s="86"/>
      <c r="K12" s="86"/>
      <c r="L12" s="86"/>
    </row>
    <row r="13" spans="1:12" x14ac:dyDescent="0.3">
      <c r="A13" s="104" t="s">
        <v>62</v>
      </c>
      <c r="B13" s="17" t="s">
        <v>20</v>
      </c>
      <c r="C13" s="17" t="s">
        <v>48</v>
      </c>
      <c r="D13" s="48">
        <f>INDEX(Inputs!$F$2:$S$544,MATCH('BP costs'!$B13&amp;'BP costs'!D$4,Inputs!$S$2:$S$544,0),MATCH('BP costs'!$C13,Inputs!$F$2:$S$2,0))</f>
        <v>55.221000000000004</v>
      </c>
      <c r="E13" s="48">
        <f>INDEX(Inputs!$F$2:$S$544,MATCH('BP costs'!$B13&amp;'BP costs'!E$4,Inputs!$S$2:$S$544,0),MATCH('BP costs'!$C13,Inputs!$F$2:$S$2,0))</f>
        <v>50.981383877159622</v>
      </c>
      <c r="F13" s="48">
        <f>INDEX(Inputs!$F$2:$S$544,MATCH('BP costs'!$B13&amp;'BP costs'!F$4,Inputs!$S$2:$S$544,0),MATCH('BP costs'!$C13,Inputs!$F$2:$S$2,0))</f>
        <v>20.568520153550988</v>
      </c>
      <c r="G13" s="48">
        <f>INDEX(Inputs!$F$2:$S$544,MATCH('BP costs'!$B13&amp;'BP costs'!G$4,Inputs!$S$2:$S$544,0),MATCH('BP costs'!$C13,Inputs!$F$2:$S$2,0))</f>
        <v>30.412863723608638</v>
      </c>
      <c r="H13" s="48">
        <f>INDEX(Inputs!$F$2:$S$544,MATCH('BP costs'!$B13&amp;'BP costs'!H$4,Inputs!$S$2:$S$544,0),MATCH('BP costs'!$C13,Inputs!$F$2:$S$2,0))</f>
        <v>53.563642994242173</v>
      </c>
      <c r="I13" s="86"/>
      <c r="J13" s="86"/>
      <c r="K13" s="86"/>
      <c r="L13" s="86"/>
    </row>
    <row r="14" spans="1:12" x14ac:dyDescent="0.3">
      <c r="A14" s="104" t="s">
        <v>63</v>
      </c>
      <c r="B14" s="17" t="s">
        <v>20</v>
      </c>
      <c r="C14" s="17" t="s">
        <v>49</v>
      </c>
      <c r="D14" s="48">
        <f>INDEX(Inputs!$F$2:$S$544,MATCH('BP costs'!$B14&amp;'BP costs'!D$4,Inputs!$S$2:$S$544,0),MATCH('BP costs'!$C14,Inputs!$F$2:$S$2,0))</f>
        <v>55.920999999999992</v>
      </c>
      <c r="E14" s="48">
        <f>INDEX(Inputs!$F$2:$S$544,MATCH('BP costs'!$B14&amp;'BP costs'!E$4,Inputs!$S$2:$S$544,0),MATCH('BP costs'!$C14,Inputs!$F$2:$S$2,0))</f>
        <v>50.611378347083665</v>
      </c>
      <c r="F14" s="48">
        <f>INDEX(Inputs!$F$2:$S$544,MATCH('BP costs'!$B14&amp;'BP costs'!F$4,Inputs!$S$2:$S$544,0),MATCH('BP costs'!$C14,Inputs!$F$2:$S$2,0))</f>
        <v>19.995300188160432</v>
      </c>
      <c r="G14" s="48">
        <f>INDEX(Inputs!$F$2:$S$544,MATCH('BP costs'!$B14&amp;'BP costs'!G$4,Inputs!$S$2:$S$544,0),MATCH('BP costs'!$C14,Inputs!$F$2:$S$2,0))</f>
        <v>30.616078158923226</v>
      </c>
      <c r="H14" s="48">
        <f>INDEX(Inputs!$F$2:$S$544,MATCH('BP costs'!$B14&amp;'BP costs'!H$4,Inputs!$S$2:$S$544,0),MATCH('BP costs'!$C14,Inputs!$F$2:$S$2,0))</f>
        <v>53.168148501954136</v>
      </c>
      <c r="I14" s="86"/>
      <c r="J14" s="86"/>
      <c r="K14" s="86"/>
      <c r="L14" s="86"/>
    </row>
    <row r="15" spans="1:12" x14ac:dyDescent="0.3">
      <c r="A15" s="104" t="s">
        <v>64</v>
      </c>
      <c r="B15" s="17" t="s">
        <v>20</v>
      </c>
      <c r="C15" s="17" t="s">
        <v>50</v>
      </c>
      <c r="D15" s="48">
        <f>INDEX(Inputs!$F$2:$S$544,MATCH('BP costs'!$B15&amp;'BP costs'!D$4,Inputs!$S$2:$S$544,0),MATCH('BP costs'!$C15,Inputs!$F$2:$S$2,0))</f>
        <v>56.63900000000001</v>
      </c>
      <c r="E15" s="48">
        <f>INDEX(Inputs!$F$2:$S$544,MATCH('BP costs'!$B15&amp;'BP costs'!E$4,Inputs!$S$2:$S$544,0),MATCH('BP costs'!$C15,Inputs!$F$2:$S$2,0))</f>
        <v>50.257367248474701</v>
      </c>
      <c r="F15" s="48">
        <f>INDEX(Inputs!$F$2:$S$544,MATCH('BP costs'!$B15&amp;'BP costs'!F$4,Inputs!$S$2:$S$544,0),MATCH('BP costs'!$C15,Inputs!$F$2:$S$2,0))</f>
        <v>19.447566482191068</v>
      </c>
      <c r="G15" s="48">
        <f>INDEX(Inputs!$F$2:$S$544,MATCH('BP costs'!$B15&amp;'BP costs'!G$4,Inputs!$S$2:$S$544,0),MATCH('BP costs'!$C15,Inputs!$F$2:$S$2,0))</f>
        <v>30.80980076628363</v>
      </c>
      <c r="H15" s="48">
        <f>INDEX(Inputs!$F$2:$S$544,MATCH('BP costs'!$B15&amp;'BP costs'!H$4,Inputs!$S$2:$S$544,0),MATCH('BP costs'!$C15,Inputs!$F$2:$S$2,0))</f>
        <v>52.787139208173869</v>
      </c>
      <c r="I15" s="86"/>
      <c r="J15" s="86"/>
      <c r="K15" s="86"/>
      <c r="L15" s="86"/>
    </row>
    <row r="16" spans="1:12" x14ac:dyDescent="0.3">
      <c r="A16" s="104" t="s">
        <v>65</v>
      </c>
      <c r="B16" s="17" t="s">
        <v>20</v>
      </c>
      <c r="C16" s="17" t="s">
        <v>51</v>
      </c>
      <c r="D16" s="48">
        <f>INDEX(Inputs!$F$2:$S$544,MATCH('BP costs'!$B16&amp;'BP costs'!D$4,Inputs!$S$2:$S$544,0),MATCH('BP costs'!$C16,Inputs!$F$2:$S$2,0))</f>
        <v>57.368000000000002</v>
      </c>
      <c r="E16" s="48">
        <f>INDEX(Inputs!$F$2:$S$544,MATCH('BP costs'!$B16&amp;'BP costs'!E$4,Inputs!$S$2:$S$544,0),MATCH('BP costs'!$C16,Inputs!$F$2:$S$2,0))</f>
        <v>49.902219378173768</v>
      </c>
      <c r="F16" s="48">
        <f>INDEX(Inputs!$F$2:$S$544,MATCH('BP costs'!$B16&amp;'BP costs'!F$4,Inputs!$S$2:$S$544,0),MATCH('BP costs'!$C16,Inputs!$F$2:$S$2,0))</f>
        <v>18.91687987758236</v>
      </c>
      <c r="G16" s="48">
        <f>INDEX(Inputs!$F$2:$S$544,MATCH('BP costs'!$B16&amp;'BP costs'!G$4,Inputs!$S$2:$S$544,0),MATCH('BP costs'!$C16,Inputs!$F$2:$S$2,0))</f>
        <v>30.985339500591405</v>
      </c>
      <c r="H16" s="48">
        <f>INDEX(Inputs!$F$2:$S$544,MATCH('BP costs'!$B16&amp;'BP costs'!H$4,Inputs!$S$2:$S$544,0),MATCH('BP costs'!$C16,Inputs!$F$2:$S$2,0))</f>
        <v>52.406550879877891</v>
      </c>
      <c r="I16" s="86"/>
      <c r="J16" s="86"/>
      <c r="K16" s="86"/>
      <c r="L16" s="86"/>
    </row>
    <row r="17" spans="1:12" x14ac:dyDescent="0.3">
      <c r="A17" s="104" t="s">
        <v>66</v>
      </c>
      <c r="B17" s="17" t="s">
        <v>21</v>
      </c>
      <c r="C17" s="17" t="s">
        <v>47</v>
      </c>
      <c r="D17" s="48">
        <f>INDEX(Inputs!$F$2:$S$544,MATCH('BP costs'!$B17&amp;'BP costs'!D$4,Inputs!$S$2:$S$544,0),MATCH('BP costs'!$C17,Inputs!$F$2:$S$2,0))</f>
        <v>102.05038136841344</v>
      </c>
      <c r="E17" s="48">
        <f>INDEX(Inputs!$F$2:$S$544,MATCH('BP costs'!$B17&amp;'BP costs'!E$4,Inputs!$S$2:$S$544,0),MATCH('BP costs'!$C17,Inputs!$F$2:$S$2,0))</f>
        <v>95.815289559201403</v>
      </c>
      <c r="F17" s="48">
        <f>INDEX(Inputs!$F$2:$S$544,MATCH('BP costs'!$B17&amp;'BP costs'!F$4,Inputs!$S$2:$S$544,0),MATCH('BP costs'!$C17,Inputs!$F$2:$S$2,0))</f>
        <v>48.517260532415932</v>
      </c>
      <c r="G17" s="48">
        <f>INDEX(Inputs!$F$2:$S$544,MATCH('BP costs'!$B17&amp;'BP costs'!G$4,Inputs!$S$2:$S$544,0),MATCH('BP costs'!$C17,Inputs!$F$2:$S$2,0))</f>
        <v>47.298029026785471</v>
      </c>
      <c r="H17" s="48">
        <f>INDEX(Inputs!$F$2:$S$544,MATCH('BP costs'!$B17&amp;'BP costs'!H$4,Inputs!$S$2:$S$544,0),MATCH('BP costs'!$C17,Inputs!$F$2:$S$2,0))</f>
        <v>97.416110300159389</v>
      </c>
      <c r="I17" s="86"/>
      <c r="J17" s="86"/>
      <c r="K17" s="86"/>
      <c r="L17" s="86"/>
    </row>
    <row r="18" spans="1:12" x14ac:dyDescent="0.3">
      <c r="A18" s="104" t="s">
        <v>67</v>
      </c>
      <c r="B18" s="17" t="s">
        <v>21</v>
      </c>
      <c r="C18" s="17" t="s">
        <v>48</v>
      </c>
      <c r="D18" s="48">
        <f>INDEX(Inputs!$F$2:$S$544,MATCH('BP costs'!$B18&amp;'BP costs'!D$4,Inputs!$S$2:$S$544,0),MATCH('BP costs'!$C18,Inputs!$F$2:$S$2,0))</f>
        <v>101.59668043097732</v>
      </c>
      <c r="E18" s="48">
        <f>INDEX(Inputs!$F$2:$S$544,MATCH('BP costs'!$B18&amp;'BP costs'!E$4,Inputs!$S$2:$S$544,0),MATCH('BP costs'!$C18,Inputs!$F$2:$S$2,0))</f>
        <v>93.518930313652035</v>
      </c>
      <c r="F18" s="48">
        <f>INDEX(Inputs!$F$2:$S$544,MATCH('BP costs'!$B18&amp;'BP costs'!F$4,Inputs!$S$2:$S$544,0),MATCH('BP costs'!$C18,Inputs!$F$2:$S$2,0))</f>
        <v>47.148524699193615</v>
      </c>
      <c r="G18" s="48">
        <f>INDEX(Inputs!$F$2:$S$544,MATCH('BP costs'!$B18&amp;'BP costs'!G$4,Inputs!$S$2:$S$544,0),MATCH('BP costs'!$C18,Inputs!$F$2:$S$2,0))</f>
        <v>46.370405614458427</v>
      </c>
      <c r="H18" s="48">
        <f>INDEX(Inputs!$F$2:$S$544,MATCH('BP costs'!$B18&amp;'BP costs'!H$4,Inputs!$S$2:$S$544,0),MATCH('BP costs'!$C18,Inputs!$F$2:$S$2,0))</f>
        <v>94.70696211282808</v>
      </c>
      <c r="I18" s="86"/>
      <c r="J18" s="86"/>
      <c r="K18" s="86"/>
      <c r="L18" s="86"/>
    </row>
    <row r="19" spans="1:12" x14ac:dyDescent="0.3">
      <c r="A19" s="104" t="s">
        <v>68</v>
      </c>
      <c r="B19" s="17" t="s">
        <v>21</v>
      </c>
      <c r="C19" s="17" t="s">
        <v>49</v>
      </c>
      <c r="D19" s="48">
        <f>INDEX(Inputs!$F$2:$S$544,MATCH('BP costs'!$B19&amp;'BP costs'!D$4,Inputs!$S$2:$S$544,0),MATCH('BP costs'!$C19,Inputs!$F$2:$S$2,0))</f>
        <v>101.17007096173091</v>
      </c>
      <c r="E19" s="48">
        <f>INDEX(Inputs!$F$2:$S$544,MATCH('BP costs'!$B19&amp;'BP costs'!E$4,Inputs!$S$2:$S$544,0),MATCH('BP costs'!$C19,Inputs!$F$2:$S$2,0))</f>
        <v>91.300235015032769</v>
      </c>
      <c r="F19" s="48">
        <f>INDEX(Inputs!$F$2:$S$544,MATCH('BP costs'!$B19&amp;'BP costs'!F$4,Inputs!$S$2:$S$544,0),MATCH('BP costs'!$C19,Inputs!$F$2:$S$2,0))</f>
        <v>44.077418940628185</v>
      </c>
      <c r="G19" s="48">
        <f>INDEX(Inputs!$F$2:$S$544,MATCH('BP costs'!$B19&amp;'BP costs'!G$4,Inputs!$S$2:$S$544,0),MATCH('BP costs'!$C19,Inputs!$F$2:$S$2,0))</f>
        <v>47.222816074404591</v>
      </c>
      <c r="H19" s="48">
        <f>INDEX(Inputs!$F$2:$S$544,MATCH('BP costs'!$B19&amp;'BP costs'!H$4,Inputs!$S$2:$S$544,0),MATCH('BP costs'!$C19,Inputs!$F$2:$S$2,0))</f>
        <v>91.373255693509066</v>
      </c>
      <c r="I19" s="86"/>
      <c r="J19" s="86"/>
      <c r="K19" s="86"/>
      <c r="L19" s="86"/>
    </row>
    <row r="20" spans="1:12" x14ac:dyDescent="0.3">
      <c r="A20" s="104" t="s">
        <v>69</v>
      </c>
      <c r="B20" s="17" t="s">
        <v>21</v>
      </c>
      <c r="C20" s="17" t="s">
        <v>50</v>
      </c>
      <c r="D20" s="48">
        <f>INDEX(Inputs!$F$2:$S$544,MATCH('BP costs'!$B20&amp;'BP costs'!D$4,Inputs!$S$2:$S$544,0),MATCH('BP costs'!$C20,Inputs!$F$2:$S$2,0))</f>
        <v>101.32691766363035</v>
      </c>
      <c r="E20" s="48">
        <f>INDEX(Inputs!$F$2:$S$544,MATCH('BP costs'!$B20&amp;'BP costs'!E$4,Inputs!$S$2:$S$544,0),MATCH('BP costs'!$C20,Inputs!$F$2:$S$2,0))</f>
        <v>89.64880415967805</v>
      </c>
      <c r="F20" s="48">
        <f>INDEX(Inputs!$F$2:$S$544,MATCH('BP costs'!$B20&amp;'BP costs'!F$4,Inputs!$S$2:$S$544,0),MATCH('BP costs'!$C20,Inputs!$F$2:$S$2,0))</f>
        <v>43.138080220413038</v>
      </c>
      <c r="G20" s="48">
        <f>INDEX(Inputs!$F$2:$S$544,MATCH('BP costs'!$B20&amp;'BP costs'!G$4,Inputs!$S$2:$S$544,0),MATCH('BP costs'!$C20,Inputs!$F$2:$S$2,0))</f>
        <v>46.510723939265006</v>
      </c>
      <c r="H20" s="48">
        <f>INDEX(Inputs!$F$2:$S$544,MATCH('BP costs'!$B20&amp;'BP costs'!H$4,Inputs!$S$2:$S$544,0),MATCH('BP costs'!$C20,Inputs!$F$2:$S$2,0))</f>
        <v>89.712947083062531</v>
      </c>
      <c r="I20" s="86"/>
      <c r="J20" s="86"/>
      <c r="K20" s="86"/>
      <c r="L20" s="86"/>
    </row>
    <row r="21" spans="1:12" x14ac:dyDescent="0.3">
      <c r="A21" s="104" t="s">
        <v>70</v>
      </c>
      <c r="B21" s="17" t="s">
        <v>21</v>
      </c>
      <c r="C21" s="17" t="s">
        <v>51</v>
      </c>
      <c r="D21" s="48">
        <f>INDEX(Inputs!$F$2:$S$544,MATCH('BP costs'!$B21&amp;'BP costs'!D$4,Inputs!$S$2:$S$544,0),MATCH('BP costs'!$C21,Inputs!$F$2:$S$2,0))</f>
        <v>101.61421195512739</v>
      </c>
      <c r="E21" s="48">
        <f>INDEX(Inputs!$F$2:$S$544,MATCH('BP costs'!$B21&amp;'BP costs'!E$4,Inputs!$S$2:$S$544,0),MATCH('BP costs'!$C21,Inputs!$F$2:$S$2,0))</f>
        <v>88.14018358433448</v>
      </c>
      <c r="F21" s="48">
        <f>INDEX(Inputs!$F$2:$S$544,MATCH('BP costs'!$B21&amp;'BP costs'!F$4,Inputs!$S$2:$S$544,0),MATCH('BP costs'!$C21,Inputs!$F$2:$S$2,0))</f>
        <v>42.457419550816198</v>
      </c>
      <c r="G21" s="48">
        <f>INDEX(Inputs!$F$2:$S$544,MATCH('BP costs'!$B21&amp;'BP costs'!G$4,Inputs!$S$2:$S$544,0),MATCH('BP costs'!$C21,Inputs!$F$2:$S$2,0))</f>
        <v>45.682764033518282</v>
      </c>
      <c r="H21" s="48">
        <f>INDEX(Inputs!$F$2:$S$544,MATCH('BP costs'!$B21&amp;'BP costs'!H$4,Inputs!$S$2:$S$544,0),MATCH('BP costs'!$C21,Inputs!$F$2:$S$2,0))</f>
        <v>88.18203941253671</v>
      </c>
      <c r="I21" s="86"/>
      <c r="J21" s="86"/>
      <c r="K21" s="86"/>
      <c r="L21" s="86"/>
    </row>
    <row r="22" spans="1:12" x14ac:dyDescent="0.3">
      <c r="A22" s="104" t="s">
        <v>71</v>
      </c>
      <c r="B22" s="17" t="s">
        <v>22</v>
      </c>
      <c r="C22" s="17" t="s">
        <v>47</v>
      </c>
      <c r="D22" s="48">
        <f>INDEX(Inputs!$F$2:$S$544,MATCH('BP costs'!$B22&amp;'BP costs'!D$4,Inputs!$S$2:$S$544,0),MATCH('BP costs'!$C22,Inputs!$F$2:$S$2,0))</f>
        <v>49.777999999999992</v>
      </c>
      <c r="E22" s="48">
        <f>INDEX(Inputs!$F$2:$S$544,MATCH('BP costs'!$B22&amp;'BP costs'!E$4,Inputs!$S$2:$S$544,0),MATCH('BP costs'!$C22,Inputs!$F$2:$S$2,0))</f>
        <v>46.845034840845813</v>
      </c>
      <c r="F22" s="48">
        <f>INDEX(Inputs!$F$2:$S$544,MATCH('BP costs'!$B22&amp;'BP costs'!F$4,Inputs!$S$2:$S$544,0),MATCH('BP costs'!$C22,Inputs!$F$2:$S$2,0))</f>
        <v>18.119536759726092</v>
      </c>
      <c r="G22" s="48">
        <f>INDEX(Inputs!$F$2:$S$544,MATCH('BP costs'!$B22&amp;'BP costs'!G$4,Inputs!$S$2:$S$544,0),MATCH('BP costs'!$C22,Inputs!$F$2:$S$2,0))</f>
        <v>28.725498081119717</v>
      </c>
      <c r="H22" s="48">
        <f>INDEX(Inputs!$F$2:$S$544,MATCH('BP costs'!$B22&amp;'BP costs'!H$4,Inputs!$S$2:$S$544,0),MATCH('BP costs'!$C22,Inputs!$F$2:$S$2,0))</f>
        <v>48.016678305365339</v>
      </c>
      <c r="I22" s="86"/>
      <c r="J22" s="86"/>
      <c r="K22" s="86"/>
      <c r="L22" s="86"/>
    </row>
    <row r="23" spans="1:12" x14ac:dyDescent="0.3">
      <c r="A23" s="104" t="s">
        <v>72</v>
      </c>
      <c r="B23" s="17" t="s">
        <v>22</v>
      </c>
      <c r="C23" s="17" t="s">
        <v>48</v>
      </c>
      <c r="D23" s="48">
        <f>INDEX(Inputs!$F$2:$S$544,MATCH('BP costs'!$B23&amp;'BP costs'!D$4,Inputs!$S$2:$S$544,0),MATCH('BP costs'!$C23,Inputs!$F$2:$S$2,0))</f>
        <v>47.844000000000001</v>
      </c>
      <c r="E23" s="48">
        <f>INDEX(Inputs!$F$2:$S$544,MATCH('BP costs'!$B23&amp;'BP costs'!E$4,Inputs!$S$2:$S$544,0),MATCH('BP costs'!$C23,Inputs!$F$2:$S$2,0))</f>
        <v>44.141428550350703</v>
      </c>
      <c r="F23" s="48">
        <f>INDEX(Inputs!$F$2:$S$544,MATCH('BP costs'!$B23&amp;'BP costs'!F$4,Inputs!$S$2:$S$544,0),MATCH('BP costs'!$C23,Inputs!$F$2:$S$2,0))</f>
        <v>16.438170564367496</v>
      </c>
      <c r="G23" s="48">
        <f>INDEX(Inputs!$F$2:$S$544,MATCH('BP costs'!$B23&amp;'BP costs'!G$4,Inputs!$S$2:$S$544,0),MATCH('BP costs'!$C23,Inputs!$F$2:$S$2,0))</f>
        <v>27.703257985983207</v>
      </c>
      <c r="H23" s="48">
        <f>INDEX(Inputs!$F$2:$S$544,MATCH('BP costs'!$B23&amp;'BP costs'!H$4,Inputs!$S$2:$S$544,0),MATCH('BP costs'!$C23,Inputs!$F$2:$S$2,0))</f>
        <v>45.327907045370999</v>
      </c>
      <c r="I23" s="86"/>
      <c r="J23" s="86"/>
      <c r="K23" s="86"/>
      <c r="L23" s="86"/>
    </row>
    <row r="24" spans="1:12" x14ac:dyDescent="0.3">
      <c r="A24" s="104" t="s">
        <v>73</v>
      </c>
      <c r="B24" s="17" t="s">
        <v>22</v>
      </c>
      <c r="C24" s="17" t="s">
        <v>49</v>
      </c>
      <c r="D24" s="48">
        <f>INDEX(Inputs!$F$2:$S$544,MATCH('BP costs'!$B24&amp;'BP costs'!D$4,Inputs!$S$2:$S$544,0),MATCH('BP costs'!$C24,Inputs!$F$2:$S$2,0))</f>
        <v>46.491999999999997</v>
      </c>
      <c r="E24" s="48">
        <f>INDEX(Inputs!$F$2:$S$544,MATCH('BP costs'!$B24&amp;'BP costs'!E$4,Inputs!$S$2:$S$544,0),MATCH('BP costs'!$C24,Inputs!$F$2:$S$2,0))</f>
        <v>42.050260504809565</v>
      </c>
      <c r="F24" s="48">
        <f>INDEX(Inputs!$F$2:$S$544,MATCH('BP costs'!$B24&amp;'BP costs'!F$4,Inputs!$S$2:$S$544,0),MATCH('BP costs'!$C24,Inputs!$F$2:$S$2,0))</f>
        <v>14.751779851016176</v>
      </c>
      <c r="G24" s="48">
        <f>INDEX(Inputs!$F$2:$S$544,MATCH('BP costs'!$B24&amp;'BP costs'!G$4,Inputs!$S$2:$S$544,0),MATCH('BP costs'!$C24,Inputs!$F$2:$S$2,0))</f>
        <v>27.298480653793391</v>
      </c>
      <c r="H24" s="48">
        <f>INDEX(Inputs!$F$2:$S$544,MATCH('BP costs'!$B24&amp;'BP costs'!H$4,Inputs!$S$2:$S$544,0),MATCH('BP costs'!$C24,Inputs!$F$2:$S$2,0))</f>
        <v>43.256813191581834</v>
      </c>
      <c r="I24" s="86"/>
      <c r="J24" s="86"/>
      <c r="K24" s="86"/>
      <c r="L24" s="86"/>
    </row>
    <row r="25" spans="1:12" x14ac:dyDescent="0.3">
      <c r="A25" s="104" t="s">
        <v>74</v>
      </c>
      <c r="B25" s="17" t="s">
        <v>22</v>
      </c>
      <c r="C25" s="17" t="s">
        <v>50</v>
      </c>
      <c r="D25" s="48">
        <f>INDEX(Inputs!$F$2:$S$544,MATCH('BP costs'!$B25&amp;'BP costs'!D$4,Inputs!$S$2:$S$544,0),MATCH('BP costs'!$C25,Inputs!$F$2:$S$2,0))</f>
        <v>45.871000000000002</v>
      </c>
      <c r="E25" s="48">
        <f>INDEX(Inputs!$F$2:$S$544,MATCH('BP costs'!$B25&amp;'BP costs'!E$4,Inputs!$S$2:$S$544,0),MATCH('BP costs'!$C25,Inputs!$F$2:$S$2,0))</f>
        <v>40.676645110969424</v>
      </c>
      <c r="F25" s="48">
        <f>INDEX(Inputs!$F$2:$S$544,MATCH('BP costs'!$B25&amp;'BP costs'!F$4,Inputs!$S$2:$S$544,0),MATCH('BP costs'!$C25,Inputs!$F$2:$S$2,0))</f>
        <v>13.068206906332026</v>
      </c>
      <c r="G25" s="48">
        <f>INDEX(Inputs!$F$2:$S$544,MATCH('BP costs'!$B25&amp;'BP costs'!G$4,Inputs!$S$2:$S$544,0),MATCH('BP costs'!$C25,Inputs!$F$2:$S$2,0))</f>
        <v>27.608438204637395</v>
      </c>
      <c r="H25" s="48">
        <f>INDEX(Inputs!$F$2:$S$544,MATCH('BP costs'!$B25&amp;'BP costs'!H$4,Inputs!$S$2:$S$544,0),MATCH('BP costs'!$C25,Inputs!$F$2:$S$2,0))</f>
        <v>41.87820718995971</v>
      </c>
      <c r="I25" s="86"/>
      <c r="J25" s="86"/>
      <c r="K25" s="86"/>
      <c r="L25" s="86"/>
    </row>
    <row r="26" spans="1:12" x14ac:dyDescent="0.3">
      <c r="A26" s="104" t="s">
        <v>75</v>
      </c>
      <c r="B26" s="17" t="s">
        <v>22</v>
      </c>
      <c r="C26" s="17" t="s">
        <v>51</v>
      </c>
      <c r="D26" s="48">
        <f>INDEX(Inputs!$F$2:$S$544,MATCH('BP costs'!$B26&amp;'BP costs'!D$4,Inputs!$S$2:$S$544,0),MATCH('BP costs'!$C26,Inputs!$F$2:$S$2,0))</f>
        <v>45.054999999999993</v>
      </c>
      <c r="E26" s="48">
        <f>INDEX(Inputs!$F$2:$S$544,MATCH('BP costs'!$B26&amp;'BP costs'!E$4,Inputs!$S$2:$S$544,0),MATCH('BP costs'!$C26,Inputs!$F$2:$S$2,0))</f>
        <v>39.169817865832584</v>
      </c>
      <c r="F26" s="48">
        <f>INDEX(Inputs!$F$2:$S$544,MATCH('BP costs'!$B26&amp;'BP costs'!F$4,Inputs!$S$2:$S$544,0),MATCH('BP costs'!$C26,Inputs!$F$2:$S$2,0))</f>
        <v>11.39319638512343</v>
      </c>
      <c r="G26" s="48">
        <f>INDEX(Inputs!$F$2:$S$544,MATCH('BP costs'!$B26&amp;'BP costs'!G$4,Inputs!$S$2:$S$544,0),MATCH('BP costs'!$C26,Inputs!$F$2:$S$2,0))</f>
        <v>27.776621480709153</v>
      </c>
      <c r="H26" s="48">
        <f>INDEX(Inputs!$F$2:$S$544,MATCH('BP costs'!$B26&amp;'BP costs'!H$4,Inputs!$S$2:$S$544,0),MATCH('BP costs'!$C26,Inputs!$F$2:$S$2,0))</f>
        <v>40.385208063955631</v>
      </c>
      <c r="I26" s="86"/>
      <c r="J26" s="86"/>
      <c r="K26" s="86"/>
      <c r="L26" s="86"/>
    </row>
    <row r="27" spans="1:12" x14ac:dyDescent="0.3">
      <c r="A27" s="104" t="s">
        <v>81</v>
      </c>
      <c r="B27" s="17" t="s">
        <v>34</v>
      </c>
      <c r="C27" s="17" t="s">
        <v>47</v>
      </c>
      <c r="D27" s="48">
        <f>INDEX(Inputs!$F$2:$S$544,MATCH('BP costs'!$B27&amp;'BP costs'!D$4,Inputs!$S$2:$S$544,0),MATCH('BP costs'!$C27,Inputs!$F$2:$S$2,0))</f>
        <v>32.76</v>
      </c>
      <c r="E27" s="48">
        <f>INDEX(Inputs!$F$2:$S$544,MATCH('BP costs'!$B27&amp;'BP costs'!E$4,Inputs!$S$2:$S$544,0),MATCH('BP costs'!$C27,Inputs!$F$2:$S$2,0))</f>
        <v>30.771861198738261</v>
      </c>
      <c r="F27" s="48">
        <f>INDEX(Inputs!$F$2:$S$544,MATCH('BP costs'!$B27&amp;'BP costs'!F$4,Inputs!$S$2:$S$544,0),MATCH('BP costs'!$C27,Inputs!$F$2:$S$2,0))</f>
        <v>12.452459215863039</v>
      </c>
      <c r="G27" s="48">
        <f>INDEX(Inputs!$F$2:$S$544,MATCH('BP costs'!$B27&amp;'BP costs'!G$4,Inputs!$S$2:$S$544,0),MATCH('BP costs'!$C27,Inputs!$F$2:$S$2,0))</f>
        <v>18.319401982875224</v>
      </c>
      <c r="H27" s="48">
        <f>INDEX(Inputs!$F$2:$S$544,MATCH('BP costs'!$B27&amp;'BP costs'!H$4,Inputs!$S$2:$S$544,0),MATCH('BP costs'!$C27,Inputs!$F$2:$S$2,0))</f>
        <v>31.376778128286105</v>
      </c>
      <c r="I27" s="86"/>
      <c r="J27" s="86"/>
      <c r="K27" s="86"/>
      <c r="L27" s="86"/>
    </row>
    <row r="28" spans="1:12" x14ac:dyDescent="0.3">
      <c r="A28" s="104" t="s">
        <v>82</v>
      </c>
      <c r="B28" s="17" t="s">
        <v>34</v>
      </c>
      <c r="C28" s="17" t="s">
        <v>48</v>
      </c>
      <c r="D28" s="48">
        <f>INDEX(Inputs!$F$2:$S$544,MATCH('BP costs'!$B28&amp;'BP costs'!D$4,Inputs!$S$2:$S$544,0),MATCH('BP costs'!$C28,Inputs!$F$2:$S$2,0))</f>
        <v>32.249000000000002</v>
      </c>
      <c r="E28" s="48">
        <f>INDEX(Inputs!$F$2:$S$544,MATCH('BP costs'!$B28&amp;'BP costs'!E$4,Inputs!$S$2:$S$544,0),MATCH('BP costs'!$C28,Inputs!$F$2:$S$2,0))</f>
        <v>29.702901310944267</v>
      </c>
      <c r="F28" s="48">
        <f>INDEX(Inputs!$F$2:$S$544,MATCH('BP costs'!$B28&amp;'BP costs'!F$4,Inputs!$S$2:$S$544,0),MATCH('BP costs'!$C28,Inputs!$F$2:$S$2,0))</f>
        <v>11.828108116070149</v>
      </c>
      <c r="G28" s="48">
        <f>INDEX(Inputs!$F$2:$S$544,MATCH('BP costs'!$B28&amp;'BP costs'!G$4,Inputs!$S$2:$S$544,0),MATCH('BP costs'!$C28,Inputs!$F$2:$S$2,0))</f>
        <v>17.874793194874119</v>
      </c>
      <c r="H28" s="48">
        <f>INDEX(Inputs!$F$2:$S$544,MATCH('BP costs'!$B28&amp;'BP costs'!H$4,Inputs!$S$2:$S$544,0),MATCH('BP costs'!$C28,Inputs!$F$2:$S$2,0))</f>
        <v>30.300661953159615</v>
      </c>
      <c r="I28" s="86"/>
      <c r="J28" s="86"/>
      <c r="K28" s="86"/>
      <c r="L28" s="86"/>
    </row>
    <row r="29" spans="1:12" x14ac:dyDescent="0.3">
      <c r="A29" s="104" t="s">
        <v>83</v>
      </c>
      <c r="B29" s="17" t="s">
        <v>34</v>
      </c>
      <c r="C29" s="17" t="s">
        <v>49</v>
      </c>
      <c r="D29" s="48">
        <f>INDEX(Inputs!$F$2:$S$544,MATCH('BP costs'!$B29&amp;'BP costs'!D$4,Inputs!$S$2:$S$544,0),MATCH('BP costs'!$C29,Inputs!$F$2:$S$2,0))</f>
        <v>31.925000000000001</v>
      </c>
      <c r="E29" s="48">
        <f>INDEX(Inputs!$F$2:$S$544,MATCH('BP costs'!$B29&amp;'BP costs'!E$4,Inputs!$S$2:$S$544,0),MATCH('BP costs'!$C29,Inputs!$F$2:$S$2,0))</f>
        <v>28.827007220216611</v>
      </c>
      <c r="F29" s="48">
        <f>INDEX(Inputs!$F$2:$S$544,MATCH('BP costs'!$B29&amp;'BP costs'!F$4,Inputs!$S$2:$S$544,0),MATCH('BP costs'!$C29,Inputs!$F$2:$S$2,0))</f>
        <v>11.23011711191336</v>
      </c>
      <c r="G29" s="48">
        <f>INDEX(Inputs!$F$2:$S$544,MATCH('BP costs'!$B29&amp;'BP costs'!G$4,Inputs!$S$2:$S$544,0),MATCH('BP costs'!$C29,Inputs!$F$2:$S$2,0))</f>
        <v>17.596890108303253</v>
      </c>
      <c r="H29" s="48">
        <f>INDEX(Inputs!$F$2:$S$544,MATCH('BP costs'!$B29&amp;'BP costs'!H$4,Inputs!$S$2:$S$544,0),MATCH('BP costs'!$C29,Inputs!$F$2:$S$2,0))</f>
        <v>28.827007220216611</v>
      </c>
      <c r="I29" s="86"/>
      <c r="J29" s="86"/>
      <c r="K29" s="86"/>
      <c r="L29" s="86"/>
    </row>
    <row r="30" spans="1:12" x14ac:dyDescent="0.3">
      <c r="A30" s="104" t="s">
        <v>84</v>
      </c>
      <c r="B30" s="17" t="s">
        <v>34</v>
      </c>
      <c r="C30" s="17" t="s">
        <v>50</v>
      </c>
      <c r="D30" s="48">
        <f>INDEX(Inputs!$F$2:$S$544,MATCH('BP costs'!$B30&amp;'BP costs'!D$4,Inputs!$S$2:$S$544,0),MATCH('BP costs'!$C30,Inputs!$F$2:$S$2,0))</f>
        <v>31.540000000000003</v>
      </c>
      <c r="E30" s="48">
        <f>INDEX(Inputs!$F$2:$S$544,MATCH('BP costs'!$B30&amp;'BP costs'!E$4,Inputs!$S$2:$S$544,0),MATCH('BP costs'!$C30,Inputs!$F$2:$S$2,0))</f>
        <v>27.922925102647614</v>
      </c>
      <c r="F30" s="48">
        <f>INDEX(Inputs!$F$2:$S$544,MATCH('BP costs'!$B30&amp;'BP costs'!F$4,Inputs!$S$2:$S$544,0),MATCH('BP costs'!$C30,Inputs!$F$2:$S$2,0))</f>
        <v>10.65302973240833</v>
      </c>
      <c r="G30" s="48">
        <f>INDEX(Inputs!$F$2:$S$544,MATCH('BP costs'!$B30&amp;'BP costs'!G$4,Inputs!$S$2:$S$544,0),MATCH('BP costs'!$C30,Inputs!$F$2:$S$2,0))</f>
        <v>17.269895370239283</v>
      </c>
      <c r="H30" s="48">
        <f>INDEX(Inputs!$F$2:$S$544,MATCH('BP costs'!$B30&amp;'BP costs'!H$4,Inputs!$S$2:$S$544,0),MATCH('BP costs'!$C30,Inputs!$F$2:$S$2,0))</f>
        <v>27.922925102647614</v>
      </c>
      <c r="I30" s="86"/>
      <c r="J30" s="86"/>
      <c r="K30" s="86"/>
      <c r="L30" s="86"/>
    </row>
    <row r="31" spans="1:12" x14ac:dyDescent="0.3">
      <c r="A31" s="104" t="s">
        <v>85</v>
      </c>
      <c r="B31" s="17" t="s">
        <v>34</v>
      </c>
      <c r="C31" s="17" t="s">
        <v>51</v>
      </c>
      <c r="D31" s="48">
        <f>INDEX(Inputs!$F$2:$S$544,MATCH('BP costs'!$B31&amp;'BP costs'!D$4,Inputs!$S$2:$S$544,0),MATCH('BP costs'!$C31,Inputs!$F$2:$S$2,0))</f>
        <v>31.290000000000003</v>
      </c>
      <c r="E31" s="48">
        <f>INDEX(Inputs!$F$2:$S$544,MATCH('BP costs'!$B31&amp;'BP costs'!E$4,Inputs!$S$2:$S$544,0),MATCH('BP costs'!$C31,Inputs!$F$2:$S$2,0))</f>
        <v>27.155637751561581</v>
      </c>
      <c r="F31" s="48">
        <f>INDEX(Inputs!$F$2:$S$544,MATCH('BP costs'!$B31&amp;'BP costs'!F$4,Inputs!$S$2:$S$544,0),MATCH('BP costs'!$C31,Inputs!$F$2:$S$2,0))</f>
        <v>10.098529909784931</v>
      </c>
      <c r="G31" s="48">
        <f>INDEX(Inputs!$F$2:$S$544,MATCH('BP costs'!$B31&amp;'BP costs'!G$4,Inputs!$S$2:$S$544,0),MATCH('BP costs'!$C31,Inputs!$F$2:$S$2,0))</f>
        <v>17.057107841776649</v>
      </c>
      <c r="H31" s="48">
        <f>INDEX(Inputs!$F$2:$S$544,MATCH('BP costs'!$B31&amp;'BP costs'!H$4,Inputs!$S$2:$S$544,0),MATCH('BP costs'!$C31,Inputs!$F$2:$S$2,0))</f>
        <v>27.155637751561578</v>
      </c>
      <c r="I31" s="86"/>
      <c r="J31" s="86"/>
      <c r="K31" s="86"/>
      <c r="L31" s="86"/>
    </row>
    <row r="32" spans="1:12" x14ac:dyDescent="0.3">
      <c r="A32" s="104" t="s">
        <v>86</v>
      </c>
      <c r="B32" s="17" t="s">
        <v>24</v>
      </c>
      <c r="C32" s="17" t="s">
        <v>47</v>
      </c>
      <c r="D32" s="48">
        <f>INDEX(Inputs!$F$2:$S$544,MATCH('BP costs'!$B32&amp;'BP costs'!D$4,Inputs!$S$2:$S$544,0),MATCH('BP costs'!$C32,Inputs!$F$2:$S$2,0))</f>
        <v>174.32015116590318</v>
      </c>
      <c r="E32" s="48">
        <f>INDEX(Inputs!$F$2:$S$544,MATCH('BP costs'!$B32&amp;'BP costs'!E$4,Inputs!$S$2:$S$544,0),MATCH('BP costs'!$C32,Inputs!$F$2:$S$2,0))</f>
        <v>164.57185956860212</v>
      </c>
      <c r="F32" s="48">
        <f>INDEX(Inputs!$F$2:$S$544,MATCH('BP costs'!$B32&amp;'BP costs'!F$4,Inputs!$S$2:$S$544,0),MATCH('BP costs'!$C32,Inputs!$F$2:$S$2,0))</f>
        <v>62.595414705482476</v>
      </c>
      <c r="G32" s="48">
        <f>INDEX(Inputs!$F$2:$S$544,MATCH('BP costs'!$B32&amp;'BP costs'!G$4,Inputs!$S$2:$S$544,0),MATCH('BP costs'!$C32,Inputs!$F$2:$S$2,0))</f>
        <v>101.97644486311964</v>
      </c>
      <c r="H32" s="48">
        <f>INDEX(Inputs!$F$2:$S$544,MATCH('BP costs'!$B32&amp;'BP costs'!H$4,Inputs!$S$2:$S$544,0),MATCH('BP costs'!$C32,Inputs!$F$2:$S$2,0))</f>
        <v>166.56408982969049</v>
      </c>
      <c r="I32" s="86"/>
      <c r="J32" s="86"/>
      <c r="K32" s="86"/>
      <c r="L32" s="86"/>
    </row>
    <row r="33" spans="1:12" x14ac:dyDescent="0.3">
      <c r="A33" s="104" t="s">
        <v>87</v>
      </c>
      <c r="B33" s="17" t="s">
        <v>24</v>
      </c>
      <c r="C33" s="17" t="s">
        <v>48</v>
      </c>
      <c r="D33" s="48">
        <f>INDEX(Inputs!$F$2:$S$544,MATCH('BP costs'!$B33&amp;'BP costs'!D$4,Inputs!$S$2:$S$544,0),MATCH('BP costs'!$C33,Inputs!$F$2:$S$2,0))</f>
        <v>175.1896135706688</v>
      </c>
      <c r="E33" s="48">
        <f>INDEX(Inputs!$F$2:$S$544,MATCH('BP costs'!$B33&amp;'BP costs'!E$4,Inputs!$S$2:$S$544,0),MATCH('BP costs'!$C33,Inputs!$F$2:$S$2,0))</f>
        <v>162.10974806772848</v>
      </c>
      <c r="F33" s="48">
        <f>INDEX(Inputs!$F$2:$S$544,MATCH('BP costs'!$B33&amp;'BP costs'!F$4,Inputs!$S$2:$S$544,0),MATCH('BP costs'!$C33,Inputs!$F$2:$S$2,0))</f>
        <v>64.824337367121657</v>
      </c>
      <c r="G33" s="48">
        <f>INDEX(Inputs!$F$2:$S$544,MATCH('BP costs'!$B33&amp;'BP costs'!G$4,Inputs!$S$2:$S$544,0),MATCH('BP costs'!$C33,Inputs!$F$2:$S$2,0))</f>
        <v>97.285410700606818</v>
      </c>
      <c r="H33" s="48">
        <f>INDEX(Inputs!$F$2:$S$544,MATCH('BP costs'!$B33&amp;'BP costs'!H$4,Inputs!$S$2:$S$544,0),MATCH('BP costs'!$C33,Inputs!$F$2:$S$2,0))</f>
        <v>164.11075467357938</v>
      </c>
      <c r="I33" s="86"/>
      <c r="J33" s="86"/>
      <c r="K33" s="86"/>
      <c r="L33" s="86"/>
    </row>
    <row r="34" spans="1:12" x14ac:dyDescent="0.3">
      <c r="A34" s="104" t="s">
        <v>88</v>
      </c>
      <c r="B34" s="17" t="s">
        <v>24</v>
      </c>
      <c r="C34" s="17" t="s">
        <v>49</v>
      </c>
      <c r="D34" s="48">
        <f>INDEX(Inputs!$F$2:$S$544,MATCH('BP costs'!$B34&amp;'BP costs'!D$4,Inputs!$S$2:$S$544,0),MATCH('BP costs'!$C34,Inputs!$F$2:$S$2,0))</f>
        <v>173.85460080885738</v>
      </c>
      <c r="E34" s="48">
        <f>INDEX(Inputs!$F$2:$S$544,MATCH('BP costs'!$B34&amp;'BP costs'!E$4,Inputs!$S$2:$S$544,0),MATCH('BP costs'!$C34,Inputs!$F$2:$S$2,0))</f>
        <v>157.60437058254442</v>
      </c>
      <c r="F34" s="48">
        <f>INDEX(Inputs!$F$2:$S$544,MATCH('BP costs'!$B34&amp;'BP costs'!F$4,Inputs!$S$2:$S$544,0),MATCH('BP costs'!$C34,Inputs!$F$2:$S$2,0))</f>
        <v>64.801914042968605</v>
      </c>
      <c r="G34" s="48">
        <f>INDEX(Inputs!$F$2:$S$544,MATCH('BP costs'!$B34&amp;'BP costs'!G$4,Inputs!$S$2:$S$544,0),MATCH('BP costs'!$C34,Inputs!$F$2:$S$2,0))</f>
        <v>92.802456539575829</v>
      </c>
      <c r="H34" s="48">
        <f>INDEX(Inputs!$F$2:$S$544,MATCH('BP costs'!$B34&amp;'BP costs'!H$4,Inputs!$S$2:$S$544,0),MATCH('BP costs'!$C34,Inputs!$F$2:$S$2,0))</f>
        <v>159.62292987792034</v>
      </c>
      <c r="I34" s="86"/>
      <c r="J34" s="86"/>
      <c r="K34" s="86"/>
      <c r="L34" s="86"/>
    </row>
    <row r="35" spans="1:12" x14ac:dyDescent="0.3">
      <c r="A35" s="104" t="s">
        <v>89</v>
      </c>
      <c r="B35" s="17" t="s">
        <v>24</v>
      </c>
      <c r="C35" s="17" t="s">
        <v>50</v>
      </c>
      <c r="D35" s="48">
        <f>INDEX(Inputs!$F$2:$S$544,MATCH('BP costs'!$B35&amp;'BP costs'!D$4,Inputs!$S$2:$S$544,0),MATCH('BP costs'!$C35,Inputs!$F$2:$S$2,0))</f>
        <v>170.37082004075225</v>
      </c>
      <c r="E35" s="48">
        <f>INDEX(Inputs!$F$2:$S$544,MATCH('BP costs'!$B35&amp;'BP costs'!E$4,Inputs!$S$2:$S$544,0),MATCH('BP costs'!$C35,Inputs!$F$2:$S$2,0))</f>
        <v>151.41786237075962</v>
      </c>
      <c r="F35" s="48">
        <f>INDEX(Inputs!$F$2:$S$544,MATCH('BP costs'!$B35&amp;'BP costs'!F$4,Inputs!$S$2:$S$544,0),MATCH('BP costs'!$C35,Inputs!$F$2:$S$2,0))</f>
        <v>62.04857636394717</v>
      </c>
      <c r="G35" s="48">
        <f>INDEX(Inputs!$F$2:$S$544,MATCH('BP costs'!$B35&amp;'BP costs'!G$4,Inputs!$S$2:$S$544,0),MATCH('BP costs'!$C35,Inputs!$F$2:$S$2,0))</f>
        <v>89.369286006812445</v>
      </c>
      <c r="H35" s="48">
        <f>INDEX(Inputs!$F$2:$S$544,MATCH('BP costs'!$B35&amp;'BP costs'!H$4,Inputs!$S$2:$S$544,0),MATCH('BP costs'!$C35,Inputs!$F$2:$S$2,0))</f>
        <v>153.45397435566053</v>
      </c>
      <c r="I35" s="86"/>
      <c r="J35" s="86"/>
      <c r="K35" s="86"/>
      <c r="L35" s="86"/>
    </row>
    <row r="36" spans="1:12" x14ac:dyDescent="0.3">
      <c r="A36" s="104" t="s">
        <v>90</v>
      </c>
      <c r="B36" s="17" t="s">
        <v>24</v>
      </c>
      <c r="C36" s="17" t="s">
        <v>51</v>
      </c>
      <c r="D36" s="48">
        <f>INDEX(Inputs!$F$2:$S$544,MATCH('BP costs'!$B36&amp;'BP costs'!D$4,Inputs!$S$2:$S$544,0),MATCH('BP costs'!$C36,Inputs!$F$2:$S$2,0))</f>
        <v>166.83476847750413</v>
      </c>
      <c r="E36" s="48">
        <f>INDEX(Inputs!$F$2:$S$544,MATCH('BP costs'!$B36&amp;'BP costs'!E$4,Inputs!$S$2:$S$544,0),MATCH('BP costs'!$C36,Inputs!$F$2:$S$2,0))</f>
        <v>145.36782355066879</v>
      </c>
      <c r="F36" s="48">
        <f>INDEX(Inputs!$F$2:$S$544,MATCH('BP costs'!$B36&amp;'BP costs'!F$4,Inputs!$S$2:$S$544,0),MATCH('BP costs'!$C36,Inputs!$F$2:$S$2,0))</f>
        <v>59.520549628127469</v>
      </c>
      <c r="G36" s="48">
        <f>INDEX(Inputs!$F$2:$S$544,MATCH('BP costs'!$B36&amp;'BP costs'!G$4,Inputs!$S$2:$S$544,0),MATCH('BP costs'!$C36,Inputs!$F$2:$S$2,0))</f>
        <v>85.847273922541333</v>
      </c>
      <c r="H36" s="48">
        <f>INDEX(Inputs!$F$2:$S$544,MATCH('BP costs'!$B36&amp;'BP costs'!H$4,Inputs!$S$2:$S$544,0),MATCH('BP costs'!$C36,Inputs!$F$2:$S$2,0))</f>
        <v>147.41271188033221</v>
      </c>
      <c r="I36" s="86"/>
      <c r="J36" s="86"/>
      <c r="K36" s="86"/>
      <c r="L36" s="86"/>
    </row>
    <row r="37" spans="1:12" x14ac:dyDescent="0.3">
      <c r="A37" s="104" t="s">
        <v>91</v>
      </c>
      <c r="B37" s="17" t="s">
        <v>40</v>
      </c>
      <c r="C37" s="17" t="s">
        <v>47</v>
      </c>
      <c r="D37" s="48">
        <f>INDEX(Inputs!$F$2:$S$544,MATCH('BP costs'!$B37&amp;'BP costs'!D$4,Inputs!$S$2:$S$544,0),MATCH('BP costs'!$C37,Inputs!$F$2:$S$2,0))</f>
        <v>54.069000000000003</v>
      </c>
      <c r="E37" s="48">
        <f>INDEX(Inputs!$F$2:$S$544,MATCH('BP costs'!$B37&amp;'BP costs'!E$4,Inputs!$S$2:$S$544,0),MATCH('BP costs'!$C37,Inputs!$F$2:$S$2,0))</f>
        <v>50.503884512514567</v>
      </c>
      <c r="F37" s="48">
        <f>INDEX(Inputs!$F$2:$S$544,MATCH('BP costs'!$B37&amp;'BP costs'!F$4,Inputs!$S$2:$S$544,0),MATCH('BP costs'!$C37,Inputs!$F$2:$S$2,0))</f>
        <v>26.355538393628713</v>
      </c>
      <c r="G37" s="48">
        <f>INDEX(Inputs!$F$2:$S$544,MATCH('BP costs'!$B37&amp;'BP costs'!G$4,Inputs!$S$2:$S$544,0),MATCH('BP costs'!$C37,Inputs!$F$2:$S$2,0))</f>
        <v>24.148346118885851</v>
      </c>
      <c r="H37" s="48">
        <f>INDEX(Inputs!$F$2:$S$544,MATCH('BP costs'!$B37&amp;'BP costs'!H$4,Inputs!$S$2:$S$544,0),MATCH('BP costs'!$C37,Inputs!$F$2:$S$2,0))</f>
        <v>50.794378290527696</v>
      </c>
      <c r="I37" s="86"/>
      <c r="J37" s="86"/>
      <c r="K37" s="86"/>
      <c r="L37" s="86"/>
    </row>
    <row r="38" spans="1:12" x14ac:dyDescent="0.3">
      <c r="A38" s="104" t="s">
        <v>92</v>
      </c>
      <c r="B38" s="17" t="s">
        <v>40</v>
      </c>
      <c r="C38" s="17" t="s">
        <v>48</v>
      </c>
      <c r="D38" s="48">
        <f>INDEX(Inputs!$F$2:$S$544,MATCH('BP costs'!$B38&amp;'BP costs'!D$4,Inputs!$S$2:$S$544,0),MATCH('BP costs'!$C38,Inputs!$F$2:$S$2,0))</f>
        <v>54.161999999999999</v>
      </c>
      <c r="E38" s="48">
        <f>INDEX(Inputs!$F$2:$S$544,MATCH('BP costs'!$B38&amp;'BP costs'!E$4,Inputs!$S$2:$S$544,0),MATCH('BP costs'!$C38,Inputs!$F$2:$S$2,0))</f>
        <v>49.598835725222521</v>
      </c>
      <c r="F38" s="48">
        <f>INDEX(Inputs!$F$2:$S$544,MATCH('BP costs'!$B38&amp;'BP costs'!F$4,Inputs!$S$2:$S$544,0),MATCH('BP costs'!$C38,Inputs!$F$2:$S$2,0))</f>
        <v>25.163886246693064</v>
      </c>
      <c r="G38" s="48">
        <f>INDEX(Inputs!$F$2:$S$544,MATCH('BP costs'!$B38&amp;'BP costs'!G$4,Inputs!$S$2:$S$544,0),MATCH('BP costs'!$C38,Inputs!$F$2:$S$2,0))</f>
        <v>24.434949478529461</v>
      </c>
      <c r="H38" s="48">
        <f>INDEX(Inputs!$F$2:$S$544,MATCH('BP costs'!$B38&amp;'BP costs'!H$4,Inputs!$S$2:$S$544,0),MATCH('BP costs'!$C38,Inputs!$F$2:$S$2,0))</f>
        <v>49.883633884643231</v>
      </c>
      <c r="I38" s="86"/>
      <c r="J38" s="86"/>
      <c r="K38" s="86"/>
      <c r="L38" s="86"/>
    </row>
    <row r="39" spans="1:12" x14ac:dyDescent="0.3">
      <c r="A39" s="104" t="s">
        <v>93</v>
      </c>
      <c r="B39" s="17" t="s">
        <v>40</v>
      </c>
      <c r="C39" s="17" t="s">
        <v>49</v>
      </c>
      <c r="D39" s="48">
        <f>INDEX(Inputs!$F$2:$S$544,MATCH('BP costs'!$B39&amp;'BP costs'!D$4,Inputs!$S$2:$S$544,0),MATCH('BP costs'!$C39,Inputs!$F$2:$S$2,0))</f>
        <v>54.164999999999999</v>
      </c>
      <c r="E39" s="48">
        <f>INDEX(Inputs!$F$2:$S$544,MATCH('BP costs'!$B39&amp;'BP costs'!E$4,Inputs!$S$2:$S$544,0),MATCH('BP costs'!$C39,Inputs!$F$2:$S$2,0))</f>
        <v>48.628972893190181</v>
      </c>
      <c r="F39" s="48">
        <f>INDEX(Inputs!$F$2:$S$544,MATCH('BP costs'!$B39&amp;'BP costs'!F$4,Inputs!$S$2:$S$544,0),MATCH('BP costs'!$C39,Inputs!$F$2:$S$2,0))</f>
        <v>24.676746034195979</v>
      </c>
      <c r="G39" s="48">
        <f>INDEX(Inputs!$F$2:$S$544,MATCH('BP costs'!$B39&amp;'BP costs'!G$4,Inputs!$S$2:$S$544,0),MATCH('BP costs'!$C39,Inputs!$F$2:$S$2,0))</f>
        <v>23.952226858994202</v>
      </c>
      <c r="H39" s="48">
        <f>INDEX(Inputs!$F$2:$S$544,MATCH('BP costs'!$B39&amp;'BP costs'!H$4,Inputs!$S$2:$S$544,0),MATCH('BP costs'!$C39,Inputs!$F$2:$S$2,0))</f>
        <v>48.9081866025926</v>
      </c>
      <c r="I39" s="86"/>
      <c r="J39" s="86"/>
      <c r="K39" s="86"/>
      <c r="L39" s="86"/>
    </row>
    <row r="40" spans="1:12" x14ac:dyDescent="0.3">
      <c r="A40" s="104" t="s">
        <v>94</v>
      </c>
      <c r="B40" s="17" t="s">
        <v>40</v>
      </c>
      <c r="C40" s="17" t="s">
        <v>50</v>
      </c>
      <c r="D40" s="48">
        <f>INDEX(Inputs!$F$2:$S$544,MATCH('BP costs'!$B40&amp;'BP costs'!D$4,Inputs!$S$2:$S$544,0),MATCH('BP costs'!$C40,Inputs!$F$2:$S$2,0))</f>
        <v>52.94</v>
      </c>
      <c r="E40" s="48">
        <f>INDEX(Inputs!$F$2:$S$544,MATCH('BP costs'!$B40&amp;'BP costs'!E$4,Inputs!$S$2:$S$544,0),MATCH('BP costs'!$C40,Inputs!$F$2:$S$2,0))</f>
        <v>46.597310863806449</v>
      </c>
      <c r="F40" s="48">
        <f>INDEX(Inputs!$F$2:$S$544,MATCH('BP costs'!$B40&amp;'BP costs'!F$4,Inputs!$S$2:$S$544,0),MATCH('BP costs'!$C40,Inputs!$F$2:$S$2,0))</f>
        <v>23.700902713066043</v>
      </c>
      <c r="G40" s="48">
        <f>INDEX(Inputs!$F$2:$S$544,MATCH('BP costs'!$B40&amp;'BP costs'!G$4,Inputs!$S$2:$S$544,0),MATCH('BP costs'!$C40,Inputs!$F$2:$S$2,0))</f>
        <v>22.896408150740406</v>
      </c>
      <c r="H40" s="48">
        <f>INDEX(Inputs!$F$2:$S$544,MATCH('BP costs'!$B40&amp;'BP costs'!H$4,Inputs!$S$2:$S$544,0),MATCH('BP costs'!$C40,Inputs!$F$2:$S$2,0))</f>
        <v>46.871050260834103</v>
      </c>
      <c r="I40" s="86"/>
      <c r="J40" s="86"/>
      <c r="K40" s="86"/>
      <c r="L40" s="86"/>
    </row>
    <row r="41" spans="1:12" x14ac:dyDescent="0.3">
      <c r="A41" s="104" t="s">
        <v>95</v>
      </c>
      <c r="B41" s="17" t="s">
        <v>40</v>
      </c>
      <c r="C41" s="17" t="s">
        <v>51</v>
      </c>
      <c r="D41" s="48">
        <f>INDEX(Inputs!$F$2:$S$544,MATCH('BP costs'!$B41&amp;'BP costs'!D$4,Inputs!$S$2:$S$544,0),MATCH('BP costs'!$C41,Inputs!$F$2:$S$2,0))</f>
        <v>52.77</v>
      </c>
      <c r="E41" s="48">
        <f>INDEX(Inputs!$F$2:$S$544,MATCH('BP costs'!$B41&amp;'BP costs'!E$4,Inputs!$S$2:$S$544,0),MATCH('BP costs'!$C41,Inputs!$F$2:$S$2,0))</f>
        <v>45.536925778595077</v>
      </c>
      <c r="F41" s="48">
        <f>INDEX(Inputs!$F$2:$S$544,MATCH('BP costs'!$B41&amp;'BP costs'!F$4,Inputs!$S$2:$S$544,0),MATCH('BP costs'!$C41,Inputs!$F$2:$S$2,0))</f>
        <v>22.709783507964499</v>
      </c>
      <c r="G41" s="48">
        <f>INDEX(Inputs!$F$2:$S$544,MATCH('BP costs'!$B41&amp;'BP costs'!G$4,Inputs!$S$2:$S$544,0),MATCH('BP costs'!$C41,Inputs!$F$2:$S$2,0))</f>
        <v>22.827142270630581</v>
      </c>
      <c r="H41" s="48">
        <f>INDEX(Inputs!$F$2:$S$544,MATCH('BP costs'!$B41&amp;'BP costs'!H$4,Inputs!$S$2:$S$544,0),MATCH('BP costs'!$C41,Inputs!$F$2:$S$2,0))</f>
        <v>45.804434722907459</v>
      </c>
      <c r="I41" s="86"/>
      <c r="J41" s="86"/>
      <c r="K41" s="86"/>
      <c r="L41" s="86"/>
    </row>
    <row r="42" spans="1:12" x14ac:dyDescent="0.3">
      <c r="A42" s="104" t="s">
        <v>96</v>
      </c>
      <c r="B42" s="17" t="s">
        <v>25</v>
      </c>
      <c r="C42" s="17" t="s">
        <v>47</v>
      </c>
      <c r="D42" s="48">
        <f>INDEX(Inputs!$F$2:$S$544,MATCH('BP costs'!$B42&amp;'BP costs'!D$4,Inputs!$S$2:$S$544,0),MATCH('BP costs'!$C42,Inputs!$F$2:$S$2,0))</f>
        <v>30.638000000000002</v>
      </c>
      <c r="E42" s="48">
        <f>INDEX(Inputs!$F$2:$S$544,MATCH('BP costs'!$B42&amp;'BP costs'!E$4,Inputs!$S$2:$S$544,0),MATCH('BP costs'!$C42,Inputs!$F$2:$S$2,0))</f>
        <v>28.826273547998799</v>
      </c>
      <c r="F42" s="48">
        <f>INDEX(Inputs!$F$2:$S$544,MATCH('BP costs'!$B42&amp;'BP costs'!F$4,Inputs!$S$2:$S$544,0),MATCH('BP costs'!$C42,Inputs!$F$2:$S$2,0))</f>
        <v>12.259492928077041</v>
      </c>
      <c r="G42" s="48">
        <f>INDEX(Inputs!$F$2:$S$544,MATCH('BP costs'!$B42&amp;'BP costs'!G$4,Inputs!$S$2:$S$544,0),MATCH('BP costs'!$C42,Inputs!$F$2:$S$2,0))</f>
        <v>16.566780619921758</v>
      </c>
      <c r="H42" s="48">
        <f>INDEX(Inputs!$F$2:$S$544,MATCH('BP costs'!$B42&amp;'BP costs'!H$4,Inputs!$S$2:$S$544,0),MATCH('BP costs'!$C42,Inputs!$F$2:$S$2,0))</f>
        <v>29.329637225398741</v>
      </c>
      <c r="I42" s="86"/>
      <c r="J42" s="86"/>
      <c r="K42" s="86"/>
      <c r="L42" s="86"/>
    </row>
    <row r="43" spans="1:12" x14ac:dyDescent="0.3">
      <c r="A43" s="104" t="s">
        <v>97</v>
      </c>
      <c r="B43" s="17" t="s">
        <v>25</v>
      </c>
      <c r="C43" s="17" t="s">
        <v>48</v>
      </c>
      <c r="D43" s="48">
        <f>INDEX(Inputs!$F$2:$S$544,MATCH('BP costs'!$B43&amp;'BP costs'!D$4,Inputs!$S$2:$S$544,0),MATCH('BP costs'!$C43,Inputs!$F$2:$S$2,0))</f>
        <v>31.707000000000004</v>
      </c>
      <c r="E43" s="48">
        <f>INDEX(Inputs!$F$2:$S$544,MATCH('BP costs'!$B43&amp;'BP costs'!E$4,Inputs!$S$2:$S$544,0),MATCH('BP costs'!$C43,Inputs!$F$2:$S$2,0))</f>
        <v>29.246772532822131</v>
      </c>
      <c r="F43" s="48">
        <f>INDEX(Inputs!$F$2:$S$544,MATCH('BP costs'!$B43&amp;'BP costs'!F$4,Inputs!$S$2:$S$544,0),MATCH('BP costs'!$C43,Inputs!$F$2:$S$2,0))</f>
        <v>12.269863696710503</v>
      </c>
      <c r="G43" s="48">
        <f>INDEX(Inputs!$F$2:$S$544,MATCH('BP costs'!$B43&amp;'BP costs'!G$4,Inputs!$S$2:$S$544,0),MATCH('BP costs'!$C43,Inputs!$F$2:$S$2,0))</f>
        <v>16.97690883611163</v>
      </c>
      <c r="H43" s="48">
        <f>INDEX(Inputs!$F$2:$S$544,MATCH('BP costs'!$B43&amp;'BP costs'!H$4,Inputs!$S$2:$S$544,0),MATCH('BP costs'!$C43,Inputs!$F$2:$S$2,0))</f>
        <v>29.754096621920823</v>
      </c>
      <c r="I43" s="86"/>
      <c r="J43" s="86"/>
      <c r="K43" s="86"/>
      <c r="L43" s="86"/>
    </row>
    <row r="44" spans="1:12" x14ac:dyDescent="0.3">
      <c r="A44" s="104" t="s">
        <v>98</v>
      </c>
      <c r="B44" s="17" t="s">
        <v>25</v>
      </c>
      <c r="C44" s="17" t="s">
        <v>49</v>
      </c>
      <c r="D44" s="48">
        <f>INDEX(Inputs!$F$2:$S$544,MATCH('BP costs'!$B44&amp;'BP costs'!D$4,Inputs!$S$2:$S$544,0),MATCH('BP costs'!$C44,Inputs!$F$2:$S$2,0))</f>
        <v>32.791000000000004</v>
      </c>
      <c r="E44" s="48">
        <f>INDEX(Inputs!$F$2:$S$544,MATCH('BP costs'!$B44&amp;'BP costs'!E$4,Inputs!$S$2:$S$544,0),MATCH('BP costs'!$C44,Inputs!$F$2:$S$2,0))</f>
        <v>29.656077957767035</v>
      </c>
      <c r="F44" s="48">
        <f>INDEX(Inputs!$F$2:$S$544,MATCH('BP costs'!$B44&amp;'BP costs'!F$4,Inputs!$S$2:$S$544,0),MATCH('BP costs'!$C44,Inputs!$F$2:$S$2,0))</f>
        <v>12.258195256002388</v>
      </c>
      <c r="G44" s="48">
        <f>INDEX(Inputs!$F$2:$S$544,MATCH('BP costs'!$B44&amp;'BP costs'!G$4,Inputs!$S$2:$S$544,0),MATCH('BP costs'!$C44,Inputs!$F$2:$S$2,0))</f>
        <v>17.397882701764647</v>
      </c>
      <c r="H44" s="48">
        <f>INDEX(Inputs!$F$2:$S$544,MATCH('BP costs'!$B44&amp;'BP costs'!H$4,Inputs!$S$2:$S$544,0),MATCH('BP costs'!$C44,Inputs!$F$2:$S$2,0))</f>
        <v>30.167062192652775</v>
      </c>
      <c r="I44" s="86"/>
      <c r="J44" s="86"/>
      <c r="K44" s="86"/>
      <c r="L44" s="86"/>
    </row>
    <row r="45" spans="1:12" x14ac:dyDescent="0.3">
      <c r="A45" s="104" t="s">
        <v>99</v>
      </c>
      <c r="B45" s="17" t="s">
        <v>25</v>
      </c>
      <c r="C45" s="17" t="s">
        <v>50</v>
      </c>
      <c r="D45" s="48">
        <f>INDEX(Inputs!$F$2:$S$544,MATCH('BP costs'!$B45&amp;'BP costs'!D$4,Inputs!$S$2:$S$544,0),MATCH('BP costs'!$C45,Inputs!$F$2:$S$2,0))</f>
        <v>33.929000000000002</v>
      </c>
      <c r="E45" s="48">
        <f>INDEX(Inputs!$F$2:$S$544,MATCH('BP costs'!$B45&amp;'BP costs'!E$4,Inputs!$S$2:$S$544,0),MATCH('BP costs'!$C45,Inputs!$F$2:$S$2,0))</f>
        <v>30.082670967741944</v>
      </c>
      <c r="F45" s="48">
        <f>INDEX(Inputs!$F$2:$S$544,MATCH('BP costs'!$B45&amp;'BP costs'!F$4,Inputs!$S$2:$S$544,0),MATCH('BP costs'!$C45,Inputs!$F$2:$S$2,0))</f>
        <v>12.24887557603687</v>
      </c>
      <c r="G45" s="48">
        <f>INDEX(Inputs!$F$2:$S$544,MATCH('BP costs'!$B45&amp;'BP costs'!G$4,Inputs!$S$2:$S$544,0),MATCH('BP costs'!$C45,Inputs!$F$2:$S$2,0))</f>
        <v>17.833795391705074</v>
      </c>
      <c r="H45" s="48">
        <f>INDEX(Inputs!$F$2:$S$544,MATCH('BP costs'!$B45&amp;'BP costs'!H$4,Inputs!$S$2:$S$544,0),MATCH('BP costs'!$C45,Inputs!$F$2:$S$2,0))</f>
        <v>30.596919815668208</v>
      </c>
      <c r="I45" s="86"/>
      <c r="J45" s="86"/>
      <c r="K45" s="86"/>
      <c r="L45" s="86"/>
    </row>
    <row r="46" spans="1:12" x14ac:dyDescent="0.3">
      <c r="A46" s="104" t="s">
        <v>100</v>
      </c>
      <c r="B46" s="17" t="s">
        <v>25</v>
      </c>
      <c r="C46" s="17" t="s">
        <v>51</v>
      </c>
      <c r="D46" s="48">
        <f>INDEX(Inputs!$F$2:$S$544,MATCH('BP costs'!$B46&amp;'BP costs'!D$4,Inputs!$S$2:$S$544,0),MATCH('BP costs'!$C46,Inputs!$F$2:$S$2,0))</f>
        <v>35.066000000000003</v>
      </c>
      <c r="E46" s="48">
        <f>INDEX(Inputs!$F$2:$S$544,MATCH('BP costs'!$B46&amp;'BP costs'!E$4,Inputs!$S$2:$S$544,0),MATCH('BP costs'!$C46,Inputs!$F$2:$S$2,0))</f>
        <v>30.479246316374851</v>
      </c>
      <c r="F46" s="48">
        <f>INDEX(Inputs!$F$2:$S$544,MATCH('BP costs'!$B46&amp;'BP costs'!F$4,Inputs!$S$2:$S$544,0),MATCH('BP costs'!$C46,Inputs!$F$2:$S$2,0))</f>
        <v>12.240895051431783</v>
      </c>
      <c r="G46" s="48">
        <f>INDEX(Inputs!$F$2:$S$544,MATCH('BP costs'!$B46&amp;'BP costs'!G$4,Inputs!$S$2:$S$544,0),MATCH('BP costs'!$C46,Inputs!$F$2:$S$2,0))</f>
        <v>18.238351264943066</v>
      </c>
      <c r="H46" s="48">
        <f>INDEX(Inputs!$F$2:$S$544,MATCH('BP costs'!$B46&amp;'BP costs'!H$4,Inputs!$S$2:$S$544,0),MATCH('BP costs'!$C46,Inputs!$F$2:$S$2,0))</f>
        <v>30.995549068668431</v>
      </c>
      <c r="I46" s="86"/>
      <c r="J46" s="86"/>
      <c r="K46" s="86"/>
      <c r="L46" s="86"/>
    </row>
    <row r="47" spans="1:12" x14ac:dyDescent="0.3">
      <c r="A47" s="104" t="s">
        <v>101</v>
      </c>
      <c r="B47" s="17" t="s">
        <v>26</v>
      </c>
      <c r="C47" s="17" t="s">
        <v>47</v>
      </c>
      <c r="D47" s="48">
        <f>INDEX(Inputs!$F$2:$S$544,MATCH('BP costs'!$B47&amp;'BP costs'!D$4,Inputs!$S$2:$S$544,0),MATCH('BP costs'!$C47,Inputs!$F$2:$S$2,0))</f>
        <v>54.127195469609894</v>
      </c>
      <c r="E47" s="48">
        <f>INDEX(Inputs!$F$2:$S$544,MATCH('BP costs'!$B47&amp;'BP costs'!E$4,Inputs!$S$2:$S$544,0),MATCH('BP costs'!$C47,Inputs!$F$2:$S$2,0))</f>
        <v>50.655893627399948</v>
      </c>
      <c r="F47" s="48">
        <f>INDEX(Inputs!$F$2:$S$544,MATCH('BP costs'!$B47&amp;'BP costs'!F$4,Inputs!$S$2:$S$544,0),MATCH('BP costs'!$C47,Inputs!$F$2:$S$2,0))</f>
        <v>23.074936806326669</v>
      </c>
      <c r="G47" s="48">
        <f>INDEX(Inputs!$F$2:$S$544,MATCH('BP costs'!$B47&amp;'BP costs'!G$4,Inputs!$S$2:$S$544,0),MATCH('BP costs'!$C47,Inputs!$F$2:$S$2,0))</f>
        <v>27.580956821073279</v>
      </c>
      <c r="H47" s="48">
        <f>INDEX(Inputs!$F$2:$S$544,MATCH('BP costs'!$B47&amp;'BP costs'!H$4,Inputs!$S$2:$S$544,0),MATCH('BP costs'!$C47,Inputs!$F$2:$S$2,0))</f>
        <v>52.094322273662023</v>
      </c>
      <c r="I47" s="86"/>
      <c r="J47" s="86"/>
      <c r="K47" s="86"/>
      <c r="L47" s="86"/>
    </row>
    <row r="48" spans="1:12" x14ac:dyDescent="0.3">
      <c r="A48" s="104" t="s">
        <v>102</v>
      </c>
      <c r="B48" s="17" t="s">
        <v>26</v>
      </c>
      <c r="C48" s="17" t="s">
        <v>48</v>
      </c>
      <c r="D48" s="48">
        <f>INDEX(Inputs!$F$2:$S$544,MATCH('BP costs'!$B48&amp;'BP costs'!D$4,Inputs!$S$2:$S$544,0),MATCH('BP costs'!$C48,Inputs!$F$2:$S$2,0))</f>
        <v>55.656718654521896</v>
      </c>
      <c r="E48" s="48">
        <f>INDEX(Inputs!$F$2:$S$544,MATCH('BP costs'!$B48&amp;'BP costs'!E$4,Inputs!$S$2:$S$544,0),MATCH('BP costs'!$C48,Inputs!$F$2:$S$2,0))</f>
        <v>51.070725914847237</v>
      </c>
      <c r="F48" s="48">
        <f>INDEX(Inputs!$F$2:$S$544,MATCH('BP costs'!$B48&amp;'BP costs'!F$4,Inputs!$S$2:$S$544,0),MATCH('BP costs'!$C48,Inputs!$F$2:$S$2,0))</f>
        <v>23.315095421047168</v>
      </c>
      <c r="G48" s="48">
        <f>INDEX(Inputs!$F$2:$S$544,MATCH('BP costs'!$B48&amp;'BP costs'!G$4,Inputs!$S$2:$S$544,0),MATCH('BP costs'!$C48,Inputs!$F$2:$S$2,0))</f>
        <v>27.755630493800069</v>
      </c>
      <c r="H48" s="48">
        <f>INDEX(Inputs!$F$2:$S$544,MATCH('BP costs'!$B48&amp;'BP costs'!H$4,Inputs!$S$2:$S$544,0),MATCH('BP costs'!$C48,Inputs!$F$2:$S$2,0))</f>
        <v>52.509526120291511</v>
      </c>
      <c r="I48" s="86"/>
      <c r="J48" s="86"/>
      <c r="K48" s="86"/>
      <c r="L48" s="86"/>
    </row>
    <row r="49" spans="1:12" x14ac:dyDescent="0.3">
      <c r="A49" s="104" t="s">
        <v>103</v>
      </c>
      <c r="B49" s="17" t="s">
        <v>26</v>
      </c>
      <c r="C49" s="17" t="s">
        <v>49</v>
      </c>
      <c r="D49" s="48">
        <f>INDEX(Inputs!$F$2:$S$544,MATCH('BP costs'!$B49&amp;'BP costs'!D$4,Inputs!$S$2:$S$544,0),MATCH('BP costs'!$C49,Inputs!$F$2:$S$2,0))</f>
        <v>55.759821271839897</v>
      </c>
      <c r="E49" s="48">
        <f>INDEX(Inputs!$F$2:$S$544,MATCH('BP costs'!$B49&amp;'BP costs'!E$4,Inputs!$S$2:$S$544,0),MATCH('BP costs'!$C49,Inputs!$F$2:$S$2,0))</f>
        <v>50.164184218806554</v>
      </c>
      <c r="F49" s="48">
        <f>INDEX(Inputs!$F$2:$S$544,MATCH('BP costs'!$B49&amp;'BP costs'!F$4,Inputs!$S$2:$S$544,0),MATCH('BP costs'!$C49,Inputs!$F$2:$S$2,0))</f>
        <v>23.55441024571109</v>
      </c>
      <c r="G49" s="48">
        <f>INDEX(Inputs!$F$2:$S$544,MATCH('BP costs'!$B49&amp;'BP costs'!G$4,Inputs!$S$2:$S$544,0),MATCH('BP costs'!$C49,Inputs!$F$2:$S$2,0))</f>
        <v>26.609773973095468</v>
      </c>
      <c r="H49" s="48">
        <f>INDEX(Inputs!$F$2:$S$544,MATCH('BP costs'!$B49&amp;'BP costs'!H$4,Inputs!$S$2:$S$544,0),MATCH('BP costs'!$C49,Inputs!$F$2:$S$2,0))</f>
        <v>50.164184218806554</v>
      </c>
      <c r="I49" s="86"/>
      <c r="J49" s="86"/>
      <c r="K49" s="86"/>
      <c r="L49" s="86"/>
    </row>
    <row r="50" spans="1:12" x14ac:dyDescent="0.3">
      <c r="A50" s="104" t="s">
        <v>104</v>
      </c>
      <c r="B50" s="17" t="s">
        <v>26</v>
      </c>
      <c r="C50" s="17" t="s">
        <v>50</v>
      </c>
      <c r="D50" s="48">
        <f>INDEX(Inputs!$F$2:$S$544,MATCH('BP costs'!$B50&amp;'BP costs'!D$4,Inputs!$S$2:$S$544,0),MATCH('BP costs'!$C50,Inputs!$F$2:$S$2,0))</f>
        <v>54.152321155879292</v>
      </c>
      <c r="E50" s="48">
        <f>INDEX(Inputs!$F$2:$S$544,MATCH('BP costs'!$B50&amp;'BP costs'!E$4,Inputs!$S$2:$S$544,0),MATCH('BP costs'!$C50,Inputs!$F$2:$S$2,0))</f>
        <v>47.756077030916622</v>
      </c>
      <c r="F50" s="48">
        <f>INDEX(Inputs!$F$2:$S$544,MATCH('BP costs'!$B50&amp;'BP costs'!F$4,Inputs!$S$2:$S$544,0),MATCH('BP costs'!$C50,Inputs!$F$2:$S$2,0))</f>
        <v>23.785582284424763</v>
      </c>
      <c r="G50" s="48">
        <f>INDEX(Inputs!$F$2:$S$544,MATCH('BP costs'!$B50&amp;'BP costs'!G$4,Inputs!$S$2:$S$544,0),MATCH('BP costs'!$C50,Inputs!$F$2:$S$2,0))</f>
        <v>23.970494746491855</v>
      </c>
      <c r="H50" s="48">
        <f>INDEX(Inputs!$F$2:$S$544,MATCH('BP costs'!$B50&amp;'BP costs'!H$4,Inputs!$S$2:$S$544,0),MATCH('BP costs'!$C50,Inputs!$F$2:$S$2,0))</f>
        <v>47.756077030916622</v>
      </c>
      <c r="I50" s="86"/>
      <c r="J50" s="86"/>
      <c r="K50" s="86"/>
      <c r="L50" s="86"/>
    </row>
    <row r="51" spans="1:12" x14ac:dyDescent="0.3">
      <c r="A51" s="104" t="s">
        <v>105</v>
      </c>
      <c r="B51" s="17" t="s">
        <v>26</v>
      </c>
      <c r="C51" s="17" t="s">
        <v>51</v>
      </c>
      <c r="D51" s="48">
        <f>INDEX(Inputs!$F$2:$S$544,MATCH('BP costs'!$B51&amp;'BP costs'!D$4,Inputs!$S$2:$S$544,0),MATCH('BP costs'!$C51,Inputs!$F$2:$S$2,0))</f>
        <v>53.490289842714304</v>
      </c>
      <c r="E51" s="48">
        <f>INDEX(Inputs!$F$2:$S$544,MATCH('BP costs'!$B51&amp;'BP costs'!E$4,Inputs!$S$2:$S$544,0),MATCH('BP costs'!$C51,Inputs!$F$2:$S$2,0))</f>
        <v>46.252476303186555</v>
      </c>
      <c r="F51" s="48">
        <f>INDEX(Inputs!$F$2:$S$544,MATCH('BP costs'!$B51&amp;'BP costs'!F$4,Inputs!$S$2:$S$544,0),MATCH('BP costs'!$C51,Inputs!$F$2:$S$2,0))</f>
        <v>24.02218148191842</v>
      </c>
      <c r="G51" s="48">
        <f>INDEX(Inputs!$F$2:$S$544,MATCH('BP costs'!$B51&amp;'BP costs'!G$4,Inputs!$S$2:$S$544,0),MATCH('BP costs'!$C51,Inputs!$F$2:$S$2,0))</f>
        <v>22.230294821268135</v>
      </c>
      <c r="H51" s="48">
        <f>INDEX(Inputs!$F$2:$S$544,MATCH('BP costs'!$B51&amp;'BP costs'!H$4,Inputs!$S$2:$S$544,0),MATCH('BP costs'!$C51,Inputs!$F$2:$S$2,0))</f>
        <v>46.252476303186555</v>
      </c>
      <c r="I51" s="86"/>
      <c r="J51" s="86"/>
      <c r="K51" s="86"/>
      <c r="L51" s="86"/>
    </row>
    <row r="52" spans="1:12" x14ac:dyDescent="0.3">
      <c r="A52" s="104" t="s">
        <v>190</v>
      </c>
      <c r="B52" s="17" t="s">
        <v>148</v>
      </c>
      <c r="C52" s="17" t="s">
        <v>47</v>
      </c>
      <c r="D52" s="48">
        <f>INDEX(Inputs!$F$2:$S$544,MATCH('BP costs'!$B52&amp;'BP costs'!D$4,Inputs!$S$2:$S$544,0),MATCH('BP costs'!$C52,Inputs!$F$2:$S$2,0))</f>
        <v>91.93093982804497</v>
      </c>
      <c r="E52" s="48">
        <f>INDEX(Inputs!$F$2:$S$544,MATCH('BP costs'!$B52&amp;'BP costs'!E$4,Inputs!$S$2:$S$544,0),MATCH('BP costs'!$C52,Inputs!$F$2:$S$2,0))</f>
        <v>87.259232123243137</v>
      </c>
      <c r="F52" s="48">
        <f>INDEX(Inputs!$F$2:$S$544,MATCH('BP costs'!$B52&amp;'BP costs'!F$4,Inputs!$S$2:$S$544,0),MATCH('BP costs'!$C52,Inputs!$F$2:$S$2,0))</f>
        <v>24.289400802749881</v>
      </c>
      <c r="G52" s="48">
        <f>INDEX(Inputs!$F$2:$S$544,MATCH('BP costs'!$B52&amp;'BP costs'!G$4,Inputs!$S$2:$S$544,0),MATCH('BP costs'!$C52,Inputs!$F$2:$S$2,0))</f>
        <v>62.969831320493263</v>
      </c>
      <c r="H52" s="48">
        <f>INDEX(Inputs!$F$2:$S$544,MATCH('BP costs'!$B52&amp;'BP costs'!H$4,Inputs!$S$2:$S$544,0),MATCH('BP costs'!$C52,Inputs!$F$2:$S$2,0))</f>
        <v>97.266287713308984</v>
      </c>
      <c r="I52" s="86"/>
      <c r="J52" s="86"/>
      <c r="K52" s="86"/>
      <c r="L52" s="86"/>
    </row>
    <row r="53" spans="1:12" x14ac:dyDescent="0.3">
      <c r="A53" s="104" t="s">
        <v>191</v>
      </c>
      <c r="B53" s="17" t="s">
        <v>148</v>
      </c>
      <c r="C53" s="17" t="s">
        <v>48</v>
      </c>
      <c r="D53" s="48">
        <f>INDEX(Inputs!$F$2:$S$544,MATCH('BP costs'!$B53&amp;'BP costs'!D$4,Inputs!$S$2:$S$544,0),MATCH('BP costs'!$C53,Inputs!$F$2:$S$2,0))</f>
        <v>94.959928310055517</v>
      </c>
      <c r="E53" s="48">
        <f>INDEX(Inputs!$F$2:$S$544,MATCH('BP costs'!$B53&amp;'BP costs'!E$4,Inputs!$S$2:$S$544,0),MATCH('BP costs'!$C53,Inputs!$F$2:$S$2,0))</f>
        <v>88.537656376310053</v>
      </c>
      <c r="F53" s="48">
        <f>INDEX(Inputs!$F$2:$S$544,MATCH('BP costs'!$B53&amp;'BP costs'!F$4,Inputs!$S$2:$S$544,0),MATCH('BP costs'!$C53,Inputs!$F$2:$S$2,0))</f>
        <v>24.753520323917108</v>
      </c>
      <c r="G53" s="48">
        <f>INDEX(Inputs!$F$2:$S$544,MATCH('BP costs'!$B53&amp;'BP costs'!G$4,Inputs!$S$2:$S$544,0),MATCH('BP costs'!$C53,Inputs!$F$2:$S$2,0))</f>
        <v>63.784136052392952</v>
      </c>
      <c r="H53" s="48">
        <f>INDEX(Inputs!$F$2:$S$544,MATCH('BP costs'!$B53&amp;'BP costs'!H$4,Inputs!$S$2:$S$544,0),MATCH('BP costs'!$C53,Inputs!$F$2:$S$2,0))</f>
        <v>98.453100328188782</v>
      </c>
      <c r="I53" s="86"/>
      <c r="J53" s="86"/>
      <c r="K53" s="86"/>
      <c r="L53" s="86"/>
    </row>
    <row r="54" spans="1:12" x14ac:dyDescent="0.3">
      <c r="A54" s="104" t="s">
        <v>192</v>
      </c>
      <c r="B54" s="17" t="s">
        <v>148</v>
      </c>
      <c r="C54" s="17" t="s">
        <v>49</v>
      </c>
      <c r="D54" s="48">
        <f>INDEX(Inputs!$F$2:$S$544,MATCH('BP costs'!$B54&amp;'BP costs'!D$4,Inputs!$S$2:$S$544,0),MATCH('BP costs'!$C54,Inputs!$F$2:$S$2,0))</f>
        <v>93.822874169263883</v>
      </c>
      <c r="E54" s="48">
        <f>INDEX(Inputs!$F$2:$S$544,MATCH('BP costs'!$B54&amp;'BP costs'!E$4,Inputs!$S$2:$S$544,0),MATCH('BP costs'!$C54,Inputs!$F$2:$S$2,0))</f>
        <v>85.875998809211453</v>
      </c>
      <c r="F54" s="48">
        <f>INDEX(Inputs!$F$2:$S$544,MATCH('BP costs'!$B54&amp;'BP costs'!F$4,Inputs!$S$2:$S$544,0),MATCH('BP costs'!$C54,Inputs!$F$2:$S$2,0))</f>
        <v>25.177261883975387</v>
      </c>
      <c r="G54" s="48">
        <f>INDEX(Inputs!$F$2:$S$544,MATCH('BP costs'!$B54&amp;'BP costs'!G$4,Inputs!$S$2:$S$544,0),MATCH('BP costs'!$C54,Inputs!$F$2:$S$2,0))</f>
        <v>60.698736925236069</v>
      </c>
      <c r="H54" s="48">
        <f>INDEX(Inputs!$F$2:$S$544,MATCH('BP costs'!$B54&amp;'BP costs'!H$4,Inputs!$S$2:$S$544,0),MATCH('BP costs'!$C54,Inputs!$F$2:$S$2,0))</f>
        <v>95.69742704856175</v>
      </c>
      <c r="I54" s="86"/>
      <c r="J54" s="86"/>
      <c r="K54" s="86"/>
      <c r="L54" s="86"/>
    </row>
    <row r="55" spans="1:12" x14ac:dyDescent="0.3">
      <c r="A55" s="104" t="s">
        <v>193</v>
      </c>
      <c r="B55" s="17" t="s">
        <v>148</v>
      </c>
      <c r="C55" s="17" t="s">
        <v>50</v>
      </c>
      <c r="D55" s="48">
        <f>INDEX(Inputs!$F$2:$S$544,MATCH('BP costs'!$B55&amp;'BP costs'!D$4,Inputs!$S$2:$S$544,0),MATCH('BP costs'!$C55,Inputs!$F$2:$S$2,0))</f>
        <v>89.882597231764009</v>
      </c>
      <c r="E55" s="48">
        <f>INDEX(Inputs!$F$2:$S$544,MATCH('BP costs'!$B55&amp;'BP costs'!E$4,Inputs!$S$2:$S$544,0),MATCH('BP costs'!$C55,Inputs!$F$2:$S$2,0))</f>
        <v>80.708049373170354</v>
      </c>
      <c r="F55" s="48">
        <f>INDEX(Inputs!$F$2:$S$544,MATCH('BP costs'!$B55&amp;'BP costs'!F$4,Inputs!$S$2:$S$544,0),MATCH('BP costs'!$C55,Inputs!$F$2:$S$2,0))</f>
        <v>24.945282832178133</v>
      </c>
      <c r="G55" s="48">
        <f>INDEX(Inputs!$F$2:$S$544,MATCH('BP costs'!$B55&amp;'BP costs'!G$4,Inputs!$S$2:$S$544,0),MATCH('BP costs'!$C55,Inputs!$F$2:$S$2,0))</f>
        <v>55.762766540992224</v>
      </c>
      <c r="H55" s="48">
        <f>INDEX(Inputs!$F$2:$S$544,MATCH('BP costs'!$B55&amp;'BP costs'!H$4,Inputs!$S$2:$S$544,0),MATCH('BP costs'!$C55,Inputs!$F$2:$S$2,0))</f>
        <v>90.437442256964061</v>
      </c>
      <c r="I55" s="86"/>
      <c r="J55" s="86"/>
      <c r="K55" s="86"/>
      <c r="L55" s="86"/>
    </row>
    <row r="56" spans="1:12" x14ac:dyDescent="0.3">
      <c r="A56" s="104" t="s">
        <v>194</v>
      </c>
      <c r="B56" s="17" t="s">
        <v>148</v>
      </c>
      <c r="C56" s="17" t="s">
        <v>51</v>
      </c>
      <c r="D56" s="48">
        <f>INDEX(Inputs!$F$2:$S$544,MATCH('BP costs'!$B56&amp;'BP costs'!D$4,Inputs!$S$2:$S$544,0),MATCH('BP costs'!$C56,Inputs!$F$2:$S$2,0))</f>
        <v>91.374835121656147</v>
      </c>
      <c r="E56" s="48">
        <f>INDEX(Inputs!$F$2:$S$544,MATCH('BP costs'!$B56&amp;'BP costs'!E$4,Inputs!$S$2:$S$544,0),MATCH('BP costs'!$C56,Inputs!$F$2:$S$2,0))</f>
        <v>80.457893289737541</v>
      </c>
      <c r="F56" s="48">
        <f>INDEX(Inputs!$F$2:$S$544,MATCH('BP costs'!$B56&amp;'BP costs'!F$4,Inputs!$S$2:$S$544,0),MATCH('BP costs'!$C56,Inputs!$F$2:$S$2,0))</f>
        <v>24.70769945037949</v>
      </c>
      <c r="G56" s="48">
        <f>INDEX(Inputs!$F$2:$S$544,MATCH('BP costs'!$B56&amp;'BP costs'!G$4,Inputs!$S$2:$S$544,0),MATCH('BP costs'!$C56,Inputs!$F$2:$S$2,0))</f>
        <v>55.750193839358055</v>
      </c>
      <c r="H56" s="48">
        <f>INDEX(Inputs!$F$2:$S$544,MATCH('BP costs'!$B56&amp;'BP costs'!H$4,Inputs!$S$2:$S$544,0),MATCH('BP costs'!$C56,Inputs!$F$2:$S$2,0))</f>
        <v>90.09987206852</v>
      </c>
      <c r="I56" s="86"/>
      <c r="J56" s="86"/>
      <c r="K56" s="86"/>
      <c r="L56" s="86"/>
    </row>
    <row r="57" spans="1:12" x14ac:dyDescent="0.3">
      <c r="A57" s="104" t="s">
        <v>195</v>
      </c>
      <c r="B57" s="17" t="s">
        <v>149</v>
      </c>
      <c r="C57" s="17" t="s">
        <v>47</v>
      </c>
      <c r="D57" s="48">
        <f>INDEX(Inputs!$F$2:$S$544,MATCH('BP costs'!$B57&amp;'BP costs'!D$4,Inputs!$S$2:$S$544,0),MATCH('BP costs'!$C57,Inputs!$F$2:$S$2,0))</f>
        <v>2.92189680319545</v>
      </c>
      <c r="E57" s="48">
        <f>INDEX(Inputs!$F$2:$S$544,MATCH('BP costs'!$B57&amp;'BP costs'!E$4,Inputs!$S$2:$S$544,0),MATCH('BP costs'!$C57,Inputs!$F$2:$S$2,0))</f>
        <v>2.7700932310029298</v>
      </c>
      <c r="F57" s="48">
        <f>INDEX(Inputs!$F$2:$S$544,MATCH('BP costs'!$B57&amp;'BP costs'!F$4,Inputs!$S$2:$S$544,0),MATCH('BP costs'!$C57,Inputs!$F$2:$S$2,0))</f>
        <v>0.61619290067516141</v>
      </c>
      <c r="G57" s="48">
        <f>INDEX(Inputs!$F$2:$S$544,MATCH('BP costs'!$B57&amp;'BP costs'!G$4,Inputs!$S$2:$S$544,0),MATCH('BP costs'!$C57,Inputs!$F$2:$S$2,0))</f>
        <v>2.1539003303277684</v>
      </c>
      <c r="H57" s="48">
        <f>INDEX(Inputs!$F$2:$S$544,MATCH('BP costs'!$B57&amp;'BP costs'!H$4,Inputs!$S$2:$S$544,0),MATCH('BP costs'!$C57,Inputs!$F$2:$S$2,0))</f>
        <v>2.7700932310029298</v>
      </c>
      <c r="I57" s="86"/>
      <c r="J57" s="86"/>
      <c r="K57" s="86"/>
      <c r="L57" s="86"/>
    </row>
    <row r="58" spans="1:12" x14ac:dyDescent="0.3">
      <c r="A58" s="104" t="s">
        <v>196</v>
      </c>
      <c r="B58" s="17" t="s">
        <v>149</v>
      </c>
      <c r="C58" s="17" t="s">
        <v>48</v>
      </c>
      <c r="D58" s="48">
        <f>INDEX(Inputs!$F$2:$S$544,MATCH('BP costs'!$B58&amp;'BP costs'!D$4,Inputs!$S$2:$S$544,0),MATCH('BP costs'!$C58,Inputs!$F$2:$S$2,0))</f>
        <v>2.9206490767892648</v>
      </c>
      <c r="E58" s="48">
        <f>INDEX(Inputs!$F$2:$S$544,MATCH('BP costs'!$B58&amp;'BP costs'!E$4,Inputs!$S$2:$S$544,0),MATCH('BP costs'!$C58,Inputs!$F$2:$S$2,0))</f>
        <v>2.7230713556948181</v>
      </c>
      <c r="F58" s="48">
        <f>INDEX(Inputs!$F$2:$S$544,MATCH('BP costs'!$B58&amp;'BP costs'!F$4,Inputs!$S$2:$S$544,0),MATCH('BP costs'!$C58,Inputs!$F$2:$S$2,0))</f>
        <v>0.62398880163448811</v>
      </c>
      <c r="G58" s="48">
        <f>INDEX(Inputs!$F$2:$S$544,MATCH('BP costs'!$B58&amp;'BP costs'!G$4,Inputs!$S$2:$S$544,0),MATCH('BP costs'!$C58,Inputs!$F$2:$S$2,0))</f>
        <v>2.0990825540603302</v>
      </c>
      <c r="H58" s="48">
        <f>INDEX(Inputs!$F$2:$S$544,MATCH('BP costs'!$B58&amp;'BP costs'!H$4,Inputs!$S$2:$S$544,0),MATCH('BP costs'!$C58,Inputs!$F$2:$S$2,0))</f>
        <v>2.7230713556948181</v>
      </c>
      <c r="I58" s="86"/>
      <c r="J58" s="86"/>
      <c r="K58" s="86"/>
      <c r="L58" s="86"/>
    </row>
    <row r="59" spans="1:12" x14ac:dyDescent="0.3">
      <c r="A59" s="104" t="s">
        <v>197</v>
      </c>
      <c r="B59" s="17" t="s">
        <v>149</v>
      </c>
      <c r="C59" s="17" t="s">
        <v>49</v>
      </c>
      <c r="D59" s="48">
        <f>INDEX(Inputs!$F$2:$S$544,MATCH('BP costs'!$B59&amp;'BP costs'!D$4,Inputs!$S$2:$S$544,0),MATCH('BP costs'!$C59,Inputs!$F$2:$S$2,0))</f>
        <v>2.7137992072603869</v>
      </c>
      <c r="E59" s="48">
        <f>INDEX(Inputs!$F$2:$S$544,MATCH('BP costs'!$B59&amp;'BP costs'!E$4,Inputs!$S$2:$S$544,0),MATCH('BP costs'!$C59,Inputs!$F$2:$S$2,0))</f>
        <v>2.4853307303385401</v>
      </c>
      <c r="F59" s="48">
        <f>INDEX(Inputs!$F$2:$S$544,MATCH('BP costs'!$B59&amp;'BP costs'!F$4,Inputs!$S$2:$S$544,0),MATCH('BP costs'!$C59,Inputs!$F$2:$S$2,0))</f>
        <v>0.65235092835290154</v>
      </c>
      <c r="G59" s="48">
        <f>INDEX(Inputs!$F$2:$S$544,MATCH('BP costs'!$B59&amp;'BP costs'!G$4,Inputs!$S$2:$S$544,0),MATCH('BP costs'!$C59,Inputs!$F$2:$S$2,0))</f>
        <v>1.8329798019856389</v>
      </c>
      <c r="H59" s="48">
        <f>INDEX(Inputs!$F$2:$S$544,MATCH('BP costs'!$B59&amp;'BP costs'!H$4,Inputs!$S$2:$S$544,0),MATCH('BP costs'!$C59,Inputs!$F$2:$S$2,0))</f>
        <v>2.4853307303385401</v>
      </c>
      <c r="I59" s="86"/>
      <c r="J59" s="86"/>
      <c r="K59" s="86"/>
      <c r="L59" s="86"/>
    </row>
    <row r="60" spans="1:12" x14ac:dyDescent="0.3">
      <c r="A60" s="104" t="s">
        <v>198</v>
      </c>
      <c r="B60" s="17" t="s">
        <v>149</v>
      </c>
      <c r="C60" s="17" t="s">
        <v>50</v>
      </c>
      <c r="D60" s="48">
        <f>INDEX(Inputs!$F$2:$S$544,MATCH('BP costs'!$B60&amp;'BP costs'!D$4,Inputs!$S$2:$S$544,0),MATCH('BP costs'!$C60,Inputs!$F$2:$S$2,0))</f>
        <v>2.4657015495698658</v>
      </c>
      <c r="E60" s="48">
        <f>INDEX(Inputs!$F$2:$S$544,MATCH('BP costs'!$B60&amp;'BP costs'!E$4,Inputs!$S$2:$S$544,0),MATCH('BP costs'!$C60,Inputs!$F$2:$S$2,0))</f>
        <v>2.2155128856411417</v>
      </c>
      <c r="F60" s="48">
        <f>INDEX(Inputs!$F$2:$S$544,MATCH('BP costs'!$B60&amp;'BP costs'!F$4,Inputs!$S$2:$S$544,0),MATCH('BP costs'!$C60,Inputs!$F$2:$S$2,0))</f>
        <v>0.52854071880721931</v>
      </c>
      <c r="G60" s="48">
        <f>INDEX(Inputs!$F$2:$S$544,MATCH('BP costs'!$B60&amp;'BP costs'!G$4,Inputs!$S$2:$S$544,0),MATCH('BP costs'!$C60,Inputs!$F$2:$S$2,0))</f>
        <v>1.6869721668339224</v>
      </c>
      <c r="H60" s="48">
        <f>INDEX(Inputs!$F$2:$S$544,MATCH('BP costs'!$B60&amp;'BP costs'!H$4,Inputs!$S$2:$S$544,0),MATCH('BP costs'!$C60,Inputs!$F$2:$S$2,0))</f>
        <v>2.2155128856411417</v>
      </c>
      <c r="I60" s="86"/>
      <c r="J60" s="86"/>
      <c r="K60" s="86"/>
      <c r="L60" s="86"/>
    </row>
    <row r="61" spans="1:12" x14ac:dyDescent="0.3">
      <c r="A61" s="104" t="s">
        <v>199</v>
      </c>
      <c r="B61" s="17" t="s">
        <v>149</v>
      </c>
      <c r="C61" s="17" t="s">
        <v>51</v>
      </c>
      <c r="D61" s="48">
        <f>INDEX(Inputs!$F$2:$S$544,MATCH('BP costs'!$B61&amp;'BP costs'!D$4,Inputs!$S$2:$S$544,0),MATCH('BP costs'!$C61,Inputs!$F$2:$S$2,0))</f>
        <v>2.5082652890222126</v>
      </c>
      <c r="E61" s="48">
        <f>INDEX(Inputs!$F$2:$S$544,MATCH('BP costs'!$B61&amp;'BP costs'!E$4,Inputs!$S$2:$S$544,0),MATCH('BP costs'!$C61,Inputs!$F$2:$S$2,0))</f>
        <v>2.2105152675789461</v>
      </c>
      <c r="F61" s="48">
        <f>INDEX(Inputs!$F$2:$S$544,MATCH('BP costs'!$B61&amp;'BP costs'!F$4,Inputs!$S$2:$S$544,0),MATCH('BP costs'!$C61,Inputs!$F$2:$S$2,0))</f>
        <v>0.53819841209454966</v>
      </c>
      <c r="G61" s="48">
        <f>INDEX(Inputs!$F$2:$S$544,MATCH('BP costs'!$B61&amp;'BP costs'!G$4,Inputs!$S$2:$S$544,0),MATCH('BP costs'!$C61,Inputs!$F$2:$S$2,0))</f>
        <v>1.6723168554843963</v>
      </c>
      <c r="H61" s="48">
        <f>INDEX(Inputs!$F$2:$S$544,MATCH('BP costs'!$B61&amp;'BP costs'!H$4,Inputs!$S$2:$S$544,0),MATCH('BP costs'!$C61,Inputs!$F$2:$S$2,0))</f>
        <v>2.2105152675789461</v>
      </c>
      <c r="I61" s="86"/>
      <c r="J61" s="86"/>
      <c r="K61" s="86"/>
      <c r="L61" s="86"/>
    </row>
    <row r="62" spans="1:12" x14ac:dyDescent="0.3">
      <c r="A62" s="104" t="s">
        <v>106</v>
      </c>
      <c r="B62" s="17" t="s">
        <v>27</v>
      </c>
      <c r="C62" s="17" t="s">
        <v>47</v>
      </c>
      <c r="D62" s="48">
        <f>INDEX(Inputs!$F$2:$S$544,MATCH('BP costs'!$B62&amp;'BP costs'!D$4,Inputs!$S$2:$S$544,0),MATCH('BP costs'!$C62,Inputs!$F$2:$S$2,0))</f>
        <v>28.14</v>
      </c>
      <c r="E62" s="48">
        <f>INDEX(Inputs!$F$2:$S$544,MATCH('BP costs'!$B62&amp;'BP costs'!E$4,Inputs!$S$2:$S$544,0),MATCH('BP costs'!$C62,Inputs!$F$2:$S$2,0))</f>
        <v>26.475988564550107</v>
      </c>
      <c r="F62" s="48">
        <f>INDEX(Inputs!$F$2:$S$544,MATCH('BP costs'!$B62&amp;'BP costs'!F$4,Inputs!$S$2:$S$544,0),MATCH('BP costs'!$C62,Inputs!$F$2:$S$2,0))</f>
        <v>8.5496555823051459</v>
      </c>
      <c r="G62" s="48">
        <f>INDEX(Inputs!$F$2:$S$544,MATCH('BP costs'!$B62&amp;'BP costs'!G$4,Inputs!$S$2:$S$544,0),MATCH('BP costs'!$C62,Inputs!$F$2:$S$2,0))</f>
        <v>17.926332982244961</v>
      </c>
      <c r="H62" s="48">
        <f>INDEX(Inputs!$F$2:$S$544,MATCH('BP costs'!$B62&amp;'BP costs'!H$4,Inputs!$S$2:$S$544,0),MATCH('BP costs'!$C62,Inputs!$F$2:$S$2,0))</f>
        <v>26.475988564550107</v>
      </c>
      <c r="I62" s="86"/>
      <c r="J62" s="86"/>
      <c r="K62" s="86"/>
      <c r="L62" s="86"/>
    </row>
    <row r="63" spans="1:12" x14ac:dyDescent="0.3">
      <c r="A63" s="104" t="s">
        <v>107</v>
      </c>
      <c r="B63" s="17" t="s">
        <v>27</v>
      </c>
      <c r="C63" s="17" t="s">
        <v>48</v>
      </c>
      <c r="D63" s="48">
        <f>INDEX(Inputs!$F$2:$S$544,MATCH('BP costs'!$B63&amp;'BP costs'!D$4,Inputs!$S$2:$S$544,0),MATCH('BP costs'!$C63,Inputs!$F$2:$S$2,0))</f>
        <v>28.669999999999998</v>
      </c>
      <c r="E63" s="48">
        <f>INDEX(Inputs!$F$2:$S$544,MATCH('BP costs'!$B63&amp;'BP costs'!E$4,Inputs!$S$2:$S$544,0),MATCH('BP costs'!$C63,Inputs!$F$2:$S$2,0))</f>
        <v>26.449322809088237</v>
      </c>
      <c r="F63" s="48">
        <f>INDEX(Inputs!$F$2:$S$544,MATCH('BP costs'!$B63&amp;'BP costs'!F$4,Inputs!$S$2:$S$544,0),MATCH('BP costs'!$C63,Inputs!$F$2:$S$2,0))</f>
        <v>8.2124824431985868</v>
      </c>
      <c r="G63" s="48">
        <f>INDEX(Inputs!$F$2:$S$544,MATCH('BP costs'!$B63&amp;'BP costs'!G$4,Inputs!$S$2:$S$544,0),MATCH('BP costs'!$C63,Inputs!$F$2:$S$2,0))</f>
        <v>18.236840365889652</v>
      </c>
      <c r="H63" s="48">
        <f>INDEX(Inputs!$F$2:$S$544,MATCH('BP costs'!$B63&amp;'BP costs'!H$4,Inputs!$S$2:$S$544,0),MATCH('BP costs'!$C63,Inputs!$F$2:$S$2,0))</f>
        <v>26.449322809088237</v>
      </c>
      <c r="I63" s="86"/>
      <c r="J63" s="86"/>
      <c r="K63" s="86"/>
      <c r="L63" s="86"/>
    </row>
    <row r="64" spans="1:12" x14ac:dyDescent="0.3">
      <c r="A64" s="104" t="s">
        <v>108</v>
      </c>
      <c r="B64" s="17" t="s">
        <v>27</v>
      </c>
      <c r="C64" s="17" t="s">
        <v>49</v>
      </c>
      <c r="D64" s="48">
        <f>INDEX(Inputs!$F$2:$S$544,MATCH('BP costs'!$B64&amp;'BP costs'!D$4,Inputs!$S$2:$S$544,0),MATCH('BP costs'!$C64,Inputs!$F$2:$S$2,0))</f>
        <v>29.132000000000001</v>
      </c>
      <c r="E64" s="48">
        <f>INDEX(Inputs!$F$2:$S$544,MATCH('BP costs'!$B64&amp;'BP costs'!E$4,Inputs!$S$2:$S$544,0),MATCH('BP costs'!$C64,Inputs!$F$2:$S$2,0))</f>
        <v>26.346889788834414</v>
      </c>
      <c r="F64" s="48">
        <f>INDEX(Inputs!$F$2:$S$544,MATCH('BP costs'!$B64&amp;'BP costs'!F$4,Inputs!$S$2:$S$544,0),MATCH('BP costs'!$C64,Inputs!$F$2:$S$2,0))</f>
        <v>7.8809143766271825</v>
      </c>
      <c r="G64" s="48">
        <f>INDEX(Inputs!$F$2:$S$544,MATCH('BP costs'!$B64&amp;'BP costs'!G$4,Inputs!$S$2:$S$544,0),MATCH('BP costs'!$C64,Inputs!$F$2:$S$2,0))</f>
        <v>18.465975412207229</v>
      </c>
      <c r="H64" s="48">
        <f>INDEX(Inputs!$F$2:$S$544,MATCH('BP costs'!$B64&amp;'BP costs'!H$4,Inputs!$S$2:$S$544,0),MATCH('BP costs'!$C64,Inputs!$F$2:$S$2,0))</f>
        <v>26.346889788834414</v>
      </c>
      <c r="I64" s="86"/>
      <c r="J64" s="86"/>
      <c r="K64" s="86"/>
      <c r="L64" s="86"/>
    </row>
    <row r="65" spans="1:12" x14ac:dyDescent="0.3">
      <c r="A65" s="104" t="s">
        <v>109</v>
      </c>
      <c r="B65" s="17" t="s">
        <v>27</v>
      </c>
      <c r="C65" s="17" t="s">
        <v>50</v>
      </c>
      <c r="D65" s="48">
        <f>INDEX(Inputs!$F$2:$S$544,MATCH('BP costs'!$B65&amp;'BP costs'!D$4,Inputs!$S$2:$S$544,0),MATCH('BP costs'!$C65,Inputs!$F$2:$S$2,0))</f>
        <v>29.753999999999998</v>
      </c>
      <c r="E65" s="48">
        <f>INDEX(Inputs!$F$2:$S$544,MATCH('BP costs'!$B65&amp;'BP costs'!E$4,Inputs!$S$2:$S$544,0),MATCH('BP costs'!$C65,Inputs!$F$2:$S$2,0))</f>
        <v>26.382836358480017</v>
      </c>
      <c r="F65" s="48">
        <f>INDEX(Inputs!$F$2:$S$544,MATCH('BP costs'!$B65&amp;'BP costs'!F$4,Inputs!$S$2:$S$544,0),MATCH('BP costs'!$C65,Inputs!$F$2:$S$2,0))</f>
        <v>7.5564472490074186</v>
      </c>
      <c r="G65" s="48">
        <f>INDEX(Inputs!$F$2:$S$544,MATCH('BP costs'!$B65&amp;'BP costs'!G$4,Inputs!$S$2:$S$544,0),MATCH('BP costs'!$C65,Inputs!$F$2:$S$2,0))</f>
        <v>18.826389109472601</v>
      </c>
      <c r="H65" s="48">
        <f>INDEX(Inputs!$F$2:$S$544,MATCH('BP costs'!$B65&amp;'BP costs'!H$4,Inputs!$S$2:$S$544,0),MATCH('BP costs'!$C65,Inputs!$F$2:$S$2,0))</f>
        <v>26.382836358480017</v>
      </c>
      <c r="I65" s="86"/>
      <c r="J65" s="86"/>
      <c r="K65" s="86"/>
      <c r="L65" s="86"/>
    </row>
    <row r="66" spans="1:12" x14ac:dyDescent="0.3">
      <c r="A66" s="104" t="s">
        <v>110</v>
      </c>
      <c r="B66" s="17" t="s">
        <v>27</v>
      </c>
      <c r="C66" s="17" t="s">
        <v>51</v>
      </c>
      <c r="D66" s="48">
        <f>INDEX(Inputs!$F$2:$S$544,MATCH('BP costs'!$B66&amp;'BP costs'!D$4,Inputs!$S$2:$S$544,0),MATCH('BP costs'!$C66,Inputs!$F$2:$S$2,0))</f>
        <v>29.760999999999996</v>
      </c>
      <c r="E66" s="48">
        <f>INDEX(Inputs!$F$2:$S$544,MATCH('BP costs'!$B66&amp;'BP costs'!E$4,Inputs!$S$2:$S$544,0),MATCH('BP costs'!$C66,Inputs!$F$2:$S$2,0))</f>
        <v>25.868158604392622</v>
      </c>
      <c r="F66" s="48">
        <f>INDEX(Inputs!$F$2:$S$544,MATCH('BP costs'!$B66&amp;'BP costs'!F$4,Inputs!$S$2:$S$544,0),MATCH('BP costs'!$C66,Inputs!$F$2:$S$2,0))</f>
        <v>7.2360613010842583</v>
      </c>
      <c r="G66" s="48">
        <f>INDEX(Inputs!$F$2:$S$544,MATCH('BP costs'!$B66&amp;'BP costs'!G$4,Inputs!$S$2:$S$544,0),MATCH('BP costs'!$C66,Inputs!$F$2:$S$2,0))</f>
        <v>18.632097303308367</v>
      </c>
      <c r="H66" s="48">
        <f>INDEX(Inputs!$F$2:$S$544,MATCH('BP costs'!$B66&amp;'BP costs'!H$4,Inputs!$S$2:$S$544,0),MATCH('BP costs'!$C66,Inputs!$F$2:$S$2,0))</f>
        <v>25.868158604392622</v>
      </c>
      <c r="I66" s="86"/>
      <c r="J66" s="86"/>
      <c r="K66" s="86"/>
      <c r="L66" s="86"/>
    </row>
    <row r="67" spans="1:12" x14ac:dyDescent="0.3">
      <c r="A67" s="104" t="s">
        <v>111</v>
      </c>
      <c r="B67" s="17" t="s">
        <v>28</v>
      </c>
      <c r="C67" s="17" t="s">
        <v>47</v>
      </c>
      <c r="D67" s="48">
        <f>INDEX(Inputs!$F$2:$S$544,MATCH('BP costs'!$B67&amp;'BP costs'!D$4,Inputs!$S$2:$S$544,0),MATCH('BP costs'!$C67,Inputs!$F$2:$S$2,0))</f>
        <v>9.554000000000002</v>
      </c>
      <c r="E67" s="48">
        <f>INDEX(Inputs!$F$2:$S$544,MATCH('BP costs'!$B67&amp;'BP costs'!E$4,Inputs!$S$2:$S$544,0),MATCH('BP costs'!$C67,Inputs!$F$2:$S$2,0))</f>
        <v>9.0039430293896565</v>
      </c>
      <c r="F67" s="48">
        <f>INDEX(Inputs!$F$2:$S$544,MATCH('BP costs'!$B67&amp;'BP costs'!F$4,Inputs!$S$2:$S$544,0),MATCH('BP costs'!$C67,Inputs!$F$2:$S$2,0))</f>
        <v>3.0421528259231536</v>
      </c>
      <c r="G67" s="48">
        <f>INDEX(Inputs!$F$2:$S$544,MATCH('BP costs'!$B67&amp;'BP costs'!G$4,Inputs!$S$2:$S$544,0),MATCH('BP costs'!$C67,Inputs!$F$2:$S$2,0))</f>
        <v>5.9617902034665038</v>
      </c>
      <c r="H67" s="48">
        <f>INDEX(Inputs!$F$2:$S$544,MATCH('BP costs'!$B67&amp;'BP costs'!H$4,Inputs!$S$2:$S$544,0),MATCH('BP costs'!$C67,Inputs!$F$2:$S$2,0))</f>
        <v>9.0039430293896565</v>
      </c>
      <c r="I67" s="86"/>
      <c r="J67" s="86"/>
      <c r="K67" s="86"/>
      <c r="L67" s="86"/>
    </row>
    <row r="68" spans="1:12" x14ac:dyDescent="0.3">
      <c r="A68" s="104" t="s">
        <v>112</v>
      </c>
      <c r="B68" s="17" t="s">
        <v>28</v>
      </c>
      <c r="C68" s="17" t="s">
        <v>48</v>
      </c>
      <c r="D68" s="48">
        <f>INDEX(Inputs!$F$2:$S$544,MATCH('BP costs'!$B68&amp;'BP costs'!D$4,Inputs!$S$2:$S$544,0),MATCH('BP costs'!$C68,Inputs!$F$2:$S$2,0))</f>
        <v>9.8650000000000002</v>
      </c>
      <c r="E68" s="48">
        <f>INDEX(Inputs!$F$2:$S$544,MATCH('BP costs'!$B68&amp;'BP costs'!E$4,Inputs!$S$2:$S$544,0),MATCH('BP costs'!$C68,Inputs!$F$2:$S$2,0))</f>
        <v>9.1136655093448145</v>
      </c>
      <c r="F68" s="48">
        <f>INDEX(Inputs!$F$2:$S$544,MATCH('BP costs'!$B68&amp;'BP costs'!F$4,Inputs!$S$2:$S$544,0),MATCH('BP costs'!$C68,Inputs!$F$2:$S$2,0))</f>
        <v>3.0385043953608819</v>
      </c>
      <c r="G68" s="48">
        <f>INDEX(Inputs!$F$2:$S$544,MATCH('BP costs'!$B68&amp;'BP costs'!G$4,Inputs!$S$2:$S$544,0),MATCH('BP costs'!$C68,Inputs!$F$2:$S$2,0))</f>
        <v>6.0751611139839339</v>
      </c>
      <c r="H68" s="48">
        <f>INDEX(Inputs!$F$2:$S$544,MATCH('BP costs'!$B68&amp;'BP costs'!H$4,Inputs!$S$2:$S$544,0),MATCH('BP costs'!$C68,Inputs!$F$2:$S$2,0))</f>
        <v>9.1136655093448145</v>
      </c>
      <c r="I68" s="86"/>
      <c r="J68" s="86"/>
      <c r="K68" s="86"/>
      <c r="L68" s="86"/>
    </row>
    <row r="69" spans="1:12" x14ac:dyDescent="0.3">
      <c r="A69" s="104" t="s">
        <v>113</v>
      </c>
      <c r="B69" s="17" t="s">
        <v>28</v>
      </c>
      <c r="C69" s="17" t="s">
        <v>49</v>
      </c>
      <c r="D69" s="48">
        <f>INDEX(Inputs!$F$2:$S$544,MATCH('BP costs'!$B69&amp;'BP costs'!D$4,Inputs!$S$2:$S$544,0),MATCH('BP costs'!$C69,Inputs!$F$2:$S$2,0))</f>
        <v>10.082000000000001</v>
      </c>
      <c r="E69" s="48">
        <f>INDEX(Inputs!$F$2:$S$544,MATCH('BP costs'!$B69&amp;'BP costs'!E$4,Inputs!$S$2:$S$544,0),MATCH('BP costs'!$C69,Inputs!$F$2:$S$2,0))</f>
        <v>9.1306750669853294</v>
      </c>
      <c r="F69" s="48">
        <f>INDEX(Inputs!$F$2:$S$544,MATCH('BP costs'!$B69&amp;'BP costs'!F$4,Inputs!$S$2:$S$544,0),MATCH('BP costs'!$C69,Inputs!$F$2:$S$2,0))</f>
        <v>3.0293699761025512</v>
      </c>
      <c r="G69" s="48">
        <f>INDEX(Inputs!$F$2:$S$544,MATCH('BP costs'!$B69&amp;'BP costs'!G$4,Inputs!$S$2:$S$544,0),MATCH('BP costs'!$C69,Inputs!$F$2:$S$2,0))</f>
        <v>6.1013050908827786</v>
      </c>
      <c r="H69" s="48">
        <f>INDEX(Inputs!$F$2:$S$544,MATCH('BP costs'!$B69&amp;'BP costs'!H$4,Inputs!$S$2:$S$544,0),MATCH('BP costs'!$C69,Inputs!$F$2:$S$2,0))</f>
        <v>9.1306750669853294</v>
      </c>
      <c r="I69" s="86"/>
      <c r="J69" s="86"/>
      <c r="K69" s="86"/>
      <c r="L69" s="86"/>
    </row>
    <row r="70" spans="1:12" x14ac:dyDescent="0.3">
      <c r="A70" s="104" t="s">
        <v>114</v>
      </c>
      <c r="B70" s="17" t="s">
        <v>28</v>
      </c>
      <c r="C70" s="17" t="s">
        <v>50</v>
      </c>
      <c r="D70" s="48">
        <f>INDEX(Inputs!$F$2:$S$544,MATCH('BP costs'!$B70&amp;'BP costs'!D$4,Inputs!$S$2:$S$544,0),MATCH('BP costs'!$C70,Inputs!$F$2:$S$2,0))</f>
        <v>10.211000000000002</v>
      </c>
      <c r="E70" s="48">
        <f>INDEX(Inputs!$F$2:$S$544,MATCH('BP costs'!$B70&amp;'BP costs'!E$4,Inputs!$S$2:$S$544,0),MATCH('BP costs'!$C70,Inputs!$F$2:$S$2,0))</f>
        <v>9.0656514269487989</v>
      </c>
      <c r="F70" s="48">
        <f>INDEX(Inputs!$F$2:$S$544,MATCH('BP costs'!$B70&amp;'BP costs'!F$4,Inputs!$S$2:$S$544,0),MATCH('BP costs'!$C70,Inputs!$F$2:$S$2,0))</f>
        <v>3.0186284253869275</v>
      </c>
      <c r="G70" s="48">
        <f>INDEX(Inputs!$F$2:$S$544,MATCH('BP costs'!$B70&amp;'BP costs'!G$4,Inputs!$S$2:$S$544,0),MATCH('BP costs'!$C70,Inputs!$F$2:$S$2,0))</f>
        <v>6.0470230015618718</v>
      </c>
      <c r="H70" s="48">
        <f>INDEX(Inputs!$F$2:$S$544,MATCH('BP costs'!$B70&amp;'BP costs'!H$4,Inputs!$S$2:$S$544,0),MATCH('BP costs'!$C70,Inputs!$F$2:$S$2,0))</f>
        <v>9.0656514269487989</v>
      </c>
      <c r="I70" s="86"/>
      <c r="J70" s="86"/>
      <c r="K70" s="86"/>
      <c r="L70" s="86"/>
    </row>
    <row r="71" spans="1:12" x14ac:dyDescent="0.3">
      <c r="A71" s="104" t="s">
        <v>115</v>
      </c>
      <c r="B71" s="17" t="s">
        <v>28</v>
      </c>
      <c r="C71" s="17" t="s">
        <v>51</v>
      </c>
      <c r="D71" s="48">
        <f>INDEX(Inputs!$F$2:$S$544,MATCH('BP costs'!$B71&amp;'BP costs'!D$4,Inputs!$S$2:$S$544,0),MATCH('BP costs'!$C71,Inputs!$F$2:$S$2,0))</f>
        <v>10.276</v>
      </c>
      <c r="E71" s="48">
        <f>INDEX(Inputs!$F$2:$S$544,MATCH('BP costs'!$B71&amp;'BP costs'!E$4,Inputs!$S$2:$S$544,0),MATCH('BP costs'!$C71,Inputs!$F$2:$S$2,0))</f>
        <v>8.9455419741055309</v>
      </c>
      <c r="F71" s="48">
        <f>INDEX(Inputs!$F$2:$S$544,MATCH('BP costs'!$B71&amp;'BP costs'!F$4,Inputs!$S$2:$S$544,0),MATCH('BP costs'!$C71,Inputs!$F$2:$S$2,0))</f>
        <v>3.0111550884031759</v>
      </c>
      <c r="G71" s="48">
        <f>INDEX(Inputs!$F$2:$S$544,MATCH('BP costs'!$B71&amp;'BP costs'!G$4,Inputs!$S$2:$S$544,0),MATCH('BP costs'!$C71,Inputs!$F$2:$S$2,0))</f>
        <v>5.9343868857023558</v>
      </c>
      <c r="H71" s="48">
        <f>INDEX(Inputs!$F$2:$S$544,MATCH('BP costs'!$B71&amp;'BP costs'!H$4,Inputs!$S$2:$S$544,0),MATCH('BP costs'!$C71,Inputs!$F$2:$S$2,0))</f>
        <v>8.9455419741055309</v>
      </c>
      <c r="I71" s="86"/>
      <c r="J71" s="86"/>
      <c r="K71" s="86"/>
      <c r="L71" s="86"/>
    </row>
    <row r="72" spans="1:12" x14ac:dyDescent="0.3">
      <c r="A72" s="104" t="s">
        <v>121</v>
      </c>
      <c r="B72" s="17" t="s">
        <v>30</v>
      </c>
      <c r="C72" s="17" t="s">
        <v>47</v>
      </c>
      <c r="D72" s="48">
        <f>INDEX(Inputs!$F$2:$S$544,MATCH('BP costs'!$B72&amp;'BP costs'!D$4,Inputs!$S$2:$S$544,0),MATCH('BP costs'!$C72,Inputs!$F$2:$S$2,0))</f>
        <v>4.5869999999999997</v>
      </c>
      <c r="E72" s="48">
        <f>INDEX(Inputs!$F$2:$S$544,MATCH('BP costs'!$B72&amp;'BP costs'!E$4,Inputs!$S$2:$S$544,0),MATCH('BP costs'!$C72,Inputs!$F$2:$S$2,0))</f>
        <v>4.3224325485673063</v>
      </c>
      <c r="F72" s="48">
        <f>INDEX(Inputs!$F$2:$S$544,MATCH('BP costs'!$B72&amp;'BP costs'!F$4,Inputs!$S$2:$S$544,0),MATCH('BP costs'!$C72,Inputs!$F$2:$S$2,0))</f>
        <v>0.87918673813239534</v>
      </c>
      <c r="G72" s="48">
        <f>INDEX(Inputs!$F$2:$S$544,MATCH('BP costs'!$B72&amp;'BP costs'!G$4,Inputs!$S$2:$S$544,0),MATCH('BP costs'!$C72,Inputs!$F$2:$S$2,0))</f>
        <v>3.4432458104349113</v>
      </c>
      <c r="H72" s="48">
        <f>INDEX(Inputs!$F$2:$S$544,MATCH('BP costs'!$B72&amp;'BP costs'!H$4,Inputs!$S$2:$S$544,0),MATCH('BP costs'!$C72,Inputs!$F$2:$S$2,0))</f>
        <v>4.3224325485673063</v>
      </c>
      <c r="I72" s="86"/>
      <c r="J72" s="86"/>
      <c r="K72" s="86"/>
      <c r="L72" s="86"/>
    </row>
    <row r="73" spans="1:12" x14ac:dyDescent="0.3">
      <c r="A73" s="104" t="s">
        <v>122</v>
      </c>
      <c r="B73" s="17" t="s">
        <v>30</v>
      </c>
      <c r="C73" s="17" t="s">
        <v>48</v>
      </c>
      <c r="D73" s="48">
        <f>INDEX(Inputs!$F$2:$S$544,MATCH('BP costs'!$B73&amp;'BP costs'!D$4,Inputs!$S$2:$S$544,0),MATCH('BP costs'!$C73,Inputs!$F$2:$S$2,0))</f>
        <v>4.621999999999999</v>
      </c>
      <c r="E73" s="48">
        <f>INDEX(Inputs!$F$2:$S$544,MATCH('BP costs'!$B73&amp;'BP costs'!E$4,Inputs!$S$2:$S$544,0),MATCH('BP costs'!$C73,Inputs!$F$2:$S$2,0))</f>
        <v>4.2700135590945614</v>
      </c>
      <c r="F73" s="48">
        <f>INDEX(Inputs!$F$2:$S$544,MATCH('BP costs'!$B73&amp;'BP costs'!F$4,Inputs!$S$2:$S$544,0),MATCH('BP costs'!$C73,Inputs!$F$2:$S$2,0))</f>
        <v>0.86102393705671387</v>
      </c>
      <c r="G73" s="48">
        <f>INDEX(Inputs!$F$2:$S$544,MATCH('BP costs'!$B73&amp;'BP costs'!G$4,Inputs!$S$2:$S$544,0),MATCH('BP costs'!$C73,Inputs!$F$2:$S$2,0))</f>
        <v>3.4089896220378471</v>
      </c>
      <c r="H73" s="48">
        <f>INDEX(Inputs!$F$2:$S$544,MATCH('BP costs'!$B73&amp;'BP costs'!H$4,Inputs!$S$2:$S$544,0),MATCH('BP costs'!$C73,Inputs!$F$2:$S$2,0))</f>
        <v>4.2700135590945614</v>
      </c>
      <c r="I73" s="86"/>
      <c r="J73" s="86"/>
      <c r="K73" s="86"/>
      <c r="L73" s="86"/>
    </row>
    <row r="74" spans="1:12" x14ac:dyDescent="0.3">
      <c r="A74" s="104" t="s">
        <v>123</v>
      </c>
      <c r="B74" s="17" t="s">
        <v>30</v>
      </c>
      <c r="C74" s="17" t="s">
        <v>49</v>
      </c>
      <c r="D74" s="48">
        <f>INDEX(Inputs!$F$2:$S$544,MATCH('BP costs'!$B74&amp;'BP costs'!D$4,Inputs!$S$2:$S$544,0),MATCH('BP costs'!$C74,Inputs!$F$2:$S$2,0))</f>
        <v>4.6730000000000009</v>
      </c>
      <c r="E74" s="48">
        <f>INDEX(Inputs!$F$2:$S$544,MATCH('BP costs'!$B74&amp;'BP costs'!E$4,Inputs!$S$2:$S$544,0),MATCH('BP costs'!$C74,Inputs!$F$2:$S$2,0))</f>
        <v>4.2324800743352116</v>
      </c>
      <c r="F74" s="48">
        <f>INDEX(Inputs!$F$2:$S$544,MATCH('BP costs'!$B74&amp;'BP costs'!F$4,Inputs!$S$2:$S$544,0),MATCH('BP costs'!$C74,Inputs!$F$2:$S$2,0))</f>
        <v>0.85410415366961345</v>
      </c>
      <c r="G74" s="48">
        <f>INDEX(Inputs!$F$2:$S$544,MATCH('BP costs'!$B74&amp;'BP costs'!G$4,Inputs!$S$2:$S$544,0),MATCH('BP costs'!$C74,Inputs!$F$2:$S$2,0))</f>
        <v>3.3783759206655981</v>
      </c>
      <c r="H74" s="48">
        <f>INDEX(Inputs!$F$2:$S$544,MATCH('BP costs'!$B74&amp;'BP costs'!H$4,Inputs!$S$2:$S$544,0),MATCH('BP costs'!$C74,Inputs!$F$2:$S$2,0))</f>
        <v>4.2324800743352116</v>
      </c>
      <c r="I74" s="86"/>
      <c r="J74" s="86"/>
      <c r="K74" s="86"/>
      <c r="L74" s="86"/>
    </row>
    <row r="75" spans="1:12" x14ac:dyDescent="0.3">
      <c r="A75" s="104" t="s">
        <v>124</v>
      </c>
      <c r="B75" s="17" t="s">
        <v>30</v>
      </c>
      <c r="C75" s="17" t="s">
        <v>50</v>
      </c>
      <c r="D75" s="48">
        <f>INDEX(Inputs!$F$2:$S$544,MATCH('BP costs'!$B75&amp;'BP costs'!D$4,Inputs!$S$2:$S$544,0),MATCH('BP costs'!$C75,Inputs!$F$2:$S$2,0))</f>
        <v>4.93</v>
      </c>
      <c r="E75" s="48">
        <f>INDEX(Inputs!$F$2:$S$544,MATCH('BP costs'!$B75&amp;'BP costs'!E$4,Inputs!$S$2:$S$544,0),MATCH('BP costs'!$C75,Inputs!$F$2:$S$2,0))</f>
        <v>4.3776989141779472</v>
      </c>
      <c r="F75" s="48">
        <f>INDEX(Inputs!$F$2:$S$544,MATCH('BP costs'!$B75&amp;'BP costs'!F$4,Inputs!$S$2:$S$544,0),MATCH('BP costs'!$C75,Inputs!$F$2:$S$2,0))</f>
        <v>0.86133224072061043</v>
      </c>
      <c r="G75" s="48">
        <f>INDEX(Inputs!$F$2:$S$544,MATCH('BP costs'!$B75&amp;'BP costs'!G$4,Inputs!$S$2:$S$544,0),MATCH('BP costs'!$C75,Inputs!$F$2:$S$2,0))</f>
        <v>3.5163666734573376</v>
      </c>
      <c r="H75" s="48">
        <f>INDEX(Inputs!$F$2:$S$544,MATCH('BP costs'!$B75&amp;'BP costs'!H$4,Inputs!$S$2:$S$544,0),MATCH('BP costs'!$C75,Inputs!$F$2:$S$2,0))</f>
        <v>4.3776989141779472</v>
      </c>
      <c r="I75" s="86"/>
      <c r="J75" s="86"/>
      <c r="K75" s="86"/>
      <c r="L75" s="86"/>
    </row>
    <row r="76" spans="1:12" x14ac:dyDescent="0.3">
      <c r="A76" s="104" t="s">
        <v>125</v>
      </c>
      <c r="B76" s="17" t="s">
        <v>30</v>
      </c>
      <c r="C76" s="17" t="s">
        <v>51</v>
      </c>
      <c r="D76" s="48">
        <f>INDEX(Inputs!$F$2:$S$544,MATCH('BP costs'!$B76&amp;'BP costs'!D$4,Inputs!$S$2:$S$544,0),MATCH('BP costs'!$C76,Inputs!$F$2:$S$2,0))</f>
        <v>4.8939999999999992</v>
      </c>
      <c r="E76" s="48">
        <f>INDEX(Inputs!$F$2:$S$544,MATCH('BP costs'!$B76&amp;'BP costs'!E$4,Inputs!$S$2:$S$544,0),MATCH('BP costs'!$C76,Inputs!$F$2:$S$2,0))</f>
        <v>4.2605215141365234</v>
      </c>
      <c r="F76" s="48">
        <f>INDEX(Inputs!$F$2:$S$544,MATCH('BP costs'!$B76&amp;'BP costs'!F$4,Inputs!$S$2:$S$544,0),MATCH('BP costs'!$C76,Inputs!$F$2:$S$2,0))</f>
        <v>0.86620737772085032</v>
      </c>
      <c r="G76" s="48">
        <f>INDEX(Inputs!$F$2:$S$544,MATCH('BP costs'!$B76&amp;'BP costs'!G$4,Inputs!$S$2:$S$544,0),MATCH('BP costs'!$C76,Inputs!$F$2:$S$2,0))</f>
        <v>3.3943141364156735</v>
      </c>
      <c r="H76" s="48">
        <f>INDEX(Inputs!$F$2:$S$544,MATCH('BP costs'!$B76&amp;'BP costs'!H$4,Inputs!$S$2:$S$544,0),MATCH('BP costs'!$C76,Inputs!$F$2:$S$2,0))</f>
        <v>4.2605215141365234</v>
      </c>
      <c r="I76" s="86"/>
      <c r="J76" s="86"/>
      <c r="K76" s="86"/>
      <c r="L76" s="86"/>
    </row>
    <row r="77" spans="1:12" x14ac:dyDescent="0.3">
      <c r="A77" s="104" t="s">
        <v>126</v>
      </c>
      <c r="B77" s="17" t="s">
        <v>31</v>
      </c>
      <c r="C77" s="17" t="s">
        <v>47</v>
      </c>
      <c r="D77" s="48">
        <f>INDEX(Inputs!$F$2:$S$544,MATCH('BP costs'!$B77&amp;'BP costs'!D$4,Inputs!$S$2:$S$544,0),MATCH('BP costs'!$C77,Inputs!$F$2:$S$2,0))</f>
        <v>7.3872083694844424</v>
      </c>
      <c r="E77" s="48">
        <f>INDEX(Inputs!$F$2:$S$544,MATCH('BP costs'!$B77&amp;'BP costs'!E$4,Inputs!$S$2:$S$544,0),MATCH('BP costs'!$C77,Inputs!$F$2:$S$2,0))</f>
        <v>6.9482872945827863</v>
      </c>
      <c r="F77" s="48">
        <f>INDEX(Inputs!$F$2:$S$544,MATCH('BP costs'!$B77&amp;'BP costs'!F$4,Inputs!$S$2:$S$544,0),MATCH('BP costs'!$C77,Inputs!$F$2:$S$2,0))</f>
        <v>1.2553396388670155</v>
      </c>
      <c r="G77" s="48">
        <f>INDEX(Inputs!$F$2:$S$544,MATCH('BP costs'!$B77&amp;'BP costs'!G$4,Inputs!$S$2:$S$544,0),MATCH('BP costs'!$C77,Inputs!$F$2:$S$2,0))</f>
        <v>5.6929476557157708</v>
      </c>
      <c r="H77" s="48">
        <f>INDEX(Inputs!$F$2:$S$544,MATCH('BP costs'!$B77&amp;'BP costs'!H$4,Inputs!$S$2:$S$544,0),MATCH('BP costs'!$C77,Inputs!$F$2:$S$2,0))</f>
        <v>6.9482872945827863</v>
      </c>
      <c r="I77" s="86"/>
      <c r="J77" s="86"/>
      <c r="K77" s="86"/>
      <c r="L77" s="86"/>
    </row>
    <row r="78" spans="1:12" x14ac:dyDescent="0.3">
      <c r="A78" s="104" t="s">
        <v>127</v>
      </c>
      <c r="B78" s="17" t="s">
        <v>31</v>
      </c>
      <c r="C78" s="17" t="s">
        <v>48</v>
      </c>
      <c r="D78" s="48">
        <f>INDEX(Inputs!$F$2:$S$544,MATCH('BP costs'!$B78&amp;'BP costs'!D$4,Inputs!$S$2:$S$544,0),MATCH('BP costs'!$C78,Inputs!$F$2:$S$2,0))</f>
        <v>7.4095169580540485</v>
      </c>
      <c r="E78" s="48">
        <f>INDEX(Inputs!$F$2:$S$544,MATCH('BP costs'!$B78&amp;'BP costs'!E$4,Inputs!$S$2:$S$544,0),MATCH('BP costs'!$C78,Inputs!$F$2:$S$2,0))</f>
        <v>6.8335854776861522</v>
      </c>
      <c r="F78" s="48">
        <f>INDEX(Inputs!$F$2:$S$544,MATCH('BP costs'!$B78&amp;'BP costs'!F$4,Inputs!$S$2:$S$544,0),MATCH('BP costs'!$C78,Inputs!$F$2:$S$2,0))</f>
        <v>1.2362603595238459</v>
      </c>
      <c r="G78" s="48">
        <f>INDEX(Inputs!$F$2:$S$544,MATCH('BP costs'!$B78&amp;'BP costs'!G$4,Inputs!$S$2:$S$544,0),MATCH('BP costs'!$C78,Inputs!$F$2:$S$2,0))</f>
        <v>5.5973251181623063</v>
      </c>
      <c r="H78" s="48">
        <f>INDEX(Inputs!$F$2:$S$544,MATCH('BP costs'!$B78&amp;'BP costs'!H$4,Inputs!$S$2:$S$544,0),MATCH('BP costs'!$C78,Inputs!$F$2:$S$2,0))</f>
        <v>6.8335854776861522</v>
      </c>
      <c r="I78" s="86"/>
      <c r="J78" s="86"/>
      <c r="K78" s="86"/>
      <c r="L78" s="86"/>
    </row>
    <row r="79" spans="1:12" x14ac:dyDescent="0.3">
      <c r="A79" s="104" t="s">
        <v>128</v>
      </c>
      <c r="B79" s="17" t="s">
        <v>31</v>
      </c>
      <c r="C79" s="17" t="s">
        <v>49</v>
      </c>
      <c r="D79" s="48">
        <f>INDEX(Inputs!$F$2:$S$544,MATCH('BP costs'!$B79&amp;'BP costs'!D$4,Inputs!$S$2:$S$544,0),MATCH('BP costs'!$C79,Inputs!$F$2:$S$2,0))</f>
        <v>7.5428550460436332</v>
      </c>
      <c r="E79" s="48">
        <f>INDEX(Inputs!$F$2:$S$544,MATCH('BP costs'!$B79&amp;'BP costs'!E$4,Inputs!$S$2:$S$544,0),MATCH('BP costs'!$C79,Inputs!$F$2:$S$2,0))</f>
        <v>6.8197617991484742</v>
      </c>
      <c r="F79" s="48">
        <f>INDEX(Inputs!$F$2:$S$544,MATCH('BP costs'!$B79&amp;'BP costs'!F$4,Inputs!$S$2:$S$544,0),MATCH('BP costs'!$C79,Inputs!$F$2:$S$2,0))</f>
        <v>1.2173105121924641</v>
      </c>
      <c r="G79" s="48">
        <f>INDEX(Inputs!$F$2:$S$544,MATCH('BP costs'!$B79&amp;'BP costs'!G$4,Inputs!$S$2:$S$544,0),MATCH('BP costs'!$C79,Inputs!$F$2:$S$2,0))</f>
        <v>5.6024512869560104</v>
      </c>
      <c r="H79" s="48">
        <f>INDEX(Inputs!$F$2:$S$544,MATCH('BP costs'!$B79&amp;'BP costs'!H$4,Inputs!$S$2:$S$544,0),MATCH('BP costs'!$C79,Inputs!$F$2:$S$2,0))</f>
        <v>6.8197617991484742</v>
      </c>
      <c r="I79" s="86"/>
      <c r="J79" s="86"/>
      <c r="K79" s="86"/>
      <c r="L79" s="86"/>
    </row>
    <row r="80" spans="1:12" x14ac:dyDescent="0.3">
      <c r="A80" s="104" t="s">
        <v>129</v>
      </c>
      <c r="B80" s="17" t="s">
        <v>31</v>
      </c>
      <c r="C80" s="17" t="s">
        <v>50</v>
      </c>
      <c r="D80" s="48">
        <f>INDEX(Inputs!$F$2:$S$544,MATCH('BP costs'!$B80&amp;'BP costs'!D$4,Inputs!$S$2:$S$544,0),MATCH('BP costs'!$C80,Inputs!$F$2:$S$2,0))</f>
        <v>7.5322524044116959</v>
      </c>
      <c r="E80" s="48">
        <f>INDEX(Inputs!$F$2:$S$544,MATCH('BP costs'!$B80&amp;'BP costs'!E$4,Inputs!$S$2:$S$544,0),MATCH('BP costs'!$C80,Inputs!$F$2:$S$2,0))</f>
        <v>6.6769456031735688</v>
      </c>
      <c r="F80" s="48">
        <f>INDEX(Inputs!$F$2:$S$544,MATCH('BP costs'!$B80&amp;'BP costs'!F$4,Inputs!$S$2:$S$544,0),MATCH('BP costs'!$C80,Inputs!$F$2:$S$2,0))</f>
        <v>1.1970838180280043</v>
      </c>
      <c r="G80" s="48">
        <f>INDEX(Inputs!$F$2:$S$544,MATCH('BP costs'!$B80&amp;'BP costs'!G$4,Inputs!$S$2:$S$544,0),MATCH('BP costs'!$C80,Inputs!$F$2:$S$2,0))</f>
        <v>5.4798617851455642</v>
      </c>
      <c r="H80" s="48">
        <f>INDEX(Inputs!$F$2:$S$544,MATCH('BP costs'!$B80&amp;'BP costs'!H$4,Inputs!$S$2:$S$544,0),MATCH('BP costs'!$C80,Inputs!$F$2:$S$2,0))</f>
        <v>6.6769456031735688</v>
      </c>
      <c r="I80" s="86"/>
      <c r="J80" s="86"/>
      <c r="K80" s="86"/>
      <c r="L80" s="86"/>
    </row>
    <row r="81" spans="1:12" x14ac:dyDescent="0.3">
      <c r="A81" s="104" t="s">
        <v>130</v>
      </c>
      <c r="B81" s="17" t="s">
        <v>31</v>
      </c>
      <c r="C81" s="17" t="s">
        <v>51</v>
      </c>
      <c r="D81" s="48">
        <f>INDEX(Inputs!$F$2:$S$544,MATCH('BP costs'!$B81&amp;'BP costs'!D$4,Inputs!$S$2:$S$544,0),MATCH('BP costs'!$C81,Inputs!$F$2:$S$2,0))</f>
        <v>7.5437319399069009</v>
      </c>
      <c r="E81" s="48">
        <f>INDEX(Inputs!$F$2:$S$544,MATCH('BP costs'!$B81&amp;'BP costs'!E$4,Inputs!$S$2:$S$544,0),MATCH('BP costs'!$C81,Inputs!$F$2:$S$2,0))</f>
        <v>6.5551633991437086</v>
      </c>
      <c r="F81" s="48">
        <f>INDEX(Inputs!$F$2:$S$544,MATCH('BP costs'!$B81&amp;'BP costs'!F$4,Inputs!$S$2:$S$544,0),MATCH('BP costs'!$C81,Inputs!$F$2:$S$2,0))</f>
        <v>1.1770838406638391</v>
      </c>
      <c r="G81" s="48">
        <f>INDEX(Inputs!$F$2:$S$544,MATCH('BP costs'!$B81&amp;'BP costs'!G$4,Inputs!$S$2:$S$544,0),MATCH('BP costs'!$C81,Inputs!$F$2:$S$2,0))</f>
        <v>5.37807955847987</v>
      </c>
      <c r="H81" s="48">
        <f>INDEX(Inputs!$F$2:$S$544,MATCH('BP costs'!$B81&amp;'BP costs'!H$4,Inputs!$S$2:$S$544,0),MATCH('BP costs'!$C81,Inputs!$F$2:$S$2,0))</f>
        <v>6.5551633991437095</v>
      </c>
      <c r="I81" s="86"/>
      <c r="J81" s="86"/>
      <c r="K81" s="86"/>
      <c r="L81" s="86"/>
    </row>
    <row r="82" spans="1:12" x14ac:dyDescent="0.3">
      <c r="A82" s="104" t="s">
        <v>131</v>
      </c>
      <c r="B82" s="17" t="s">
        <v>32</v>
      </c>
      <c r="C82" s="17" t="s">
        <v>47</v>
      </c>
      <c r="D82" s="48">
        <f>INDEX(Inputs!$F$2:$S$544,MATCH('BP costs'!$B82&amp;'BP costs'!D$4,Inputs!$S$2:$S$544,0),MATCH('BP costs'!$C82,Inputs!$F$2:$S$2,0))</f>
        <v>15.935</v>
      </c>
      <c r="E82" s="48">
        <f>INDEX(Inputs!$F$2:$S$544,MATCH('BP costs'!$B82&amp;'BP costs'!E$4,Inputs!$S$2:$S$544,0),MATCH('BP costs'!$C82,Inputs!$F$2:$S$2,0))</f>
        <v>15.099345334189922</v>
      </c>
      <c r="F82" s="48">
        <f>INDEX(Inputs!$F$2:$S$544,MATCH('BP costs'!$B82&amp;'BP costs'!F$4,Inputs!$S$2:$S$544,0),MATCH('BP costs'!$C82,Inputs!$F$2:$S$2,0))</f>
        <v>2.2362381542948362</v>
      </c>
      <c r="G82" s="48">
        <f>INDEX(Inputs!$F$2:$S$544,MATCH('BP costs'!$B82&amp;'BP costs'!G$4,Inputs!$S$2:$S$544,0),MATCH('BP costs'!$C82,Inputs!$F$2:$S$2,0))</f>
        <v>12.863107179895087</v>
      </c>
      <c r="H82" s="48">
        <f>INDEX(Inputs!$F$2:$S$544,MATCH('BP costs'!$B82&amp;'BP costs'!H$4,Inputs!$S$2:$S$544,0),MATCH('BP costs'!$C82,Inputs!$F$2:$S$2,0))</f>
        <v>15.771164339018325</v>
      </c>
      <c r="I82" s="86"/>
      <c r="J82" s="86"/>
      <c r="K82" s="86"/>
      <c r="L82" s="86"/>
    </row>
    <row r="83" spans="1:12" x14ac:dyDescent="0.3">
      <c r="A83" s="104" t="s">
        <v>132</v>
      </c>
      <c r="B83" s="17" t="s">
        <v>32</v>
      </c>
      <c r="C83" s="17" t="s">
        <v>48</v>
      </c>
      <c r="D83" s="48">
        <f>INDEX(Inputs!$F$2:$S$544,MATCH('BP costs'!$B83&amp;'BP costs'!D$4,Inputs!$S$2:$S$544,0),MATCH('BP costs'!$C83,Inputs!$F$2:$S$2,0))</f>
        <v>16.134</v>
      </c>
      <c r="E83" s="48">
        <f>INDEX(Inputs!$F$2:$S$544,MATCH('BP costs'!$B83&amp;'BP costs'!E$4,Inputs!$S$2:$S$544,0),MATCH('BP costs'!$C83,Inputs!$F$2:$S$2,0))</f>
        <v>15.005863288198979</v>
      </c>
      <c r="F83" s="48">
        <f>INDEX(Inputs!$F$2:$S$544,MATCH('BP costs'!$B83&amp;'BP costs'!F$4,Inputs!$S$2:$S$544,0),MATCH('BP costs'!$C83,Inputs!$F$2:$S$2,0))</f>
        <v>2.2070728636975443</v>
      </c>
      <c r="G83" s="48">
        <f>INDEX(Inputs!$F$2:$S$544,MATCH('BP costs'!$B83&amp;'BP costs'!G$4,Inputs!$S$2:$S$544,0),MATCH('BP costs'!$C83,Inputs!$F$2:$S$2,0))</f>
        <v>12.798790424501433</v>
      </c>
      <c r="H83" s="48">
        <f>INDEX(Inputs!$F$2:$S$544,MATCH('BP costs'!$B83&amp;'BP costs'!H$4,Inputs!$S$2:$S$544,0),MATCH('BP costs'!$C83,Inputs!$F$2:$S$2,0))</f>
        <v>15.676448848555459</v>
      </c>
      <c r="I83" s="86"/>
      <c r="J83" s="86"/>
      <c r="K83" s="86"/>
      <c r="L83" s="86"/>
    </row>
    <row r="84" spans="1:12" x14ac:dyDescent="0.3">
      <c r="A84" s="104" t="s">
        <v>133</v>
      </c>
      <c r="B84" s="17" t="s">
        <v>32</v>
      </c>
      <c r="C84" s="17" t="s">
        <v>49</v>
      </c>
      <c r="D84" s="48">
        <f>INDEX(Inputs!$F$2:$S$544,MATCH('BP costs'!$B84&amp;'BP costs'!D$4,Inputs!$S$2:$S$544,0),MATCH('BP costs'!$C84,Inputs!$F$2:$S$2,0))</f>
        <v>16.32</v>
      </c>
      <c r="E84" s="48">
        <f>INDEX(Inputs!$F$2:$S$544,MATCH('BP costs'!$B84&amp;'BP costs'!E$4,Inputs!$S$2:$S$544,0),MATCH('BP costs'!$C84,Inputs!$F$2:$S$2,0))</f>
        <v>14.89367907138827</v>
      </c>
      <c r="F84" s="48">
        <f>INDEX(Inputs!$F$2:$S$544,MATCH('BP costs'!$B84&amp;'BP costs'!F$4,Inputs!$S$2:$S$544,0),MATCH('BP costs'!$C84,Inputs!$F$2:$S$2,0))</f>
        <v>2.179295687651666</v>
      </c>
      <c r="G84" s="48">
        <f>INDEX(Inputs!$F$2:$S$544,MATCH('BP costs'!$B84&amp;'BP costs'!G$4,Inputs!$S$2:$S$544,0),MATCH('BP costs'!$C84,Inputs!$F$2:$S$2,0))</f>
        <v>12.714383383736605</v>
      </c>
      <c r="H84" s="48">
        <f>INDEX(Inputs!$F$2:$S$544,MATCH('BP costs'!$B84&amp;'BP costs'!H$4,Inputs!$S$2:$S$544,0),MATCH('BP costs'!$C84,Inputs!$F$2:$S$2,0))</f>
        <v>15.565354794215585</v>
      </c>
      <c r="I84" s="86"/>
      <c r="J84" s="86"/>
      <c r="K84" s="86"/>
      <c r="L84" s="86"/>
    </row>
    <row r="85" spans="1:12" x14ac:dyDescent="0.3">
      <c r="A85" s="104" t="s">
        <v>134</v>
      </c>
      <c r="B85" s="17" t="s">
        <v>32</v>
      </c>
      <c r="C85" s="17" t="s">
        <v>50</v>
      </c>
      <c r="D85" s="48">
        <f>INDEX(Inputs!$F$2:$S$544,MATCH('BP costs'!$B85&amp;'BP costs'!D$4,Inputs!$S$2:$S$544,0),MATCH('BP costs'!$C85,Inputs!$F$2:$S$2,0))</f>
        <v>16.498000000000005</v>
      </c>
      <c r="E85" s="48">
        <f>INDEX(Inputs!$F$2:$S$544,MATCH('BP costs'!$B85&amp;'BP costs'!E$4,Inputs!$S$2:$S$544,0),MATCH('BP costs'!$C85,Inputs!$F$2:$S$2,0))</f>
        <v>14.765992324532583</v>
      </c>
      <c r="F85" s="48">
        <f>INDEX(Inputs!$F$2:$S$544,MATCH('BP costs'!$B85&amp;'BP costs'!F$4,Inputs!$S$2:$S$544,0),MATCH('BP costs'!$C85,Inputs!$F$2:$S$2,0))</f>
        <v>2.1498311045900871</v>
      </c>
      <c r="G85" s="48">
        <f>INDEX(Inputs!$F$2:$S$544,MATCH('BP costs'!$B85&amp;'BP costs'!G$4,Inputs!$S$2:$S$544,0),MATCH('BP costs'!$C85,Inputs!$F$2:$S$2,0))</f>
        <v>12.616161219942494</v>
      </c>
      <c r="H85" s="48">
        <f>INDEX(Inputs!$F$2:$S$544,MATCH('BP costs'!$B85&amp;'BP costs'!H$4,Inputs!$S$2:$S$544,0),MATCH('BP costs'!$C85,Inputs!$F$2:$S$2,0))</f>
        <v>15.437255159021579</v>
      </c>
      <c r="I85" s="86"/>
      <c r="J85" s="86"/>
      <c r="K85" s="86"/>
      <c r="L85" s="86"/>
    </row>
    <row r="86" spans="1:12" x14ac:dyDescent="0.3">
      <c r="A86" s="104" t="s">
        <v>135</v>
      </c>
      <c r="B86" s="17" t="s">
        <v>32</v>
      </c>
      <c r="C86" s="17" t="s">
        <v>51</v>
      </c>
      <c r="D86" s="48">
        <f>INDEX(Inputs!$F$2:$S$544,MATCH('BP costs'!$B86&amp;'BP costs'!D$4,Inputs!$S$2:$S$544,0),MATCH('BP costs'!$C86,Inputs!$F$2:$S$2,0))</f>
        <v>16.582000000000001</v>
      </c>
      <c r="E86" s="48">
        <f>INDEX(Inputs!$F$2:$S$544,MATCH('BP costs'!$B86&amp;'BP costs'!E$4,Inputs!$S$2:$S$544,0),MATCH('BP costs'!$C86,Inputs!$F$2:$S$2,0))</f>
        <v>14.55184926206322</v>
      </c>
      <c r="F86" s="48">
        <f>INDEX(Inputs!$F$2:$S$544,MATCH('BP costs'!$B86&amp;'BP costs'!F$4,Inputs!$S$2:$S$544,0),MATCH('BP costs'!$C86,Inputs!$F$2:$S$2,0))</f>
        <v>2.1210842881683027</v>
      </c>
      <c r="G86" s="48">
        <f>INDEX(Inputs!$F$2:$S$544,MATCH('BP costs'!$B86&amp;'BP costs'!G$4,Inputs!$S$2:$S$544,0),MATCH('BP costs'!$C86,Inputs!$F$2:$S$2,0))</f>
        <v>12.430764973894917</v>
      </c>
      <c r="H86" s="48">
        <f>INDEX(Inputs!$F$2:$S$544,MATCH('BP costs'!$B86&amp;'BP costs'!H$4,Inputs!$S$2:$S$544,0),MATCH('BP costs'!$C86,Inputs!$F$2:$S$2,0))</f>
        <v>15.223189551864111</v>
      </c>
      <c r="I86" s="86"/>
      <c r="J86" s="86"/>
      <c r="K86" s="86"/>
      <c r="L86" s="86"/>
    </row>
    <row r="87" spans="1:12" x14ac:dyDescent="0.3">
      <c r="A87" s="104" t="s">
        <v>136</v>
      </c>
      <c r="B87" s="17" t="s">
        <v>33</v>
      </c>
      <c r="C87" s="17" t="s">
        <v>47</v>
      </c>
      <c r="D87" s="48">
        <f>INDEX(Inputs!$F$2:$S$544,MATCH('BP costs'!$B87&amp;'BP costs'!D$4,Inputs!$S$2:$S$544,0),MATCH('BP costs'!$C87,Inputs!$F$2:$S$2,0))</f>
        <v>11.720424281211589</v>
      </c>
      <c r="E87" s="48">
        <f>INDEX(Inputs!$F$2:$S$544,MATCH('BP costs'!$B87&amp;'BP costs'!E$4,Inputs!$S$2:$S$544,0),MATCH('BP costs'!$C87,Inputs!$F$2:$S$2,0))</f>
        <v>10.974387120417422</v>
      </c>
      <c r="F87" s="48">
        <f>INDEX(Inputs!$F$2:$S$544,MATCH('BP costs'!$B87&amp;'BP costs'!F$4,Inputs!$S$2:$S$544,0),MATCH('BP costs'!$C87,Inputs!$F$2:$S$2,0))</f>
        <v>3.8874340249420816</v>
      </c>
      <c r="G87" s="48">
        <f>INDEX(Inputs!$F$2:$S$544,MATCH('BP costs'!$B87&amp;'BP costs'!G$4,Inputs!$S$2:$S$544,0),MATCH('BP costs'!$C87,Inputs!$F$2:$S$2,0))</f>
        <v>7.0869530954753408</v>
      </c>
      <c r="H87" s="48">
        <f>INDEX(Inputs!$F$2:$S$544,MATCH('BP costs'!$B87&amp;'BP costs'!H$4,Inputs!$S$2:$S$544,0),MATCH('BP costs'!$C87,Inputs!$F$2:$S$2,0))</f>
        <v>10.993116650995191</v>
      </c>
      <c r="I87" s="86"/>
      <c r="J87" s="86"/>
      <c r="K87" s="86"/>
      <c r="L87" s="86"/>
    </row>
    <row r="88" spans="1:12" x14ac:dyDescent="0.3">
      <c r="A88" s="104" t="s">
        <v>137</v>
      </c>
      <c r="B88" s="17" t="s">
        <v>33</v>
      </c>
      <c r="C88" s="17" t="s">
        <v>48</v>
      </c>
      <c r="D88" s="48">
        <f>INDEX(Inputs!$F$2:$S$544,MATCH('BP costs'!$B88&amp;'BP costs'!D$4,Inputs!$S$2:$S$544,0),MATCH('BP costs'!$C88,Inputs!$F$2:$S$2,0))</f>
        <v>11.863745138424466</v>
      </c>
      <c r="E88" s="48">
        <f>INDEX(Inputs!$F$2:$S$544,MATCH('BP costs'!$B88&amp;'BP costs'!E$4,Inputs!$S$2:$S$544,0),MATCH('BP costs'!$C88,Inputs!$F$2:$S$2,0))</f>
        <v>10.888101163307079</v>
      </c>
      <c r="F88" s="48">
        <f>INDEX(Inputs!$F$2:$S$544,MATCH('BP costs'!$B88&amp;'BP costs'!F$4,Inputs!$S$2:$S$544,0),MATCH('BP costs'!$C88,Inputs!$F$2:$S$2,0))</f>
        <v>3.7698214986765008</v>
      </c>
      <c r="G88" s="48">
        <f>INDEX(Inputs!$F$2:$S$544,MATCH('BP costs'!$B88&amp;'BP costs'!G$4,Inputs!$S$2:$S$544,0),MATCH('BP costs'!$C88,Inputs!$F$2:$S$2,0))</f>
        <v>7.1182796646305775</v>
      </c>
      <c r="H88" s="48">
        <f>INDEX(Inputs!$F$2:$S$544,MATCH('BP costs'!$B88&amp;'BP costs'!H$4,Inputs!$S$2:$S$544,0),MATCH('BP costs'!$C88,Inputs!$F$2:$S$2,0))</f>
        <v>10.906830694348509</v>
      </c>
      <c r="I88" s="86"/>
      <c r="J88" s="86"/>
      <c r="K88" s="86"/>
      <c r="L88" s="86"/>
    </row>
    <row r="89" spans="1:12" x14ac:dyDescent="0.3">
      <c r="A89" s="104" t="s">
        <v>138</v>
      </c>
      <c r="B89" s="17" t="s">
        <v>33</v>
      </c>
      <c r="C89" s="17" t="s">
        <v>49</v>
      </c>
      <c r="D89" s="48">
        <f>INDEX(Inputs!$F$2:$S$544,MATCH('BP costs'!$B89&amp;'BP costs'!D$4,Inputs!$S$2:$S$544,0),MATCH('BP costs'!$C89,Inputs!$F$2:$S$2,0))</f>
        <v>11.809823396873826</v>
      </c>
      <c r="E89" s="48">
        <f>INDEX(Inputs!$F$2:$S$544,MATCH('BP costs'!$B89&amp;'BP costs'!E$4,Inputs!$S$2:$S$544,0),MATCH('BP costs'!$C89,Inputs!$F$2:$S$2,0))</f>
        <v>10.626091968134341</v>
      </c>
      <c r="F89" s="48">
        <f>INDEX(Inputs!$F$2:$S$544,MATCH('BP costs'!$B89&amp;'BP costs'!F$4,Inputs!$S$2:$S$544,0),MATCH('BP costs'!$C89,Inputs!$F$2:$S$2,0))</f>
        <v>3.738288396733251</v>
      </c>
      <c r="G89" s="48">
        <f>INDEX(Inputs!$F$2:$S$544,MATCH('BP costs'!$B89&amp;'BP costs'!G$4,Inputs!$S$2:$S$544,0),MATCH('BP costs'!$C89,Inputs!$F$2:$S$2,0))</f>
        <v>6.8878035714010908</v>
      </c>
      <c r="H89" s="48">
        <f>INDEX(Inputs!$F$2:$S$544,MATCH('BP costs'!$B89&amp;'BP costs'!H$4,Inputs!$S$2:$S$544,0),MATCH('BP costs'!$C89,Inputs!$F$2:$S$2,0))</f>
        <v>10.644821471547248</v>
      </c>
      <c r="I89" s="86"/>
      <c r="J89" s="86"/>
      <c r="K89" s="86"/>
      <c r="L89" s="86"/>
    </row>
    <row r="90" spans="1:12" x14ac:dyDescent="0.3">
      <c r="A90" s="104" t="s">
        <v>139</v>
      </c>
      <c r="B90" s="17" t="s">
        <v>33</v>
      </c>
      <c r="C90" s="17" t="s">
        <v>50</v>
      </c>
      <c r="D90" s="48">
        <f>INDEX(Inputs!$F$2:$S$544,MATCH('BP costs'!$B90&amp;'BP costs'!D$4,Inputs!$S$2:$S$544,0),MATCH('BP costs'!$C90,Inputs!$F$2:$S$2,0))</f>
        <v>12.006708385540534</v>
      </c>
      <c r="E90" s="48">
        <f>INDEX(Inputs!$F$2:$S$544,MATCH('BP costs'!$B90&amp;'BP costs'!E$4,Inputs!$S$2:$S$544,0),MATCH('BP costs'!$C90,Inputs!$F$2:$S$2,0))</f>
        <v>10.591414340268724</v>
      </c>
      <c r="F90" s="48">
        <f>INDEX(Inputs!$F$2:$S$544,MATCH('BP costs'!$B90&amp;'BP costs'!F$4,Inputs!$S$2:$S$544,0),MATCH('BP costs'!$C90,Inputs!$F$2:$S$2,0))</f>
        <v>3.7092367027092035</v>
      </c>
      <c r="G90" s="48">
        <f>INDEX(Inputs!$F$2:$S$544,MATCH('BP costs'!$B90&amp;'BP costs'!G$4,Inputs!$S$2:$S$544,0),MATCH('BP costs'!$C90,Inputs!$F$2:$S$2,0))</f>
        <v>6.8821776375595194</v>
      </c>
      <c r="H90" s="48">
        <f>INDEX(Inputs!$F$2:$S$544,MATCH('BP costs'!$B90&amp;'BP costs'!H$4,Inputs!$S$2:$S$544,0),MATCH('BP costs'!$C90,Inputs!$F$2:$S$2,0))</f>
        <v>10.610143815233144</v>
      </c>
      <c r="I90" s="86"/>
      <c r="J90" s="86"/>
      <c r="K90" s="86"/>
      <c r="L90" s="86"/>
    </row>
    <row r="91" spans="1:12" x14ac:dyDescent="0.3">
      <c r="A91" s="104" t="s">
        <v>140</v>
      </c>
      <c r="B91" s="17" t="s">
        <v>33</v>
      </c>
      <c r="C91" s="17" t="s">
        <v>51</v>
      </c>
      <c r="D91" s="48">
        <f>INDEX(Inputs!$F$2:$S$544,MATCH('BP costs'!$B91&amp;'BP costs'!D$4,Inputs!$S$2:$S$544,0),MATCH('BP costs'!$C91,Inputs!$F$2:$S$2,0))</f>
        <v>12.093304371476986</v>
      </c>
      <c r="E91" s="48">
        <f>INDEX(Inputs!$F$2:$S$544,MATCH('BP costs'!$B91&amp;'BP costs'!E$4,Inputs!$S$2:$S$544,0),MATCH('BP costs'!$C91,Inputs!$F$2:$S$2,0))</f>
        <v>10.458630196669843</v>
      </c>
      <c r="F91" s="48">
        <f>INDEX(Inputs!$F$2:$S$544,MATCH('BP costs'!$B91&amp;'BP costs'!F$4,Inputs!$S$2:$S$544,0),MATCH('BP costs'!$C91,Inputs!$F$2:$S$2,0))</f>
        <v>3.6791960108911055</v>
      </c>
      <c r="G91" s="48">
        <f>INDEX(Inputs!$F$2:$S$544,MATCH('BP costs'!$B91&amp;'BP costs'!G$4,Inputs!$S$2:$S$544,0),MATCH('BP costs'!$C91,Inputs!$F$2:$S$2,0))</f>
        <v>6.7794341857787375</v>
      </c>
      <c r="H91" s="48">
        <f>INDEX(Inputs!$F$2:$S$544,MATCH('BP costs'!$B91&amp;'BP costs'!H$4,Inputs!$S$2:$S$544,0),MATCH('BP costs'!$C91,Inputs!$F$2:$S$2,0))</f>
        <v>10.477359646469656</v>
      </c>
      <c r="I91" s="86"/>
      <c r="J91" s="86"/>
      <c r="K91" s="86"/>
      <c r="L91" s="86"/>
    </row>
    <row r="93" spans="1:12" x14ac:dyDescent="0.3">
      <c r="D93" s="73"/>
      <c r="E93" s="73"/>
      <c r="F93" s="73"/>
      <c r="G93" s="73"/>
      <c r="H93" s="73"/>
      <c r="I93" s="73"/>
      <c r="J93" s="73"/>
      <c r="K93" s="73"/>
      <c r="L93" s="73"/>
    </row>
    <row r="94" spans="1:12" x14ac:dyDescent="0.3">
      <c r="D94" s="73"/>
      <c r="E94" s="73"/>
      <c r="F94" s="73"/>
      <c r="G94" s="73"/>
      <c r="H94" s="73"/>
    </row>
  </sheetData>
  <conditionalFormatting sqref="B4">
    <cfRule type="cellIs" dxfId="16" priority="1" operator="equal">
      <formula>85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22"/>
  <sheetViews>
    <sheetView showGridLines="0" zoomScale="90" zoomScaleNormal="90" workbookViewId="0"/>
  </sheetViews>
  <sheetFormatPr defaultColWidth="8.58203125" defaultRowHeight="13" x14ac:dyDescent="0.3"/>
  <cols>
    <col min="1" max="1" width="2.08203125" style="16" customWidth="1"/>
    <col min="2" max="2" width="13.58203125" style="16" customWidth="1"/>
    <col min="3" max="3" width="53.08203125" style="16" bestFit="1" customWidth="1"/>
    <col min="4" max="10" width="7.58203125" style="16" customWidth="1"/>
    <col min="11" max="16384" width="8.58203125" style="16"/>
  </cols>
  <sheetData>
    <row r="1" spans="2:13" ht="15.75" customHeight="1" x14ac:dyDescent="0.3"/>
    <row r="2" spans="2:13" x14ac:dyDescent="0.3">
      <c r="B2" s="25"/>
      <c r="C2" s="25"/>
      <c r="D2" s="27" t="s">
        <v>179</v>
      </c>
      <c r="E2" s="167"/>
      <c r="F2" s="167"/>
      <c r="G2" s="167"/>
      <c r="H2" s="167"/>
      <c r="I2" s="167"/>
      <c r="J2" s="167"/>
    </row>
    <row r="3" spans="2:13" x14ac:dyDescent="0.3">
      <c r="B3" s="25"/>
      <c r="C3" s="25"/>
      <c r="D3" s="27" t="s">
        <v>150</v>
      </c>
      <c r="E3" s="167"/>
      <c r="F3" s="27" t="s">
        <v>151</v>
      </c>
      <c r="G3" s="27"/>
      <c r="H3" s="27" t="s">
        <v>152</v>
      </c>
      <c r="I3" s="167"/>
      <c r="J3" s="27"/>
    </row>
    <row r="4" spans="2:13" x14ac:dyDescent="0.3">
      <c r="B4" s="62" t="s">
        <v>181</v>
      </c>
      <c r="C4" s="63"/>
      <c r="D4" s="54" t="s">
        <v>182</v>
      </c>
      <c r="E4" s="54" t="s">
        <v>183</v>
      </c>
      <c r="F4" s="55" t="s">
        <v>184</v>
      </c>
      <c r="G4" s="55" t="s">
        <v>185</v>
      </c>
      <c r="H4" s="56" t="s">
        <v>186</v>
      </c>
      <c r="I4" s="56" t="s">
        <v>187</v>
      </c>
      <c r="J4" s="56" t="s">
        <v>188</v>
      </c>
    </row>
    <row r="5" spans="2:13" ht="14.5" x14ac:dyDescent="0.35">
      <c r="B5" s="28" t="s">
        <v>156</v>
      </c>
      <c r="C5" s="28" t="s">
        <v>157</v>
      </c>
      <c r="D5" s="117" t="s">
        <v>182</v>
      </c>
      <c r="E5" s="117" t="s">
        <v>183</v>
      </c>
      <c r="F5" s="117" t="s">
        <v>184</v>
      </c>
      <c r="G5" s="117" t="s">
        <v>185</v>
      </c>
      <c r="H5" s="117" t="s">
        <v>186</v>
      </c>
      <c r="I5" s="117" t="s">
        <v>187</v>
      </c>
      <c r="J5" s="117" t="s">
        <v>188</v>
      </c>
    </row>
    <row r="6" spans="2:13" ht="14.5" x14ac:dyDescent="0.35">
      <c r="B6" s="30" t="s">
        <v>0</v>
      </c>
      <c r="C6" s="117" t="s">
        <v>320</v>
      </c>
      <c r="D6" s="176">
        <v>1.613204E-3</v>
      </c>
      <c r="E6" s="176">
        <v>2.3718119E-3</v>
      </c>
      <c r="F6" s="176" t="s">
        <v>293</v>
      </c>
      <c r="G6" s="176" t="s">
        <v>293</v>
      </c>
      <c r="H6" s="176" t="s">
        <v>293</v>
      </c>
      <c r="I6" s="176" t="s">
        <v>293</v>
      </c>
      <c r="J6" s="176" t="s">
        <v>293</v>
      </c>
    </row>
    <row r="7" spans="2:13" ht="14.5" x14ac:dyDescent="0.35">
      <c r="B7" s="30" t="s">
        <v>1</v>
      </c>
      <c r="C7" s="117" t="s">
        <v>321</v>
      </c>
      <c r="D7" s="176">
        <v>6.8526517000000002E-3</v>
      </c>
      <c r="E7" s="176">
        <v>6.7678443E-3</v>
      </c>
      <c r="F7" s="176" t="s">
        <v>293</v>
      </c>
      <c r="G7" s="176" t="s">
        <v>293</v>
      </c>
      <c r="H7" s="176">
        <v>3.6722581999999999E-3</v>
      </c>
      <c r="I7" s="176">
        <v>4.3516147E-3</v>
      </c>
      <c r="J7" s="176">
        <v>1.8591078999999999E-3</v>
      </c>
    </row>
    <row r="8" spans="2:13" ht="14.5" x14ac:dyDescent="0.35">
      <c r="B8" s="30" t="s">
        <v>2</v>
      </c>
      <c r="C8" s="117" t="s">
        <v>322</v>
      </c>
      <c r="D8" s="176" t="s">
        <v>293</v>
      </c>
      <c r="E8" s="176">
        <v>-3.8766534399999997E-2</v>
      </c>
      <c r="F8" s="176" t="s">
        <v>293</v>
      </c>
      <c r="G8" s="176" t="s">
        <v>293</v>
      </c>
      <c r="H8" s="176" t="s">
        <v>293</v>
      </c>
      <c r="I8" s="176">
        <v>-5.9147476900000003E-2</v>
      </c>
      <c r="J8" s="176">
        <v>-0.1163677796</v>
      </c>
    </row>
    <row r="9" spans="2:13" ht="14.5" x14ac:dyDescent="0.35">
      <c r="B9" s="30" t="s">
        <v>3</v>
      </c>
      <c r="C9" s="117" t="s">
        <v>316</v>
      </c>
      <c r="D9" s="176" t="s">
        <v>293</v>
      </c>
      <c r="E9" s="176" t="s">
        <v>293</v>
      </c>
      <c r="F9" s="176">
        <v>1.1897214342</v>
      </c>
      <c r="G9" s="176">
        <v>1.1580497462999999</v>
      </c>
      <c r="H9" s="176">
        <v>0.45806190810000003</v>
      </c>
      <c r="I9" s="176">
        <v>0.52619074349999995</v>
      </c>
      <c r="J9" s="176">
        <v>0.60329897099999996</v>
      </c>
    </row>
    <row r="10" spans="2:13" ht="14.5" x14ac:dyDescent="0.35">
      <c r="B10" s="30" t="s">
        <v>4</v>
      </c>
      <c r="C10" s="117" t="s">
        <v>317</v>
      </c>
      <c r="D10" s="176" t="s">
        <v>293</v>
      </c>
      <c r="E10" s="176" t="s">
        <v>293</v>
      </c>
      <c r="F10" s="176">
        <v>6.7401953000000001E-2</v>
      </c>
      <c r="G10" s="176" t="s">
        <v>293</v>
      </c>
      <c r="H10" s="176">
        <v>2.3763937999999998E-2</v>
      </c>
      <c r="I10" s="176">
        <v>3.0345335000000001E-2</v>
      </c>
      <c r="J10" s="176" t="s">
        <v>293</v>
      </c>
    </row>
    <row r="11" spans="2:13" ht="14.5" x14ac:dyDescent="0.35">
      <c r="B11" s="30" t="s">
        <v>5</v>
      </c>
      <c r="C11" s="117" t="s">
        <v>318</v>
      </c>
      <c r="D11" s="176" t="s">
        <v>293</v>
      </c>
      <c r="E11" s="176" t="s">
        <v>293</v>
      </c>
      <c r="F11" s="176" t="s">
        <v>293</v>
      </c>
      <c r="G11" s="176">
        <v>7.6355704600000004E-2</v>
      </c>
      <c r="H11" s="176" t="s">
        <v>293</v>
      </c>
      <c r="I11" s="176" t="s">
        <v>293</v>
      </c>
      <c r="J11" s="176">
        <v>5.9123098899999997E-2</v>
      </c>
    </row>
    <row r="12" spans="2:13" ht="14.5" x14ac:dyDescent="0.35">
      <c r="B12" s="30" t="s">
        <v>6</v>
      </c>
      <c r="C12" s="117" t="s">
        <v>319</v>
      </c>
      <c r="D12" s="176" t="s">
        <v>293</v>
      </c>
      <c r="E12" s="176" t="s">
        <v>293</v>
      </c>
      <c r="F12" s="176" t="s">
        <v>293</v>
      </c>
      <c r="G12" s="176">
        <v>3.5368964199999998E-2</v>
      </c>
      <c r="H12" s="176" t="s">
        <v>293</v>
      </c>
      <c r="I12" s="176" t="s">
        <v>293</v>
      </c>
      <c r="J12" s="176">
        <v>3.7394269399999999E-2</v>
      </c>
    </row>
    <row r="13" spans="2:13" ht="14.5" x14ac:dyDescent="0.35">
      <c r="B13" s="30" t="s">
        <v>7</v>
      </c>
      <c r="C13" s="117" t="s">
        <v>155</v>
      </c>
      <c r="D13" s="176">
        <v>2.4003559904</v>
      </c>
      <c r="E13" s="176">
        <v>2.9092322597</v>
      </c>
      <c r="F13" s="176">
        <v>-6.0324929526000002</v>
      </c>
      <c r="G13" s="176">
        <v>-5.6798244674999996</v>
      </c>
      <c r="H13" s="176">
        <v>-1.3683553399999999E-2</v>
      </c>
      <c r="I13" s="176">
        <v>0.22596480990000001</v>
      </c>
      <c r="J13" s="176">
        <v>0.20015135519999999</v>
      </c>
    </row>
    <row r="15" spans="2:13" x14ac:dyDescent="0.3">
      <c r="C15" s="33"/>
      <c r="D15" s="33"/>
      <c r="E15" s="33"/>
      <c r="G15" s="33"/>
      <c r="H15" s="33"/>
      <c r="I15" s="33"/>
      <c r="K15" s="33"/>
      <c r="L15" s="33"/>
      <c r="M15" s="33"/>
    </row>
    <row r="16" spans="2:13" x14ac:dyDescent="0.3">
      <c r="C16" s="33"/>
      <c r="D16" s="33"/>
      <c r="E16" s="33"/>
      <c r="G16" s="33"/>
      <c r="H16" s="33"/>
      <c r="I16" s="33"/>
      <c r="K16" s="33"/>
      <c r="L16" s="33"/>
      <c r="M16" s="33"/>
    </row>
    <row r="17" spans="2:13" x14ac:dyDescent="0.3">
      <c r="C17" s="33"/>
      <c r="D17" s="33"/>
      <c r="E17" s="33"/>
      <c r="G17" s="33"/>
      <c r="H17" s="33"/>
      <c r="I17" s="33"/>
      <c r="K17" s="33"/>
      <c r="L17" s="33"/>
      <c r="M17" s="33"/>
    </row>
    <row r="18" spans="2:13" x14ac:dyDescent="0.3">
      <c r="C18" s="33"/>
      <c r="D18" s="33"/>
      <c r="E18" s="33"/>
      <c r="G18" s="33"/>
      <c r="H18" s="33"/>
      <c r="I18" s="33"/>
      <c r="K18" s="33"/>
      <c r="L18" s="33"/>
      <c r="M18" s="33"/>
    </row>
    <row r="19" spans="2:13" x14ac:dyDescent="0.3">
      <c r="B19" s="33"/>
      <c r="C19" s="33"/>
      <c r="D19" s="33"/>
      <c r="E19" s="33"/>
      <c r="G19" s="33"/>
      <c r="H19" s="33"/>
      <c r="I19" s="33"/>
      <c r="K19" s="33"/>
      <c r="L19" s="33"/>
      <c r="M19" s="33"/>
    </row>
    <row r="20" spans="2:13" x14ac:dyDescent="0.3">
      <c r="B20" s="33"/>
      <c r="C20" s="33"/>
      <c r="D20" s="33"/>
      <c r="E20" s="33"/>
      <c r="F20" s="33"/>
      <c r="G20" s="33"/>
      <c r="H20" s="33"/>
    </row>
    <row r="21" spans="2:13" x14ac:dyDescent="0.3">
      <c r="B21" s="33"/>
      <c r="C21" s="33"/>
      <c r="D21" s="33"/>
      <c r="E21" s="33"/>
      <c r="F21" s="33"/>
      <c r="G21" s="33"/>
      <c r="H21" s="33"/>
    </row>
    <row r="22" spans="2:13" x14ac:dyDescent="0.3">
      <c r="B22" s="33"/>
      <c r="C22" s="33"/>
      <c r="D22" s="33"/>
      <c r="E22" s="33"/>
      <c r="F22" s="33"/>
      <c r="G22" s="33"/>
      <c r="H22"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58"/>
  <sheetViews>
    <sheetView showGridLines="0"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58203125" defaultRowHeight="13" zeroHeight="1" x14ac:dyDescent="0.3"/>
  <cols>
    <col min="1" max="1" width="7.83203125" style="16" customWidth="1"/>
    <col min="2" max="2" width="11.33203125" style="16" customWidth="1"/>
    <col min="3" max="3" width="8.58203125" style="16" customWidth="1"/>
    <col min="4" max="5" width="10.5" style="16" customWidth="1"/>
    <col min="6" max="6" width="10.5" style="33" customWidth="1"/>
    <col min="7" max="7" width="10.5" style="16" customWidth="1"/>
    <col min="8" max="8" width="9.58203125" style="16" customWidth="1"/>
    <col min="9" max="9" width="10.08203125" style="16" customWidth="1"/>
    <col min="10" max="10" width="10.83203125" style="16" customWidth="1"/>
    <col min="11" max="11" width="1.83203125" style="16" customWidth="1"/>
    <col min="12" max="12" width="11.83203125" style="16" customWidth="1"/>
    <col min="13" max="13" width="9.33203125" style="16" customWidth="1"/>
    <col min="14" max="14" width="10.08203125" style="16" customWidth="1"/>
    <col min="15" max="15" width="9.83203125" style="16" customWidth="1"/>
    <col min="16" max="16" width="11.83203125" style="16" customWidth="1"/>
    <col min="17" max="17" width="10.08203125" style="16" customWidth="1"/>
    <col min="18" max="18" width="10.83203125" style="16" customWidth="1"/>
    <col min="19" max="25" width="8.58203125" style="16" customWidth="1"/>
    <col min="26" max="16384" width="8.58203125" style="16"/>
  </cols>
  <sheetData>
    <row r="1" spans="1:20" x14ac:dyDescent="0.3">
      <c r="A1" s="69" t="s">
        <v>189</v>
      </c>
      <c r="B1" s="70">
        <f>COUNTA(A5:A89)</f>
        <v>85</v>
      </c>
      <c r="C1" s="34"/>
      <c r="D1" s="26" t="s">
        <v>36</v>
      </c>
      <c r="E1" s="36"/>
      <c r="F1" s="26"/>
      <c r="G1" s="36"/>
      <c r="H1" s="37"/>
      <c r="I1" s="37"/>
      <c r="J1" s="38"/>
      <c r="L1" s="35" t="s">
        <v>338</v>
      </c>
      <c r="M1" s="36"/>
      <c r="N1" s="36"/>
      <c r="O1" s="36"/>
      <c r="P1" s="37"/>
      <c r="Q1" s="37"/>
      <c r="R1" s="38"/>
    </row>
    <row r="2" spans="1:20" ht="26" x14ac:dyDescent="0.3">
      <c r="A2" s="39" t="s">
        <v>42</v>
      </c>
      <c r="B2" s="40" t="s">
        <v>43</v>
      </c>
      <c r="C2" s="41" t="s">
        <v>41</v>
      </c>
      <c r="D2" s="168" t="s">
        <v>2</v>
      </c>
      <c r="E2" s="169" t="s">
        <v>3</v>
      </c>
      <c r="F2" s="168" t="s">
        <v>0</v>
      </c>
      <c r="G2" s="168" t="s">
        <v>1</v>
      </c>
      <c r="H2" s="168" t="s">
        <v>4</v>
      </c>
      <c r="I2" s="168" t="s">
        <v>5</v>
      </c>
      <c r="J2" s="168" t="s">
        <v>6</v>
      </c>
      <c r="L2" s="21" t="s">
        <v>9</v>
      </c>
      <c r="M2" s="22" t="s">
        <v>10</v>
      </c>
      <c r="N2" s="21" t="s">
        <v>0</v>
      </c>
      <c r="O2" s="21" t="s">
        <v>1</v>
      </c>
      <c r="P2" s="23" t="s">
        <v>4</v>
      </c>
      <c r="Q2" s="23" t="s">
        <v>5</v>
      </c>
      <c r="R2" s="23" t="s">
        <v>6</v>
      </c>
    </row>
    <row r="3" spans="1:20" ht="91" x14ac:dyDescent="0.3">
      <c r="A3" s="40" t="s">
        <v>45</v>
      </c>
      <c r="B3" s="40" t="s">
        <v>46</v>
      </c>
      <c r="C3" s="42" t="s">
        <v>44</v>
      </c>
      <c r="D3" s="20" t="s">
        <v>17</v>
      </c>
      <c r="E3" s="20" t="s">
        <v>323</v>
      </c>
      <c r="F3" s="20" t="s">
        <v>324</v>
      </c>
      <c r="G3" s="20" t="s">
        <v>325</v>
      </c>
      <c r="H3" s="20" t="s">
        <v>326</v>
      </c>
      <c r="I3" s="20" t="s">
        <v>327</v>
      </c>
      <c r="J3" s="20" t="s">
        <v>154</v>
      </c>
      <c r="K3" s="10"/>
      <c r="L3" s="18" t="s">
        <v>17</v>
      </c>
      <c r="M3" s="24" t="s">
        <v>323</v>
      </c>
      <c r="N3" s="18" t="s">
        <v>324</v>
      </c>
      <c r="O3" s="18" t="s">
        <v>325</v>
      </c>
      <c r="P3" s="18" t="s">
        <v>326</v>
      </c>
      <c r="Q3" s="19" t="s">
        <v>327</v>
      </c>
      <c r="R3" s="20" t="s">
        <v>154</v>
      </c>
      <c r="T3" s="45"/>
    </row>
    <row r="4" spans="1:20" x14ac:dyDescent="0.3">
      <c r="A4" s="40"/>
      <c r="B4" s="40"/>
      <c r="C4" s="42"/>
      <c r="D4" s="29" t="s">
        <v>35</v>
      </c>
      <c r="E4" s="29" t="s">
        <v>14</v>
      </c>
      <c r="F4" s="29" t="s">
        <v>12</v>
      </c>
      <c r="G4" s="29" t="s">
        <v>12</v>
      </c>
      <c r="H4" s="29" t="s">
        <v>12</v>
      </c>
      <c r="I4" s="29" t="s">
        <v>12</v>
      </c>
      <c r="J4" s="29" t="s">
        <v>12</v>
      </c>
      <c r="K4" s="11"/>
      <c r="L4" s="29" t="s">
        <v>13</v>
      </c>
      <c r="M4" s="46" t="s">
        <v>234</v>
      </c>
      <c r="N4" s="29" t="s">
        <v>12</v>
      </c>
      <c r="O4" s="29" t="s">
        <v>12</v>
      </c>
      <c r="P4" s="29" t="s">
        <v>12</v>
      </c>
      <c r="Q4" s="29" t="s">
        <v>12</v>
      </c>
      <c r="R4" s="29" t="s">
        <v>12</v>
      </c>
      <c r="T4" s="31"/>
    </row>
    <row r="5" spans="1:20" x14ac:dyDescent="0.3">
      <c r="A5" s="12" t="s">
        <v>19</v>
      </c>
      <c r="B5" s="12" t="s">
        <v>47</v>
      </c>
      <c r="C5" s="13" t="str">
        <f t="shared" ref="C5:C36" si="0">A5&amp;RIGHT(B5,2)</f>
        <v>ANH21</v>
      </c>
      <c r="D5" s="49">
        <f>LN($L5*1000)</f>
        <v>14.886160519346262</v>
      </c>
      <c r="E5" s="49">
        <f t="shared" ref="E5:E36" si="1">LN(M5)</f>
        <v>5.8564764221015375</v>
      </c>
      <c r="F5" s="47">
        <f t="shared" ref="F5:F36" si="2">N5 * 100</f>
        <v>62.520080611359361</v>
      </c>
      <c r="G5" s="48">
        <f t="shared" ref="G5:G36" si="3">O5 * 100</f>
        <v>80.656845857863928</v>
      </c>
      <c r="H5" s="48">
        <f xml:space="preserve"> P5 * 100</f>
        <v>22.659856132002897</v>
      </c>
      <c r="I5" s="48">
        <f xml:space="preserve"> Q5 * 100</f>
        <v>12.695937044631348</v>
      </c>
      <c r="J5" s="48">
        <f xml:space="preserve"> R5 * 100</f>
        <v>12.126834690666325</v>
      </c>
      <c r="K5" s="14"/>
      <c r="L5" s="152">
        <v>2917.2750000000001</v>
      </c>
      <c r="M5" s="152">
        <v>349.49051484818369</v>
      </c>
      <c r="N5" s="157">
        <v>0.62520080611359363</v>
      </c>
      <c r="O5" s="157">
        <v>0.80656845857863924</v>
      </c>
      <c r="P5" s="157">
        <v>0.22659856132002898</v>
      </c>
      <c r="Q5" s="157">
        <v>0.12695937044631347</v>
      </c>
      <c r="R5" s="157">
        <v>0.12126834690666324</v>
      </c>
    </row>
    <row r="6" spans="1:20" x14ac:dyDescent="0.3">
      <c r="A6" s="12" t="s">
        <v>19</v>
      </c>
      <c r="B6" s="12" t="s">
        <v>48</v>
      </c>
      <c r="C6" s="13" t="str">
        <f t="shared" si="0"/>
        <v>ANH22</v>
      </c>
      <c r="D6" s="49">
        <f t="shared" ref="D6:D69" si="4">LN($L6*1000)</f>
        <v>14.90135670510271</v>
      </c>
      <c r="E6" s="49">
        <f t="shared" si="1"/>
        <v>5.845531378678972</v>
      </c>
      <c r="F6" s="47">
        <f t="shared" si="2"/>
        <v>62.520080611359361</v>
      </c>
      <c r="G6" s="48">
        <f t="shared" si="3"/>
        <v>81.596282172693975</v>
      </c>
      <c r="H6" s="48">
        <f t="shared" ref="H6:H69" si="5" xml:space="preserve"> P6 * 100</f>
        <v>22.659856132002897</v>
      </c>
      <c r="I6" s="48">
        <f t="shared" ref="I6:I69" si="6" xml:space="preserve"> Q6 * 100</f>
        <v>12.695937044631348</v>
      </c>
      <c r="J6" s="48">
        <f t="shared" ref="J6:J69" si="7" xml:space="preserve"> R6 * 100</f>
        <v>12.126834690666325</v>
      </c>
      <c r="K6" s="14"/>
      <c r="L6" s="152">
        <v>2961.9449999999997</v>
      </c>
      <c r="M6" s="152">
        <v>345.68618325257404</v>
      </c>
      <c r="N6" s="157">
        <v>0.62520080611359363</v>
      </c>
      <c r="O6" s="157">
        <v>0.81596282172693979</v>
      </c>
      <c r="P6" s="157">
        <v>0.22659856132002898</v>
      </c>
      <c r="Q6" s="157">
        <v>0.12695937044631347</v>
      </c>
      <c r="R6" s="157">
        <v>0.12126834690666324</v>
      </c>
    </row>
    <row r="7" spans="1:20" x14ac:dyDescent="0.3">
      <c r="A7" s="12" t="s">
        <v>19</v>
      </c>
      <c r="B7" s="12" t="s">
        <v>49</v>
      </c>
      <c r="C7" s="13" t="str">
        <f t="shared" si="0"/>
        <v>ANH23</v>
      </c>
      <c r="D7" s="49">
        <f t="shared" si="4"/>
        <v>14.915009786518224</v>
      </c>
      <c r="E7" s="49">
        <f t="shared" si="1"/>
        <v>5.8486512312234842</v>
      </c>
      <c r="F7" s="47">
        <f t="shared" si="2"/>
        <v>62.520080611359361</v>
      </c>
      <c r="G7" s="48">
        <f t="shared" si="3"/>
        <v>82.502526091847827</v>
      </c>
      <c r="H7" s="48">
        <f t="shared" si="5"/>
        <v>22.659856132002897</v>
      </c>
      <c r="I7" s="48">
        <f t="shared" si="6"/>
        <v>12.695937044631348</v>
      </c>
      <c r="J7" s="48">
        <f t="shared" si="7"/>
        <v>12.126834690666325</v>
      </c>
      <c r="K7" s="14"/>
      <c r="L7" s="152">
        <v>3002.6620000000003</v>
      </c>
      <c r="M7" s="152">
        <v>346.76635728669748</v>
      </c>
      <c r="N7" s="157">
        <v>0.62520080611359363</v>
      </c>
      <c r="O7" s="157">
        <v>0.82502526091847828</v>
      </c>
      <c r="P7" s="157">
        <v>0.22659856132002898</v>
      </c>
      <c r="Q7" s="157">
        <v>0.12695937044631347</v>
      </c>
      <c r="R7" s="157">
        <v>0.12126834690666324</v>
      </c>
    </row>
    <row r="8" spans="1:20" x14ac:dyDescent="0.3">
      <c r="A8" s="12" t="s">
        <v>19</v>
      </c>
      <c r="B8" s="12" t="s">
        <v>50</v>
      </c>
      <c r="C8" s="13" t="str">
        <f t="shared" si="0"/>
        <v>ANH24</v>
      </c>
      <c r="D8" s="49">
        <f t="shared" si="4"/>
        <v>14.927856440953652</v>
      </c>
      <c r="E8" s="49">
        <f t="shared" si="1"/>
        <v>5.8521457275738999</v>
      </c>
      <c r="F8" s="47">
        <f t="shared" si="2"/>
        <v>62.520080611359361</v>
      </c>
      <c r="G8" s="48">
        <f t="shared" si="3"/>
        <v>83.354118136370886</v>
      </c>
      <c r="H8" s="48">
        <f t="shared" si="5"/>
        <v>22.659856132002897</v>
      </c>
      <c r="I8" s="48">
        <f t="shared" si="6"/>
        <v>12.695937044631348</v>
      </c>
      <c r="J8" s="48">
        <f t="shared" si="7"/>
        <v>12.126834690666325</v>
      </c>
      <c r="K8" s="14"/>
      <c r="L8" s="152">
        <v>3041.4850000000001</v>
      </c>
      <c r="M8" s="152">
        <v>347.98025079461087</v>
      </c>
      <c r="N8" s="157">
        <v>0.62520080611359363</v>
      </c>
      <c r="O8" s="157">
        <v>0.83354118136370881</v>
      </c>
      <c r="P8" s="157">
        <v>0.22659856132002898</v>
      </c>
      <c r="Q8" s="157">
        <v>0.12695937044631347</v>
      </c>
      <c r="R8" s="157">
        <v>0.12126834690666324</v>
      </c>
    </row>
    <row r="9" spans="1:20" x14ac:dyDescent="0.3">
      <c r="A9" s="12" t="s">
        <v>19</v>
      </c>
      <c r="B9" s="12" t="s">
        <v>51</v>
      </c>
      <c r="C9" s="13" t="str">
        <f t="shared" si="0"/>
        <v>ANH25</v>
      </c>
      <c r="D9" s="49">
        <f t="shared" si="4"/>
        <v>14.939890003644276</v>
      </c>
      <c r="E9" s="49">
        <f t="shared" si="1"/>
        <v>5.8501569104969295</v>
      </c>
      <c r="F9" s="47">
        <f t="shared" si="2"/>
        <v>62.520080611359361</v>
      </c>
      <c r="G9" s="48">
        <f t="shared" si="3"/>
        <v>84.134195885659196</v>
      </c>
      <c r="H9" s="48">
        <f t="shared" si="5"/>
        <v>22.659856132002897</v>
      </c>
      <c r="I9" s="48">
        <f t="shared" si="6"/>
        <v>12.695937044631348</v>
      </c>
      <c r="J9" s="48">
        <f t="shared" si="7"/>
        <v>12.126834690666325</v>
      </c>
      <c r="K9" s="14"/>
      <c r="L9" s="152">
        <v>3078.306</v>
      </c>
      <c r="M9" s="152">
        <v>347.28886947276226</v>
      </c>
      <c r="N9" s="157">
        <v>0.62520080611359363</v>
      </c>
      <c r="O9" s="157">
        <v>0.84134195885659191</v>
      </c>
      <c r="P9" s="157">
        <v>0.22659856132002898</v>
      </c>
      <c r="Q9" s="157">
        <v>0.12695937044631347</v>
      </c>
      <c r="R9" s="157">
        <v>0.12126834690666324</v>
      </c>
    </row>
    <row r="10" spans="1:20" x14ac:dyDescent="0.3">
      <c r="A10" s="12" t="s">
        <v>20</v>
      </c>
      <c r="B10" s="12" t="s">
        <v>47</v>
      </c>
      <c r="C10" s="13" t="str">
        <f t="shared" si="0"/>
        <v>NES21</v>
      </c>
      <c r="D10" s="49">
        <f t="shared" si="4"/>
        <v>14.485465362515969</v>
      </c>
      <c r="E10" s="49">
        <f t="shared" si="1"/>
        <v>5.6207152560972871</v>
      </c>
      <c r="F10" s="47">
        <f t="shared" si="2"/>
        <v>57.037162956513995</v>
      </c>
      <c r="G10" s="48">
        <f t="shared" si="3"/>
        <v>51.907761383599713</v>
      </c>
      <c r="H10" s="48">
        <f t="shared" si="5"/>
        <v>27.238465680452727</v>
      </c>
      <c r="I10" s="48">
        <f t="shared" si="6"/>
        <v>17.39017807303129</v>
      </c>
      <c r="J10" s="48">
        <f t="shared" si="7"/>
        <v>9.8266630152918726</v>
      </c>
      <c r="K10" s="14"/>
      <c r="L10" s="152">
        <v>1954.1489999999999</v>
      </c>
      <c r="M10" s="152">
        <v>276.08678538644824</v>
      </c>
      <c r="N10" s="157">
        <v>0.57037162956513998</v>
      </c>
      <c r="O10" s="157">
        <v>0.51907761383599715</v>
      </c>
      <c r="P10" s="157">
        <v>0.27238465680452728</v>
      </c>
      <c r="Q10" s="157">
        <v>0.1739017807303129</v>
      </c>
      <c r="R10" s="157">
        <v>9.8266630152918727E-2</v>
      </c>
    </row>
    <row r="11" spans="1:20" x14ac:dyDescent="0.3">
      <c r="A11" s="12" t="s">
        <v>20</v>
      </c>
      <c r="B11" s="12" t="s">
        <v>48</v>
      </c>
      <c r="C11" s="13" t="str">
        <f t="shared" si="0"/>
        <v>NES22</v>
      </c>
      <c r="D11" s="49">
        <f t="shared" si="4"/>
        <v>14.495083017496921</v>
      </c>
      <c r="E11" s="49">
        <f t="shared" si="1"/>
        <v>5.6120256882193624</v>
      </c>
      <c r="F11" s="47">
        <f t="shared" si="2"/>
        <v>57.037162956513995</v>
      </c>
      <c r="G11" s="48">
        <f t="shared" si="3"/>
        <v>53.796386681628405</v>
      </c>
      <c r="H11" s="48">
        <f t="shared" si="5"/>
        <v>27.238465680452727</v>
      </c>
      <c r="I11" s="48">
        <f t="shared" si="6"/>
        <v>17.39017807303129</v>
      </c>
      <c r="J11" s="48">
        <f t="shared" si="7"/>
        <v>9.8266630152918726</v>
      </c>
      <c r="K11" s="14"/>
      <c r="L11" s="152">
        <v>1973.0339999999999</v>
      </c>
      <c r="M11" s="152">
        <v>273.69810386024392</v>
      </c>
      <c r="N11" s="157">
        <v>0.57037162956513998</v>
      </c>
      <c r="O11" s="157">
        <v>0.53796386681628405</v>
      </c>
      <c r="P11" s="157">
        <v>0.27238465680452728</v>
      </c>
      <c r="Q11" s="157">
        <v>0.1739017807303129</v>
      </c>
      <c r="R11" s="157">
        <v>9.8266630152918727E-2</v>
      </c>
    </row>
    <row r="12" spans="1:20" x14ac:dyDescent="0.3">
      <c r="A12" s="12" t="s">
        <v>20</v>
      </c>
      <c r="B12" s="12" t="s">
        <v>49</v>
      </c>
      <c r="C12" s="13" t="str">
        <f t="shared" si="0"/>
        <v>NES23</v>
      </c>
      <c r="D12" s="49">
        <f t="shared" si="4"/>
        <v>14.50432486517121</v>
      </c>
      <c r="E12" s="49">
        <f t="shared" si="1"/>
        <v>5.6039862281841577</v>
      </c>
      <c r="F12" s="47">
        <f t="shared" si="2"/>
        <v>57.037162956513995</v>
      </c>
      <c r="G12" s="48">
        <f t="shared" si="3"/>
        <v>55.61962143326673</v>
      </c>
      <c r="H12" s="48">
        <f t="shared" si="5"/>
        <v>27.238465680452727</v>
      </c>
      <c r="I12" s="48">
        <f t="shared" si="6"/>
        <v>17.39017807303129</v>
      </c>
      <c r="J12" s="48">
        <f t="shared" si="7"/>
        <v>9.8266630152918726</v>
      </c>
      <c r="K12" s="14"/>
      <c r="L12" s="152">
        <v>1991.3530000000001</v>
      </c>
      <c r="M12" s="152">
        <v>271.50654019073278</v>
      </c>
      <c r="N12" s="157">
        <v>0.57037162956513998</v>
      </c>
      <c r="O12" s="157">
        <v>0.5561962143326673</v>
      </c>
      <c r="P12" s="157">
        <v>0.27238465680452728</v>
      </c>
      <c r="Q12" s="157">
        <v>0.1739017807303129</v>
      </c>
      <c r="R12" s="157">
        <v>9.8266630152918727E-2</v>
      </c>
    </row>
    <row r="13" spans="1:20" x14ac:dyDescent="0.3">
      <c r="A13" s="12" t="s">
        <v>20</v>
      </c>
      <c r="B13" s="12" t="s">
        <v>50</v>
      </c>
      <c r="C13" s="13" t="str">
        <f t="shared" si="0"/>
        <v>NES24</v>
      </c>
      <c r="D13" s="49">
        <f t="shared" si="4"/>
        <v>14.51316307424049</v>
      </c>
      <c r="E13" s="49">
        <f t="shared" si="1"/>
        <v>5.5956986390564039</v>
      </c>
      <c r="F13" s="47">
        <f t="shared" si="2"/>
        <v>57.037162956513995</v>
      </c>
      <c r="G13" s="48">
        <f t="shared" si="3"/>
        <v>57.382340043533418</v>
      </c>
      <c r="H13" s="48">
        <f t="shared" si="5"/>
        <v>27.238465680452727</v>
      </c>
      <c r="I13" s="48">
        <f t="shared" si="6"/>
        <v>17.39017807303129</v>
      </c>
      <c r="J13" s="48">
        <f t="shared" si="7"/>
        <v>9.8266630152918726</v>
      </c>
      <c r="K13" s="14"/>
      <c r="L13" s="152">
        <v>2009.0309999999999</v>
      </c>
      <c r="M13" s="152">
        <v>269.26570393105567</v>
      </c>
      <c r="N13" s="157">
        <v>0.57037162956513998</v>
      </c>
      <c r="O13" s="157">
        <v>0.5738234004353342</v>
      </c>
      <c r="P13" s="157">
        <v>0.27238465680452728</v>
      </c>
      <c r="Q13" s="157">
        <v>0.1739017807303129</v>
      </c>
      <c r="R13" s="157">
        <v>9.8266630152918727E-2</v>
      </c>
    </row>
    <row r="14" spans="1:20" x14ac:dyDescent="0.3">
      <c r="A14" s="12" t="s">
        <v>20</v>
      </c>
      <c r="B14" s="12" t="s">
        <v>51</v>
      </c>
      <c r="C14" s="13" t="str">
        <f t="shared" si="0"/>
        <v>NES25</v>
      </c>
      <c r="D14" s="49">
        <f t="shared" si="4"/>
        <v>14.521898195526022</v>
      </c>
      <c r="E14" s="49">
        <f t="shared" si="1"/>
        <v>5.5873971501511086</v>
      </c>
      <c r="F14" s="47">
        <f t="shared" si="2"/>
        <v>57.037162956513995</v>
      </c>
      <c r="G14" s="48">
        <f t="shared" si="3"/>
        <v>59.092189748931368</v>
      </c>
      <c r="H14" s="48">
        <f t="shared" si="5"/>
        <v>27.238465680452727</v>
      </c>
      <c r="I14" s="48">
        <f t="shared" si="6"/>
        <v>17.39017807303129</v>
      </c>
      <c r="J14" s="48">
        <f t="shared" si="7"/>
        <v>9.8266630152918726</v>
      </c>
      <c r="K14" s="14"/>
      <c r="L14" s="152">
        <v>2026.6569999999999</v>
      </c>
      <c r="M14" s="152">
        <v>267.03965024127331</v>
      </c>
      <c r="N14" s="157">
        <v>0.57037162956513998</v>
      </c>
      <c r="O14" s="157">
        <v>0.59092189748931367</v>
      </c>
      <c r="P14" s="157">
        <v>0.27238465680452728</v>
      </c>
      <c r="Q14" s="157">
        <v>0.1739017807303129</v>
      </c>
      <c r="R14" s="157">
        <v>9.8266630152918727E-2</v>
      </c>
    </row>
    <row r="15" spans="1:20" x14ac:dyDescent="0.3">
      <c r="A15" s="12" t="s">
        <v>21</v>
      </c>
      <c r="B15" s="12" t="s">
        <v>47</v>
      </c>
      <c r="C15" s="13" t="str">
        <f t="shared" si="0"/>
        <v>NWT21</v>
      </c>
      <c r="D15" s="49">
        <f t="shared" si="4"/>
        <v>14.928120439513751</v>
      </c>
      <c r="E15" s="49">
        <f t="shared" si="1"/>
        <v>5.9538251911156763</v>
      </c>
      <c r="F15" s="47">
        <f t="shared" si="2"/>
        <v>95.121231146139891</v>
      </c>
      <c r="G15" s="48">
        <f t="shared" si="3"/>
        <v>47.251725337148962</v>
      </c>
      <c r="H15" s="48">
        <f t="shared" si="5"/>
        <v>29.044035675886025</v>
      </c>
      <c r="I15" s="48">
        <f t="shared" si="6"/>
        <v>17.347279982163577</v>
      </c>
      <c r="J15" s="48">
        <f t="shared" si="7"/>
        <v>11.709676262336014</v>
      </c>
      <c r="K15" s="14"/>
      <c r="L15" s="152">
        <v>3042.2880536584053</v>
      </c>
      <c r="M15" s="152">
        <v>385.22408006367397</v>
      </c>
      <c r="N15" s="157">
        <v>0.95121231146139895</v>
      </c>
      <c r="O15" s="157">
        <v>0.47251725337148964</v>
      </c>
      <c r="P15" s="157">
        <v>0.29044035675886026</v>
      </c>
      <c r="Q15" s="157">
        <v>0.17347279982163577</v>
      </c>
      <c r="R15" s="157">
        <v>0.11709676262336015</v>
      </c>
    </row>
    <row r="16" spans="1:20" x14ac:dyDescent="0.3">
      <c r="A16" s="12" t="s">
        <v>21</v>
      </c>
      <c r="B16" s="12" t="s">
        <v>48</v>
      </c>
      <c r="C16" s="13" t="str">
        <f t="shared" si="0"/>
        <v>NWT22</v>
      </c>
      <c r="D16" s="49">
        <f t="shared" si="4"/>
        <v>14.935570920896966</v>
      </c>
      <c r="E16" s="49">
        <f t="shared" si="1"/>
        <v>5.9489150868533542</v>
      </c>
      <c r="F16" s="47">
        <f t="shared" si="2"/>
        <v>95.121231146139891</v>
      </c>
      <c r="G16" s="48">
        <f t="shared" si="3"/>
        <v>48.824431942192916</v>
      </c>
      <c r="H16" s="48">
        <f t="shared" si="5"/>
        <v>29.044035675886025</v>
      </c>
      <c r="I16" s="48">
        <f t="shared" si="6"/>
        <v>17.347279982163577</v>
      </c>
      <c r="J16" s="48">
        <f t="shared" si="7"/>
        <v>11.709676262336014</v>
      </c>
      <c r="K16" s="14"/>
      <c r="L16" s="152">
        <v>3065.0392124647797</v>
      </c>
      <c r="M16" s="152">
        <v>383.33722578269345</v>
      </c>
      <c r="N16" s="157">
        <v>0.95121231146139895</v>
      </c>
      <c r="O16" s="157">
        <v>0.48824431942192914</v>
      </c>
      <c r="P16" s="157">
        <v>0.29044035675886026</v>
      </c>
      <c r="Q16" s="157">
        <v>0.17347279982163577</v>
      </c>
      <c r="R16" s="157">
        <v>0.11709676262336015</v>
      </c>
    </row>
    <row r="17" spans="1:18" x14ac:dyDescent="0.3">
      <c r="A17" s="12" t="s">
        <v>21</v>
      </c>
      <c r="B17" s="12" t="s">
        <v>49</v>
      </c>
      <c r="C17" s="13" t="str">
        <f t="shared" si="0"/>
        <v>NWT23</v>
      </c>
      <c r="D17" s="49">
        <f t="shared" si="4"/>
        <v>14.943299724514082</v>
      </c>
      <c r="E17" s="49">
        <f t="shared" si="1"/>
        <v>5.9341538090595938</v>
      </c>
      <c r="F17" s="47">
        <f t="shared" si="2"/>
        <v>95.121231146139891</v>
      </c>
      <c r="G17" s="48">
        <f t="shared" si="3"/>
        <v>50.377464833648034</v>
      </c>
      <c r="H17" s="48">
        <f t="shared" si="5"/>
        <v>29.044035675886025</v>
      </c>
      <c r="I17" s="48">
        <f t="shared" si="6"/>
        <v>17.347279982163577</v>
      </c>
      <c r="J17" s="48">
        <f t="shared" si="7"/>
        <v>11.709676262336014</v>
      </c>
      <c r="K17" s="14"/>
      <c r="L17" s="152">
        <v>3088.8200790626925</v>
      </c>
      <c r="M17" s="152">
        <v>377.72023745931455</v>
      </c>
      <c r="N17" s="157">
        <v>0.95121231146139895</v>
      </c>
      <c r="O17" s="157">
        <v>0.50377464833648034</v>
      </c>
      <c r="P17" s="157">
        <v>0.29044035675886026</v>
      </c>
      <c r="Q17" s="157">
        <v>0.17347279982163577</v>
      </c>
      <c r="R17" s="157">
        <v>0.11709676262336015</v>
      </c>
    </row>
    <row r="18" spans="1:18" x14ac:dyDescent="0.3">
      <c r="A18" s="12" t="s">
        <v>21</v>
      </c>
      <c r="B18" s="12" t="s">
        <v>50</v>
      </c>
      <c r="C18" s="13" t="str">
        <f t="shared" si="0"/>
        <v>NWT24</v>
      </c>
      <c r="D18" s="49">
        <f t="shared" si="4"/>
        <v>14.951299681159066</v>
      </c>
      <c r="E18" s="49">
        <f t="shared" si="1"/>
        <v>5.925291784087424</v>
      </c>
      <c r="F18" s="47">
        <f t="shared" si="2"/>
        <v>95.121231146139891</v>
      </c>
      <c r="G18" s="48">
        <f t="shared" si="3"/>
        <v>51.906862465153644</v>
      </c>
      <c r="H18" s="48">
        <f t="shared" si="5"/>
        <v>29.044035675886025</v>
      </c>
      <c r="I18" s="48">
        <f t="shared" si="6"/>
        <v>17.347279982163577</v>
      </c>
      <c r="J18" s="48">
        <f t="shared" si="7"/>
        <v>11.709676262336014</v>
      </c>
      <c r="K18" s="14"/>
      <c r="L18" s="152">
        <v>3113.6296110535754</v>
      </c>
      <c r="M18" s="152">
        <v>374.38765978617579</v>
      </c>
      <c r="N18" s="157">
        <v>0.95121231146139895</v>
      </c>
      <c r="O18" s="157">
        <v>0.51906862465153647</v>
      </c>
      <c r="P18" s="157">
        <v>0.29044035675886026</v>
      </c>
      <c r="Q18" s="157">
        <v>0.17347279982163577</v>
      </c>
      <c r="R18" s="157">
        <v>0.11709676262336015</v>
      </c>
    </row>
    <row r="19" spans="1:18" x14ac:dyDescent="0.3">
      <c r="A19" s="12" t="s">
        <v>21</v>
      </c>
      <c r="B19" s="12" t="s">
        <v>51</v>
      </c>
      <c r="C19" s="13" t="str">
        <f t="shared" si="0"/>
        <v>NWT25</v>
      </c>
      <c r="D19" s="49">
        <f t="shared" si="4"/>
        <v>14.959563362863365</v>
      </c>
      <c r="E19" s="49">
        <f t="shared" si="1"/>
        <v>5.9229402641039961</v>
      </c>
      <c r="F19" s="47">
        <f t="shared" si="2"/>
        <v>95.121231146139891</v>
      </c>
      <c r="G19" s="48">
        <f t="shared" si="3"/>
        <v>53.410263612475504</v>
      </c>
      <c r="H19" s="48">
        <f t="shared" si="5"/>
        <v>29.044035675886025</v>
      </c>
      <c r="I19" s="48">
        <f t="shared" si="6"/>
        <v>17.347279982163577</v>
      </c>
      <c r="J19" s="48">
        <f t="shared" si="7"/>
        <v>11.709676262336014</v>
      </c>
      <c r="K19" s="14"/>
      <c r="L19" s="152">
        <v>3139.4662610016094</v>
      </c>
      <c r="M19" s="152">
        <v>373.50831402740772</v>
      </c>
      <c r="N19" s="157">
        <v>0.95121231146139895</v>
      </c>
      <c r="O19" s="157">
        <v>0.53410263612475506</v>
      </c>
      <c r="P19" s="157">
        <v>0.29044035675886026</v>
      </c>
      <c r="Q19" s="157">
        <v>0.17347279982163577</v>
      </c>
      <c r="R19" s="157">
        <v>0.11709676262336015</v>
      </c>
    </row>
    <row r="20" spans="1:18" x14ac:dyDescent="0.3">
      <c r="A20" s="12" t="s">
        <v>22</v>
      </c>
      <c r="B20" s="12" t="s">
        <v>47</v>
      </c>
      <c r="C20" s="13" t="str">
        <f t="shared" si="0"/>
        <v>SRN21</v>
      </c>
      <c r="D20" s="49">
        <f t="shared" si="4"/>
        <v>14.494547150790696</v>
      </c>
      <c r="E20" s="49">
        <f t="shared" si="1"/>
        <v>5.7576309536234183</v>
      </c>
      <c r="F20" s="47">
        <f t="shared" si="2"/>
        <v>48.807799779542464</v>
      </c>
      <c r="G20" s="48">
        <f t="shared" si="3"/>
        <v>79.419333998317427</v>
      </c>
      <c r="H20" s="48">
        <f t="shared" si="5"/>
        <v>22.125299453807024</v>
      </c>
      <c r="I20" s="48">
        <f t="shared" si="6"/>
        <v>12.494917615971071</v>
      </c>
      <c r="J20" s="48">
        <f t="shared" si="7"/>
        <v>13.419983972418445</v>
      </c>
      <c r="K20" s="14"/>
      <c r="L20" s="152">
        <v>1971.9769999999999</v>
      </c>
      <c r="M20" s="152">
        <v>316.59740584611006</v>
      </c>
      <c r="N20" s="157">
        <v>0.48807799779542466</v>
      </c>
      <c r="O20" s="157">
        <v>0.79419333998317432</v>
      </c>
      <c r="P20" s="157">
        <v>0.22125299453807024</v>
      </c>
      <c r="Q20" s="157">
        <v>0.12494917615971071</v>
      </c>
      <c r="R20" s="157">
        <v>0.13419983972418445</v>
      </c>
    </row>
    <row r="21" spans="1:18" x14ac:dyDescent="0.3">
      <c r="A21" s="12" t="s">
        <v>22</v>
      </c>
      <c r="B21" s="12" t="s">
        <v>48</v>
      </c>
      <c r="C21" s="13" t="str">
        <f t="shared" si="0"/>
        <v>SRN22</v>
      </c>
      <c r="D21" s="49">
        <f t="shared" si="4"/>
        <v>14.50750307215351</v>
      </c>
      <c r="E21" s="49">
        <f t="shared" si="1"/>
        <v>5.7576138820408209</v>
      </c>
      <c r="F21" s="47">
        <f t="shared" si="2"/>
        <v>48.807799779542464</v>
      </c>
      <c r="G21" s="48">
        <f t="shared" si="3"/>
        <v>80.390470603075954</v>
      </c>
      <c r="H21" s="48">
        <f t="shared" si="5"/>
        <v>22.125299453807024</v>
      </c>
      <c r="I21" s="48">
        <f t="shared" si="6"/>
        <v>12.494917615971071</v>
      </c>
      <c r="J21" s="48">
        <f t="shared" si="7"/>
        <v>13.419983972418445</v>
      </c>
      <c r="K21" s="14"/>
      <c r="L21" s="152">
        <v>1997.6919999999998</v>
      </c>
      <c r="M21" s="152">
        <v>316.59200107348011</v>
      </c>
      <c r="N21" s="157">
        <v>0.48807799779542466</v>
      </c>
      <c r="O21" s="157">
        <v>0.80390470603075959</v>
      </c>
      <c r="P21" s="157">
        <v>0.22125299453807024</v>
      </c>
      <c r="Q21" s="157">
        <v>0.12494917615971071</v>
      </c>
      <c r="R21" s="157">
        <v>0.13419983972418445</v>
      </c>
    </row>
    <row r="22" spans="1:18" x14ac:dyDescent="0.3">
      <c r="A22" s="12" t="s">
        <v>22</v>
      </c>
      <c r="B22" s="12" t="s">
        <v>49</v>
      </c>
      <c r="C22" s="13" t="str">
        <f t="shared" si="0"/>
        <v>SRN23</v>
      </c>
      <c r="D22" s="49">
        <f t="shared" si="4"/>
        <v>14.519325138954208</v>
      </c>
      <c r="E22" s="49">
        <f t="shared" si="1"/>
        <v>5.7572867234345004</v>
      </c>
      <c r="F22" s="47">
        <f t="shared" si="2"/>
        <v>48.807799779542464</v>
      </c>
      <c r="G22" s="48">
        <f t="shared" si="3"/>
        <v>81.33324164992537</v>
      </c>
      <c r="H22" s="48">
        <f t="shared" si="5"/>
        <v>22.125299453807024</v>
      </c>
      <c r="I22" s="48">
        <f t="shared" si="6"/>
        <v>12.494917615971071</v>
      </c>
      <c r="J22" s="48">
        <f t="shared" si="7"/>
        <v>13.419983972418445</v>
      </c>
      <c r="K22" s="14"/>
      <c r="L22" s="152">
        <v>2021.4490000000001</v>
      </c>
      <c r="M22" s="152">
        <v>316.48844221664609</v>
      </c>
      <c r="N22" s="157">
        <v>0.48807799779542466</v>
      </c>
      <c r="O22" s="157">
        <v>0.8133324164992537</v>
      </c>
      <c r="P22" s="157">
        <v>0.22125299453807024</v>
      </c>
      <c r="Q22" s="157">
        <v>0.12494917615971071</v>
      </c>
      <c r="R22" s="157">
        <v>0.13419983972418445</v>
      </c>
    </row>
    <row r="23" spans="1:18" x14ac:dyDescent="0.3">
      <c r="A23" s="12" t="s">
        <v>22</v>
      </c>
      <c r="B23" s="12" t="s">
        <v>50</v>
      </c>
      <c r="C23" s="13" t="str">
        <f t="shared" si="0"/>
        <v>SRN24</v>
      </c>
      <c r="D23" s="49">
        <f t="shared" si="4"/>
        <v>14.530613438451979</v>
      </c>
      <c r="E23" s="49">
        <f t="shared" si="1"/>
        <v>5.7570373670552195</v>
      </c>
      <c r="F23" s="47">
        <f t="shared" si="2"/>
        <v>48.807799779542464</v>
      </c>
      <c r="G23" s="48">
        <f t="shared" si="3"/>
        <v>82.25633279641869</v>
      </c>
      <c r="H23" s="48">
        <f t="shared" si="5"/>
        <v>22.125299453807024</v>
      </c>
      <c r="I23" s="48">
        <f t="shared" si="6"/>
        <v>12.494917615971071</v>
      </c>
      <c r="J23" s="48">
        <f t="shared" si="7"/>
        <v>13.419983972418445</v>
      </c>
      <c r="K23" s="14"/>
      <c r="L23" s="152">
        <v>2044.3969999999999</v>
      </c>
      <c r="M23" s="152">
        <v>316.40953364319762</v>
      </c>
      <c r="N23" s="157">
        <v>0.48807799779542466</v>
      </c>
      <c r="O23" s="157">
        <v>0.82256332796418685</v>
      </c>
      <c r="P23" s="157">
        <v>0.22125299453807024</v>
      </c>
      <c r="Q23" s="157">
        <v>0.12494917615971071</v>
      </c>
      <c r="R23" s="157">
        <v>0.13419983972418445</v>
      </c>
    </row>
    <row r="24" spans="1:18" x14ac:dyDescent="0.3">
      <c r="A24" s="12" t="s">
        <v>22</v>
      </c>
      <c r="B24" s="12" t="s">
        <v>51</v>
      </c>
      <c r="C24" s="13" t="str">
        <f t="shared" si="0"/>
        <v>SRN25</v>
      </c>
      <c r="D24" s="49">
        <f t="shared" si="4"/>
        <v>14.541144773576136</v>
      </c>
      <c r="E24" s="49">
        <f t="shared" si="1"/>
        <v>5.7567946345044829</v>
      </c>
      <c r="F24" s="47">
        <f t="shared" si="2"/>
        <v>48.807799779542464</v>
      </c>
      <c r="G24" s="48">
        <f t="shared" si="3"/>
        <v>83.162386419243362</v>
      </c>
      <c r="H24" s="48">
        <f t="shared" si="5"/>
        <v>22.125299453807024</v>
      </c>
      <c r="I24" s="48">
        <f t="shared" si="6"/>
        <v>12.494917615971071</v>
      </c>
      <c r="J24" s="48">
        <f t="shared" si="7"/>
        <v>13.419983972418445</v>
      </c>
      <c r="K24" s="14"/>
      <c r="L24" s="152">
        <v>2066.0410000000002</v>
      </c>
      <c r="M24" s="152">
        <v>316.33274007054587</v>
      </c>
      <c r="N24" s="157">
        <v>0.48807799779542466</v>
      </c>
      <c r="O24" s="157">
        <v>0.83162386419243362</v>
      </c>
      <c r="P24" s="157">
        <v>0.22125299453807024</v>
      </c>
      <c r="Q24" s="157">
        <v>0.12494917615971071</v>
      </c>
      <c r="R24" s="157">
        <v>0.13419983972418445</v>
      </c>
    </row>
    <row r="25" spans="1:18" x14ac:dyDescent="0.3">
      <c r="A25" s="12" t="s">
        <v>23</v>
      </c>
      <c r="B25" s="12" t="s">
        <v>47</v>
      </c>
      <c r="C25" s="13" t="str">
        <f t="shared" si="0"/>
        <v>SVT21</v>
      </c>
      <c r="D25" s="49">
        <f t="shared" si="4"/>
        <v>15.225034139719721</v>
      </c>
      <c r="E25" s="49">
        <f t="shared" si="1"/>
        <v>5.6372828469288994</v>
      </c>
      <c r="F25" s="47">
        <f t="shared" si="2"/>
        <v>74.924480669145453</v>
      </c>
      <c r="G25" s="48">
        <f t="shared" si="3"/>
        <v>51.616763952462954</v>
      </c>
      <c r="H25" s="48">
        <f t="shared" si="5"/>
        <v>25.369681835427265</v>
      </c>
      <c r="I25" s="48">
        <f t="shared" si="6"/>
        <v>15.621386413153276</v>
      </c>
      <c r="J25" s="48">
        <f t="shared" si="7"/>
        <v>12.363692369746056</v>
      </c>
      <c r="K25" s="14"/>
      <c r="L25" s="152">
        <v>4094.0044809523833</v>
      </c>
      <c r="M25" s="152">
        <v>280.69897925344628</v>
      </c>
      <c r="N25" s="157">
        <v>0.74924480669145455</v>
      </c>
      <c r="O25" s="157">
        <v>0.51616763952462952</v>
      </c>
      <c r="P25" s="157">
        <v>0.25369681835427266</v>
      </c>
      <c r="Q25" s="157">
        <v>0.15621386413153276</v>
      </c>
      <c r="R25" s="157">
        <v>0.12363692369746056</v>
      </c>
    </row>
    <row r="26" spans="1:18" x14ac:dyDescent="0.3">
      <c r="A26" s="12" t="s">
        <v>23</v>
      </c>
      <c r="B26" s="12" t="s">
        <v>48</v>
      </c>
      <c r="C26" s="13" t="str">
        <f t="shared" si="0"/>
        <v>SVT22</v>
      </c>
      <c r="D26" s="49">
        <f t="shared" si="4"/>
        <v>15.233264461162587</v>
      </c>
      <c r="E26" s="49">
        <f t="shared" si="1"/>
        <v>5.62175760784939</v>
      </c>
      <c r="F26" s="47">
        <f t="shared" si="2"/>
        <v>74.924480669145453</v>
      </c>
      <c r="G26" s="48">
        <f t="shared" si="3"/>
        <v>55.123463020465344</v>
      </c>
      <c r="H26" s="48">
        <f t="shared" si="5"/>
        <v>25.369681835427265</v>
      </c>
      <c r="I26" s="48">
        <f t="shared" si="6"/>
        <v>15.621386413153276</v>
      </c>
      <c r="J26" s="48">
        <f t="shared" si="7"/>
        <v>12.363692369746056</v>
      </c>
      <c r="K26" s="14"/>
      <c r="L26" s="152">
        <v>4127.8384952380984</v>
      </c>
      <c r="M26" s="152">
        <v>276.37471496681002</v>
      </c>
      <c r="N26" s="157">
        <v>0.74924480669145455</v>
      </c>
      <c r="O26" s="157">
        <v>0.55123463020465346</v>
      </c>
      <c r="P26" s="157">
        <v>0.25369681835427266</v>
      </c>
      <c r="Q26" s="157">
        <v>0.15621386413153276</v>
      </c>
      <c r="R26" s="157">
        <v>0.12363692369746056</v>
      </c>
    </row>
    <row r="27" spans="1:18" x14ac:dyDescent="0.3">
      <c r="A27" s="12" t="s">
        <v>23</v>
      </c>
      <c r="B27" s="12" t="s">
        <v>49</v>
      </c>
      <c r="C27" s="13" t="str">
        <f t="shared" si="0"/>
        <v>SVT23</v>
      </c>
      <c r="D27" s="49">
        <f t="shared" si="4"/>
        <v>15.241427596997395</v>
      </c>
      <c r="E27" s="49">
        <f t="shared" si="1"/>
        <v>5.6059875295384423</v>
      </c>
      <c r="F27" s="47">
        <f t="shared" si="2"/>
        <v>74.924480669145453</v>
      </c>
      <c r="G27" s="48">
        <f t="shared" si="3"/>
        <v>58.50889599143774</v>
      </c>
      <c r="H27" s="48">
        <f t="shared" si="5"/>
        <v>25.369681835427265</v>
      </c>
      <c r="I27" s="48">
        <f t="shared" si="6"/>
        <v>15.621386413153276</v>
      </c>
      <c r="J27" s="48">
        <f t="shared" si="7"/>
        <v>12.363692369746056</v>
      </c>
      <c r="K27" s="14"/>
      <c r="L27" s="152">
        <v>4161.6725095238126</v>
      </c>
      <c r="M27" s="152">
        <v>272.05045068017375</v>
      </c>
      <c r="N27" s="157">
        <v>0.74924480669145455</v>
      </c>
      <c r="O27" s="157">
        <v>0.58508895991437737</v>
      </c>
      <c r="P27" s="157">
        <v>0.25369681835427266</v>
      </c>
      <c r="Q27" s="157">
        <v>0.15621386413153276</v>
      </c>
      <c r="R27" s="157">
        <v>0.12363692369746056</v>
      </c>
    </row>
    <row r="28" spans="1:18" x14ac:dyDescent="0.3">
      <c r="A28" s="12" t="s">
        <v>23</v>
      </c>
      <c r="B28" s="12" t="s">
        <v>50</v>
      </c>
      <c r="C28" s="13" t="str">
        <f t="shared" si="0"/>
        <v>SVT24</v>
      </c>
      <c r="D28" s="49">
        <f t="shared" si="4"/>
        <v>15.249524635245058</v>
      </c>
      <c r="E28" s="49">
        <f t="shared" si="1"/>
        <v>5.5899647656658118</v>
      </c>
      <c r="F28" s="47">
        <f t="shared" si="2"/>
        <v>74.924480669145453</v>
      </c>
      <c r="G28" s="48">
        <f t="shared" si="3"/>
        <v>61.786788537319005</v>
      </c>
      <c r="H28" s="48">
        <f t="shared" si="5"/>
        <v>25.369681835427265</v>
      </c>
      <c r="I28" s="48">
        <f t="shared" si="6"/>
        <v>15.621386413153276</v>
      </c>
      <c r="J28" s="48">
        <f t="shared" si="7"/>
        <v>12.363692369746056</v>
      </c>
      <c r="K28" s="14"/>
      <c r="L28" s="152">
        <v>4195.5065238095276</v>
      </c>
      <c r="M28" s="152">
        <v>267.72618639353749</v>
      </c>
      <c r="N28" s="157">
        <v>0.74924480669145455</v>
      </c>
      <c r="O28" s="157">
        <v>0.61786788537319004</v>
      </c>
      <c r="P28" s="157">
        <v>0.25369681835427266</v>
      </c>
      <c r="Q28" s="157">
        <v>0.15621386413153276</v>
      </c>
      <c r="R28" s="157">
        <v>0.12363692369746056</v>
      </c>
    </row>
    <row r="29" spans="1:18" x14ac:dyDescent="0.3">
      <c r="A29" s="12" t="s">
        <v>23</v>
      </c>
      <c r="B29" s="12" t="s">
        <v>51</v>
      </c>
      <c r="C29" s="13" t="str">
        <f t="shared" si="0"/>
        <v>SVT25</v>
      </c>
      <c r="D29" s="49">
        <f t="shared" si="4"/>
        <v>15.257556637709095</v>
      </c>
      <c r="E29" s="49">
        <f t="shared" si="1"/>
        <v>5.5736810865752711</v>
      </c>
      <c r="F29" s="47">
        <f t="shared" si="2"/>
        <v>74.924480669145453</v>
      </c>
      <c r="G29" s="48">
        <f t="shared" si="3"/>
        <v>64.987097650414242</v>
      </c>
      <c r="H29" s="48">
        <f t="shared" si="5"/>
        <v>25.369681835427265</v>
      </c>
      <c r="I29" s="48">
        <f t="shared" si="6"/>
        <v>15.621386413153276</v>
      </c>
      <c r="J29" s="48">
        <f t="shared" si="7"/>
        <v>12.363692369746056</v>
      </c>
      <c r="K29" s="14"/>
      <c r="L29" s="152">
        <v>4229.3405380952427</v>
      </c>
      <c r="M29" s="152">
        <v>263.40192210690122</v>
      </c>
      <c r="N29" s="157">
        <v>0.74924480669145455</v>
      </c>
      <c r="O29" s="157">
        <v>0.64987097650414238</v>
      </c>
      <c r="P29" s="157">
        <v>0.25369681835427266</v>
      </c>
      <c r="Q29" s="157">
        <v>0.15621386413153276</v>
      </c>
      <c r="R29" s="157">
        <v>0.12363692369746056</v>
      </c>
    </row>
    <row r="30" spans="1:18" x14ac:dyDescent="0.3">
      <c r="A30" s="12" t="s">
        <v>34</v>
      </c>
      <c r="B30" s="12" t="s">
        <v>47</v>
      </c>
      <c r="C30" s="13" t="str">
        <f t="shared" si="0"/>
        <v>SWB21</v>
      </c>
      <c r="D30" s="49">
        <f t="shared" si="4"/>
        <v>13.786266076318835</v>
      </c>
      <c r="E30" s="49">
        <f t="shared" si="1"/>
        <v>6.0091823651586935</v>
      </c>
      <c r="F30" s="47">
        <f t="shared" si="2"/>
        <v>72.704921361723578</v>
      </c>
      <c r="G30" s="48">
        <f t="shared" si="3"/>
        <v>81.474475869021049</v>
      </c>
      <c r="H30" s="48">
        <f t="shared" si="5"/>
        <v>19.679815041253601</v>
      </c>
      <c r="I30" s="48">
        <f t="shared" si="6"/>
        <v>13.016011868367084</v>
      </c>
      <c r="J30" s="48">
        <f t="shared" si="7"/>
        <v>10.426548733325891</v>
      </c>
      <c r="K30" s="14"/>
      <c r="L30" s="152">
        <v>971.17900000000009</v>
      </c>
      <c r="M30" s="152">
        <v>407.15028388362612</v>
      </c>
      <c r="N30" s="157">
        <v>0.72704921361723573</v>
      </c>
      <c r="O30" s="157">
        <v>0.81474475869021046</v>
      </c>
      <c r="P30" s="157">
        <v>0.19679815041253601</v>
      </c>
      <c r="Q30" s="157">
        <v>0.13016011868367083</v>
      </c>
      <c r="R30" s="157">
        <v>0.10426548733325891</v>
      </c>
    </row>
    <row r="31" spans="1:18" x14ac:dyDescent="0.3">
      <c r="A31" s="12" t="s">
        <v>34</v>
      </c>
      <c r="B31" s="12" t="s">
        <v>48</v>
      </c>
      <c r="C31" s="13" t="str">
        <f t="shared" si="0"/>
        <v>SWB22</v>
      </c>
      <c r="D31" s="49">
        <f t="shared" si="4"/>
        <v>13.798617673258196</v>
      </c>
      <c r="E31" s="49">
        <f t="shared" si="1"/>
        <v>5.9975388337702675</v>
      </c>
      <c r="F31" s="47">
        <f t="shared" si="2"/>
        <v>72.704921361723578</v>
      </c>
      <c r="G31" s="48">
        <f t="shared" si="3"/>
        <v>82.346180875851388</v>
      </c>
      <c r="H31" s="48">
        <f t="shared" si="5"/>
        <v>19.679815041253601</v>
      </c>
      <c r="I31" s="48">
        <f t="shared" si="6"/>
        <v>13.016011868367084</v>
      </c>
      <c r="J31" s="48">
        <f t="shared" si="7"/>
        <v>10.426548733325891</v>
      </c>
      <c r="K31" s="14"/>
      <c r="L31" s="152">
        <v>983.24900000000002</v>
      </c>
      <c r="M31" s="152">
        <v>402.43710902083609</v>
      </c>
      <c r="N31" s="157">
        <v>0.72704921361723573</v>
      </c>
      <c r="O31" s="157">
        <v>0.82346180875851394</v>
      </c>
      <c r="P31" s="157">
        <v>0.19679815041253601</v>
      </c>
      <c r="Q31" s="157">
        <v>0.13016011868367083</v>
      </c>
      <c r="R31" s="157">
        <v>0.10426548733325891</v>
      </c>
    </row>
    <row r="32" spans="1:18" x14ac:dyDescent="0.3">
      <c r="A32" s="12" t="s">
        <v>34</v>
      </c>
      <c r="B32" s="12" t="s">
        <v>49</v>
      </c>
      <c r="C32" s="13" t="str">
        <f t="shared" si="0"/>
        <v>SWB23</v>
      </c>
      <c r="D32" s="49">
        <f t="shared" si="4"/>
        <v>13.807542900314965</v>
      </c>
      <c r="E32" s="49">
        <f t="shared" si="1"/>
        <v>5.9768481335146291</v>
      </c>
      <c r="F32" s="47">
        <f t="shared" si="2"/>
        <v>72.704921361723578</v>
      </c>
      <c r="G32" s="48">
        <f t="shared" si="3"/>
        <v>83.187375008063995</v>
      </c>
      <c r="H32" s="48">
        <f t="shared" si="5"/>
        <v>19.679815041253601</v>
      </c>
      <c r="I32" s="48">
        <f t="shared" si="6"/>
        <v>13.016011868367084</v>
      </c>
      <c r="J32" s="48">
        <f t="shared" si="7"/>
        <v>10.426548733325891</v>
      </c>
      <c r="K32" s="14"/>
      <c r="L32" s="152">
        <v>992.06400000000008</v>
      </c>
      <c r="M32" s="152">
        <v>394.19595505413986</v>
      </c>
      <c r="N32" s="157">
        <v>0.72704921361723573</v>
      </c>
      <c r="O32" s="157">
        <v>0.83187375008063991</v>
      </c>
      <c r="P32" s="157">
        <v>0.19679815041253601</v>
      </c>
      <c r="Q32" s="157">
        <v>0.13016011868367083</v>
      </c>
      <c r="R32" s="157">
        <v>0.10426548733325891</v>
      </c>
    </row>
    <row r="33" spans="1:18" x14ac:dyDescent="0.3">
      <c r="A33" s="12" t="s">
        <v>34</v>
      </c>
      <c r="B33" s="12" t="s">
        <v>50</v>
      </c>
      <c r="C33" s="13" t="str">
        <f t="shared" si="0"/>
        <v>SWB24</v>
      </c>
      <c r="D33" s="49">
        <f t="shared" si="4"/>
        <v>13.816533035056366</v>
      </c>
      <c r="E33" s="49">
        <f t="shared" si="1"/>
        <v>5.9591765483131081</v>
      </c>
      <c r="F33" s="47">
        <f t="shared" si="2"/>
        <v>72.704921361723578</v>
      </c>
      <c r="G33" s="48">
        <f t="shared" si="3"/>
        <v>83.94202730606591</v>
      </c>
      <c r="H33" s="48">
        <f t="shared" si="5"/>
        <v>19.679815041253601</v>
      </c>
      <c r="I33" s="48">
        <f t="shared" si="6"/>
        <v>13.016011868367084</v>
      </c>
      <c r="J33" s="48">
        <f t="shared" si="7"/>
        <v>10.426548733325891</v>
      </c>
      <c r="K33" s="14"/>
      <c r="L33" s="152">
        <v>1001.0229999999999</v>
      </c>
      <c r="M33" s="152">
        <v>387.29107740497773</v>
      </c>
      <c r="N33" s="157">
        <v>0.72704921361723573</v>
      </c>
      <c r="O33" s="157">
        <v>0.83942027306065914</v>
      </c>
      <c r="P33" s="157">
        <v>0.19679815041253601</v>
      </c>
      <c r="Q33" s="157">
        <v>0.13016011868367083</v>
      </c>
      <c r="R33" s="157">
        <v>0.10426548733325891</v>
      </c>
    </row>
    <row r="34" spans="1:18" x14ac:dyDescent="0.3">
      <c r="A34" s="12" t="s">
        <v>34</v>
      </c>
      <c r="B34" s="12" t="s">
        <v>51</v>
      </c>
      <c r="C34" s="13" t="str">
        <f t="shared" si="0"/>
        <v>SWB25</v>
      </c>
      <c r="D34" s="49">
        <f t="shared" si="4"/>
        <v>13.825227198147568</v>
      </c>
      <c r="E34" s="49">
        <f t="shared" si="1"/>
        <v>5.938801251167602</v>
      </c>
      <c r="F34" s="47">
        <f t="shared" si="2"/>
        <v>72.704921361723578</v>
      </c>
      <c r="G34" s="48">
        <f t="shared" si="3"/>
        <v>84.614523789717197</v>
      </c>
      <c r="H34" s="48">
        <f t="shared" si="5"/>
        <v>19.679815041253601</v>
      </c>
      <c r="I34" s="48">
        <f t="shared" si="6"/>
        <v>13.016011868367084</v>
      </c>
      <c r="J34" s="48">
        <f t="shared" si="7"/>
        <v>10.426548733325891</v>
      </c>
      <c r="K34" s="14"/>
      <c r="L34" s="152">
        <v>1009.764</v>
      </c>
      <c r="M34" s="152">
        <v>379.47975585893613</v>
      </c>
      <c r="N34" s="157">
        <v>0.72704921361723573</v>
      </c>
      <c r="O34" s="157">
        <v>0.846145237897172</v>
      </c>
      <c r="P34" s="157">
        <v>0.19679815041253601</v>
      </c>
      <c r="Q34" s="157">
        <v>0.13016011868367083</v>
      </c>
      <c r="R34" s="157">
        <v>0.10426548733325891</v>
      </c>
    </row>
    <row r="35" spans="1:18" x14ac:dyDescent="0.3">
      <c r="A35" s="12" t="s">
        <v>24</v>
      </c>
      <c r="B35" s="12" t="s">
        <v>47</v>
      </c>
      <c r="C35" s="13" t="str">
        <f t="shared" si="0"/>
        <v>TMS21</v>
      </c>
      <c r="D35" s="49">
        <f t="shared" si="4"/>
        <v>15.533451782294382</v>
      </c>
      <c r="E35" s="49">
        <f t="shared" si="1"/>
        <v>5.6646032430932047</v>
      </c>
      <c r="F35" s="47">
        <f t="shared" si="2"/>
        <v>63.475626889392863</v>
      </c>
      <c r="G35" s="48">
        <f t="shared" si="3"/>
        <v>54.603257143359563</v>
      </c>
      <c r="H35" s="48">
        <f t="shared" si="5"/>
        <v>27.525953592490655</v>
      </c>
      <c r="I35" s="48">
        <f t="shared" si="6"/>
        <v>14.233604293473404</v>
      </c>
      <c r="J35" s="48">
        <f t="shared" si="7"/>
        <v>18.52672355572135</v>
      </c>
      <c r="K35" s="14"/>
      <c r="L35" s="152">
        <v>5573.0430000000006</v>
      </c>
      <c r="M35" s="152">
        <v>288.47350455307452</v>
      </c>
      <c r="N35" s="157">
        <v>0.63475626889392867</v>
      </c>
      <c r="O35" s="157">
        <v>0.54603257143359563</v>
      </c>
      <c r="P35" s="157">
        <v>0.27525953592490654</v>
      </c>
      <c r="Q35" s="157">
        <v>0.14233604293473404</v>
      </c>
      <c r="R35" s="157">
        <v>0.1852672355572135</v>
      </c>
    </row>
    <row r="36" spans="1:18" x14ac:dyDescent="0.3">
      <c r="A36" s="12" t="s">
        <v>24</v>
      </c>
      <c r="B36" s="12" t="s">
        <v>48</v>
      </c>
      <c r="C36" s="13" t="str">
        <f t="shared" si="0"/>
        <v>TMS22</v>
      </c>
      <c r="D36" s="49">
        <f t="shared" si="4"/>
        <v>15.546468337616991</v>
      </c>
      <c r="E36" s="49">
        <f t="shared" si="1"/>
        <v>5.6808039602217519</v>
      </c>
      <c r="F36" s="47">
        <f t="shared" si="2"/>
        <v>63.475626889392863</v>
      </c>
      <c r="G36" s="48">
        <f t="shared" si="3"/>
        <v>56.26173938316974</v>
      </c>
      <c r="H36" s="48">
        <f t="shared" si="5"/>
        <v>27.525953592490655</v>
      </c>
      <c r="I36" s="48">
        <f t="shared" si="6"/>
        <v>14.233604293473404</v>
      </c>
      <c r="J36" s="48">
        <f t="shared" si="7"/>
        <v>18.52672355572135</v>
      </c>
      <c r="K36" s="14"/>
      <c r="L36" s="152">
        <v>5646.0590000000002</v>
      </c>
      <c r="M36" s="152">
        <v>293.18504431080015</v>
      </c>
      <c r="N36" s="157">
        <v>0.63475626889392867</v>
      </c>
      <c r="O36" s="157">
        <v>0.5626173938316974</v>
      </c>
      <c r="P36" s="157">
        <v>0.27525953592490654</v>
      </c>
      <c r="Q36" s="157">
        <v>0.14233604293473404</v>
      </c>
      <c r="R36" s="157">
        <v>0.1852672355572135</v>
      </c>
    </row>
    <row r="37" spans="1:18" x14ac:dyDescent="0.3">
      <c r="A37" s="12" t="s">
        <v>24</v>
      </c>
      <c r="B37" s="12" t="s">
        <v>49</v>
      </c>
      <c r="C37" s="13" t="str">
        <f t="shared" ref="C37:C68" si="8">A37&amp;RIGHT(B37,2)</f>
        <v>TMS23</v>
      </c>
      <c r="D37" s="49">
        <f t="shared" si="4"/>
        <v>15.55848078802247</v>
      </c>
      <c r="E37" s="49">
        <f t="shared" ref="E37:E68" si="9">LN(M37)</f>
        <v>5.6876712063055148</v>
      </c>
      <c r="F37" s="47">
        <f t="shared" ref="F37:F68" si="10">N37 * 100</f>
        <v>63.475626889392863</v>
      </c>
      <c r="G37" s="48">
        <f t="shared" ref="G37:G68" si="11">O37 * 100</f>
        <v>58.88825052836826</v>
      </c>
      <c r="H37" s="48">
        <f t="shared" si="5"/>
        <v>27.525953592490655</v>
      </c>
      <c r="I37" s="48">
        <f t="shared" si="6"/>
        <v>14.233604293473404</v>
      </c>
      <c r="J37" s="48">
        <f t="shared" si="7"/>
        <v>18.52672355572135</v>
      </c>
      <c r="K37" s="14"/>
      <c r="L37" s="152">
        <v>5714.2910000000002</v>
      </c>
      <c r="M37" s="152">
        <v>295.20534717700724</v>
      </c>
      <c r="N37" s="157">
        <v>0.63475626889392867</v>
      </c>
      <c r="O37" s="157">
        <v>0.58888250528368258</v>
      </c>
      <c r="P37" s="157">
        <v>0.27525953592490654</v>
      </c>
      <c r="Q37" s="157">
        <v>0.14233604293473404</v>
      </c>
      <c r="R37" s="157">
        <v>0.1852672355572135</v>
      </c>
    </row>
    <row r="38" spans="1:18" x14ac:dyDescent="0.3">
      <c r="A38" s="12" t="s">
        <v>24</v>
      </c>
      <c r="B38" s="12" t="s">
        <v>50</v>
      </c>
      <c r="C38" s="13" t="str">
        <f t="shared" si="8"/>
        <v>TMS24</v>
      </c>
      <c r="D38" s="49">
        <f t="shared" si="4"/>
        <v>15.570552791057105</v>
      </c>
      <c r="E38" s="49">
        <f t="shared" si="9"/>
        <v>5.6879390895476085</v>
      </c>
      <c r="F38" s="47">
        <f t="shared" si="10"/>
        <v>63.475626889392863</v>
      </c>
      <c r="G38" s="48">
        <f t="shared" si="11"/>
        <v>61.527671252203618</v>
      </c>
      <c r="H38" s="48">
        <f t="shared" si="5"/>
        <v>27.525953592490655</v>
      </c>
      <c r="I38" s="48">
        <f t="shared" si="6"/>
        <v>14.233604293473404</v>
      </c>
      <c r="J38" s="48">
        <f t="shared" si="7"/>
        <v>18.52672355572135</v>
      </c>
      <c r="K38" s="14"/>
      <c r="L38" s="152">
        <v>5783.6919999999991</v>
      </c>
      <c r="M38" s="152">
        <v>295.28443833561727</v>
      </c>
      <c r="N38" s="157">
        <v>0.63475626889392867</v>
      </c>
      <c r="O38" s="157">
        <v>0.6152767125220362</v>
      </c>
      <c r="P38" s="157">
        <v>0.27525953592490654</v>
      </c>
      <c r="Q38" s="157">
        <v>0.14233604293473404</v>
      </c>
      <c r="R38" s="157">
        <v>0.1852672355572135</v>
      </c>
    </row>
    <row r="39" spans="1:18" x14ac:dyDescent="0.3">
      <c r="A39" s="12" t="s">
        <v>24</v>
      </c>
      <c r="B39" s="12" t="s">
        <v>51</v>
      </c>
      <c r="C39" s="13" t="str">
        <f t="shared" si="8"/>
        <v>TMS25</v>
      </c>
      <c r="D39" s="49">
        <f t="shared" si="4"/>
        <v>15.580574860828929</v>
      </c>
      <c r="E39" s="49">
        <f t="shared" si="9"/>
        <v>5.6886055620925946</v>
      </c>
      <c r="F39" s="47">
        <f t="shared" si="10"/>
        <v>63.475626889392863</v>
      </c>
      <c r="G39" s="48">
        <f t="shared" si="11"/>
        <v>64.512162723803769</v>
      </c>
      <c r="H39" s="48">
        <f t="shared" si="5"/>
        <v>27.525953592490655</v>
      </c>
      <c r="I39" s="48">
        <f t="shared" si="6"/>
        <v>14.233604293473404</v>
      </c>
      <c r="J39" s="48">
        <f t="shared" si="7"/>
        <v>18.52672355572135</v>
      </c>
      <c r="K39" s="14"/>
      <c r="L39" s="152">
        <v>5841.9480000000003</v>
      </c>
      <c r="M39" s="152">
        <v>295.48130290185702</v>
      </c>
      <c r="N39" s="157">
        <v>0.63475626889392867</v>
      </c>
      <c r="O39" s="157">
        <v>0.64512162723803768</v>
      </c>
      <c r="P39" s="157">
        <v>0.27525953592490654</v>
      </c>
      <c r="Q39" s="157">
        <v>0.14233604293473404</v>
      </c>
      <c r="R39" s="157">
        <v>0.1852672355572135</v>
      </c>
    </row>
    <row r="40" spans="1:18" x14ac:dyDescent="0.3">
      <c r="A40" s="12" t="s">
        <v>40</v>
      </c>
      <c r="B40" s="12" t="s">
        <v>47</v>
      </c>
      <c r="C40" s="13" t="str">
        <f t="shared" si="8"/>
        <v>WSH21</v>
      </c>
      <c r="D40" s="49">
        <f t="shared" si="4"/>
        <v>14.169700617132474</v>
      </c>
      <c r="E40" s="49">
        <f t="shared" si="9"/>
        <v>5.9596697703429973</v>
      </c>
      <c r="F40" s="47">
        <f t="shared" si="10"/>
        <v>84.755371652057192</v>
      </c>
      <c r="G40" s="48">
        <f t="shared" si="11"/>
        <v>47.853723370661314</v>
      </c>
      <c r="H40" s="48">
        <f t="shared" si="5"/>
        <v>24.333123476941569</v>
      </c>
      <c r="I40" s="48">
        <f t="shared" si="6"/>
        <v>15.747591520069836</v>
      </c>
      <c r="J40" s="48">
        <f t="shared" si="7"/>
        <v>9.7298917584290106</v>
      </c>
      <c r="K40" s="14"/>
      <c r="L40" s="152">
        <v>1425.0259999999998</v>
      </c>
      <c r="M40" s="152">
        <v>387.48214501183651</v>
      </c>
      <c r="N40" s="157">
        <v>0.84755371652057188</v>
      </c>
      <c r="O40" s="157">
        <v>0.47853723370661316</v>
      </c>
      <c r="P40" s="157">
        <v>0.24333123476941571</v>
      </c>
      <c r="Q40" s="157">
        <v>0.15747591520069837</v>
      </c>
      <c r="R40" s="157">
        <v>9.7298917584290101E-2</v>
      </c>
    </row>
    <row r="41" spans="1:18" x14ac:dyDescent="0.3">
      <c r="A41" s="12" t="s">
        <v>40</v>
      </c>
      <c r="B41" s="12" t="s">
        <v>48</v>
      </c>
      <c r="C41" s="13" t="str">
        <f t="shared" si="8"/>
        <v>WSH22</v>
      </c>
      <c r="D41" s="49">
        <f t="shared" si="4"/>
        <v>14.177547500659363</v>
      </c>
      <c r="E41" s="49">
        <f t="shared" si="9"/>
        <v>5.9589711430880872</v>
      </c>
      <c r="F41" s="47">
        <f t="shared" si="10"/>
        <v>84.755371652057192</v>
      </c>
      <c r="G41" s="48">
        <f t="shared" si="11"/>
        <v>49.126337160888198</v>
      </c>
      <c r="H41" s="48">
        <f t="shared" si="5"/>
        <v>24.333123476941569</v>
      </c>
      <c r="I41" s="48">
        <f t="shared" si="6"/>
        <v>15.747591520069836</v>
      </c>
      <c r="J41" s="48">
        <f xml:space="preserve"> R41 * 100</f>
        <v>9.7298917584290106</v>
      </c>
      <c r="K41" s="14"/>
      <c r="L41" s="152">
        <v>1436.252</v>
      </c>
      <c r="M41" s="152">
        <v>387.21153396367362</v>
      </c>
      <c r="N41" s="157">
        <v>0.84755371652057188</v>
      </c>
      <c r="O41" s="157">
        <v>0.491263371608882</v>
      </c>
      <c r="P41" s="157">
        <v>0.24333123476941571</v>
      </c>
      <c r="Q41" s="157">
        <v>0.15747591520069837</v>
      </c>
      <c r="R41" s="157">
        <v>9.7298917584290101E-2</v>
      </c>
    </row>
    <row r="42" spans="1:18" x14ac:dyDescent="0.3">
      <c r="A42" s="12" t="s">
        <v>40</v>
      </c>
      <c r="B42" s="12" t="s">
        <v>49</v>
      </c>
      <c r="C42" s="13" t="str">
        <f t="shared" si="8"/>
        <v>WSH23</v>
      </c>
      <c r="D42" s="49">
        <f t="shared" si="4"/>
        <v>14.185459017726572</v>
      </c>
      <c r="E42" s="49">
        <f t="shared" si="9"/>
        <v>5.9584049899740235</v>
      </c>
      <c r="F42" s="47">
        <f t="shared" si="10"/>
        <v>84.755371652057192</v>
      </c>
      <c r="G42" s="48">
        <f t="shared" si="11"/>
        <v>50.363690369285607</v>
      </c>
      <c r="H42" s="48">
        <f t="shared" si="5"/>
        <v>24.333123476941569</v>
      </c>
      <c r="I42" s="48">
        <f t="shared" si="6"/>
        <v>15.747591520069836</v>
      </c>
      <c r="J42" s="48">
        <f t="shared" si="7"/>
        <v>9.7298917584290106</v>
      </c>
      <c r="K42" s="14"/>
      <c r="L42" s="152">
        <v>1447.66</v>
      </c>
      <c r="M42" s="152">
        <v>386.99237499253962</v>
      </c>
      <c r="N42" s="157">
        <v>0.84755371652057188</v>
      </c>
      <c r="O42" s="157">
        <v>0.50363690369285607</v>
      </c>
      <c r="P42" s="157">
        <v>0.24333123476941571</v>
      </c>
      <c r="Q42" s="157">
        <v>0.15747591520069837</v>
      </c>
      <c r="R42" s="157">
        <v>9.7298917584290101E-2</v>
      </c>
    </row>
    <row r="43" spans="1:18" x14ac:dyDescent="0.3">
      <c r="A43" s="12" t="s">
        <v>40</v>
      </c>
      <c r="B43" s="12" t="s">
        <v>50</v>
      </c>
      <c r="C43" s="13" t="str">
        <f t="shared" si="8"/>
        <v>WSH24</v>
      </c>
      <c r="D43" s="49">
        <f t="shared" si="4"/>
        <v>14.193353667016128</v>
      </c>
      <c r="E43" s="49">
        <f t="shared" si="9"/>
        <v>5.9578085846570596</v>
      </c>
      <c r="F43" s="47">
        <f t="shared" si="10"/>
        <v>84.755371652057192</v>
      </c>
      <c r="G43" s="48">
        <f t="shared" si="11"/>
        <v>51.5625021416813</v>
      </c>
      <c r="H43" s="48">
        <f t="shared" si="5"/>
        <v>24.333123476941569</v>
      </c>
      <c r="I43" s="48">
        <f t="shared" si="6"/>
        <v>15.747591520069836</v>
      </c>
      <c r="J43" s="48">
        <f t="shared" si="7"/>
        <v>9.7298917584290106</v>
      </c>
      <c r="K43" s="14"/>
      <c r="L43" s="152">
        <v>1459.134</v>
      </c>
      <c r="M43" s="152">
        <v>386.76163949524795</v>
      </c>
      <c r="N43" s="157">
        <v>0.84755371652057188</v>
      </c>
      <c r="O43" s="157">
        <v>0.51562502141681299</v>
      </c>
      <c r="P43" s="157">
        <v>0.24333123476941571</v>
      </c>
      <c r="Q43" s="157">
        <v>0.15747591520069837</v>
      </c>
      <c r="R43" s="157">
        <v>9.7298917584290101E-2</v>
      </c>
    </row>
    <row r="44" spans="1:18" x14ac:dyDescent="0.3">
      <c r="A44" s="12" t="s">
        <v>40</v>
      </c>
      <c r="B44" s="12" t="s">
        <v>51</v>
      </c>
      <c r="C44" s="13" t="str">
        <f t="shared" si="8"/>
        <v>WSH25</v>
      </c>
      <c r="D44" s="49">
        <f t="shared" si="4"/>
        <v>14.201229997154099</v>
      </c>
      <c r="E44" s="49">
        <f t="shared" si="9"/>
        <v>5.9571336625740612</v>
      </c>
      <c r="F44" s="47">
        <f t="shared" si="10"/>
        <v>84.755371652057192</v>
      </c>
      <c r="G44" s="48">
        <f t="shared" si="11"/>
        <v>52.723652860733047</v>
      </c>
      <c r="H44" s="48">
        <f t="shared" si="5"/>
        <v>24.333123476941569</v>
      </c>
      <c r="I44" s="48">
        <f t="shared" si="6"/>
        <v>15.747591520069836</v>
      </c>
      <c r="J44" s="48">
        <f t="shared" si="7"/>
        <v>9.7298917584290106</v>
      </c>
      <c r="K44" s="14"/>
      <c r="L44" s="152">
        <v>1470.672</v>
      </c>
      <c r="M44" s="152">
        <v>386.5006935928771</v>
      </c>
      <c r="N44" s="157">
        <v>0.84755371652057188</v>
      </c>
      <c r="O44" s="157">
        <v>0.5272365286073305</v>
      </c>
      <c r="P44" s="157">
        <v>0.24333123476941571</v>
      </c>
      <c r="Q44" s="157">
        <v>0.15747591520069837</v>
      </c>
      <c r="R44" s="157">
        <v>9.7298917584290101E-2</v>
      </c>
    </row>
    <row r="45" spans="1:18" x14ac:dyDescent="0.3">
      <c r="A45" s="12" t="s">
        <v>25</v>
      </c>
      <c r="B45" s="12" t="s">
        <v>47</v>
      </c>
      <c r="C45" s="13" t="str">
        <f t="shared" si="8"/>
        <v>WSX21</v>
      </c>
      <c r="D45" s="49">
        <f t="shared" si="4"/>
        <v>14.025064588599443</v>
      </c>
      <c r="E45" s="49">
        <f t="shared" si="9"/>
        <v>5.6905954102984087</v>
      </c>
      <c r="F45" s="47">
        <f t="shared" si="10"/>
        <v>43.015392676360001</v>
      </c>
      <c r="G45" s="48">
        <f t="shared" si="11"/>
        <v>65.779302716344134</v>
      </c>
      <c r="H45" s="48">
        <f t="shared" si="5"/>
        <v>18.776764745454319</v>
      </c>
      <c r="I45" s="48">
        <f t="shared" si="6"/>
        <v>10.973138627472681</v>
      </c>
      <c r="J45" s="48">
        <f t="shared" si="7"/>
        <v>12.632162585615211</v>
      </c>
      <c r="K45" s="14"/>
      <c r="L45" s="152">
        <v>1233.1279999999999</v>
      </c>
      <c r="M45" s="152">
        <v>296.0698512089881</v>
      </c>
      <c r="N45" s="157">
        <v>0.43015392676360004</v>
      </c>
      <c r="O45" s="157">
        <v>0.65779302716344135</v>
      </c>
      <c r="P45" s="157">
        <v>0.18776764745454319</v>
      </c>
      <c r="Q45" s="157">
        <v>0.10973138627472681</v>
      </c>
      <c r="R45" s="157">
        <v>0.12632162585615211</v>
      </c>
    </row>
    <row r="46" spans="1:18" x14ac:dyDescent="0.3">
      <c r="A46" s="12" t="s">
        <v>25</v>
      </c>
      <c r="B46" s="12" t="s">
        <v>48</v>
      </c>
      <c r="C46" s="13" t="str">
        <f t="shared" si="8"/>
        <v>WSX22</v>
      </c>
      <c r="D46" s="49">
        <f t="shared" si="4"/>
        <v>14.035478672912724</v>
      </c>
      <c r="E46" s="49">
        <f t="shared" si="9"/>
        <v>5.7073518683892868</v>
      </c>
      <c r="F46" s="47">
        <f t="shared" si="10"/>
        <v>43.015392676360001</v>
      </c>
      <c r="G46" s="48">
        <f t="shared" si="11"/>
        <v>67.495748521111338</v>
      </c>
      <c r="H46" s="48">
        <f t="shared" si="5"/>
        <v>18.776764745454319</v>
      </c>
      <c r="I46" s="48">
        <f t="shared" si="6"/>
        <v>10.973138627472681</v>
      </c>
      <c r="J46" s="48">
        <f t="shared" si="7"/>
        <v>12.632162585615211</v>
      </c>
      <c r="K46" s="14"/>
      <c r="L46" s="152">
        <v>1246.037</v>
      </c>
      <c r="M46" s="152">
        <v>301.07273148150517</v>
      </c>
      <c r="N46" s="157">
        <v>0.43015392676360004</v>
      </c>
      <c r="O46" s="157">
        <v>0.67495748521111343</v>
      </c>
      <c r="P46" s="157">
        <v>0.18776764745454319</v>
      </c>
      <c r="Q46" s="157">
        <v>0.10973138627472681</v>
      </c>
      <c r="R46" s="157">
        <v>0.12632162585615211</v>
      </c>
    </row>
    <row r="47" spans="1:18" x14ac:dyDescent="0.3">
      <c r="A47" s="12" t="s">
        <v>25</v>
      </c>
      <c r="B47" s="12" t="s">
        <v>49</v>
      </c>
      <c r="C47" s="13" t="str">
        <f t="shared" si="8"/>
        <v>WSX23</v>
      </c>
      <c r="D47" s="49">
        <f t="shared" si="4"/>
        <v>14.04559556155753</v>
      </c>
      <c r="E47" s="49">
        <f t="shared" si="9"/>
        <v>5.7268615799484275</v>
      </c>
      <c r="F47" s="47">
        <f t="shared" si="10"/>
        <v>43.015392676360001</v>
      </c>
      <c r="G47" s="48">
        <f t="shared" si="11"/>
        <v>69.124109105613925</v>
      </c>
      <c r="H47" s="48">
        <f t="shared" si="5"/>
        <v>18.776764745454319</v>
      </c>
      <c r="I47" s="48">
        <f t="shared" si="6"/>
        <v>10.973138627472681</v>
      </c>
      <c r="J47" s="48">
        <f t="shared" si="7"/>
        <v>12.632162585615211</v>
      </c>
      <c r="K47" s="14"/>
      <c r="L47" s="152">
        <v>1258.7070000000001</v>
      </c>
      <c r="M47" s="152">
        <v>307.00424656426776</v>
      </c>
      <c r="N47" s="157">
        <v>0.43015392676360004</v>
      </c>
      <c r="O47" s="157">
        <v>0.69124109105613929</v>
      </c>
      <c r="P47" s="157">
        <v>0.18776764745454319</v>
      </c>
      <c r="Q47" s="157">
        <v>0.10973138627472681</v>
      </c>
      <c r="R47" s="157">
        <v>0.12632162585615211</v>
      </c>
    </row>
    <row r="48" spans="1:18" x14ac:dyDescent="0.3">
      <c r="A48" s="12" t="s">
        <v>25</v>
      </c>
      <c r="B48" s="12" t="s">
        <v>50</v>
      </c>
      <c r="C48" s="13" t="str">
        <f t="shared" si="8"/>
        <v>WSX24</v>
      </c>
      <c r="D48" s="49">
        <f t="shared" si="4"/>
        <v>14.05537434382058</v>
      </c>
      <c r="E48" s="49">
        <f t="shared" si="9"/>
        <v>5.740425436720674</v>
      </c>
      <c r="F48" s="47">
        <f t="shared" si="10"/>
        <v>43.015392676360001</v>
      </c>
      <c r="G48" s="48">
        <f t="shared" si="11"/>
        <v>70.677441789476006</v>
      </c>
      <c r="H48" s="48">
        <f t="shared" si="5"/>
        <v>18.776764745454319</v>
      </c>
      <c r="I48" s="48">
        <f t="shared" si="6"/>
        <v>10.973138627472681</v>
      </c>
      <c r="J48" s="48">
        <f t="shared" si="7"/>
        <v>12.632162585615211</v>
      </c>
      <c r="K48" s="14"/>
      <c r="L48" s="152">
        <v>1271.076</v>
      </c>
      <c r="M48" s="152">
        <v>311.19677735908158</v>
      </c>
      <c r="N48" s="157">
        <v>0.43015392676360004</v>
      </c>
      <c r="O48" s="157">
        <v>0.70677441789476003</v>
      </c>
      <c r="P48" s="157">
        <v>0.18776764745454319</v>
      </c>
      <c r="Q48" s="157">
        <v>0.10973138627472681</v>
      </c>
      <c r="R48" s="157">
        <v>0.12632162585615211</v>
      </c>
    </row>
    <row r="49" spans="1:18" x14ac:dyDescent="0.3">
      <c r="A49" s="12" t="s">
        <v>25</v>
      </c>
      <c r="B49" s="12" t="s">
        <v>51</v>
      </c>
      <c r="C49" s="13" t="str">
        <f t="shared" si="8"/>
        <v>WSX25</v>
      </c>
      <c r="D49" s="49">
        <f t="shared" si="4"/>
        <v>14.064611872447767</v>
      </c>
      <c r="E49" s="49">
        <f t="shared" si="9"/>
        <v>5.7557360470415428</v>
      </c>
      <c r="F49" s="47">
        <f t="shared" si="10"/>
        <v>43.015392676360001</v>
      </c>
      <c r="G49" s="48">
        <f t="shared" si="11"/>
        <v>72.162850229796888</v>
      </c>
      <c r="H49" s="48">
        <f t="shared" si="5"/>
        <v>18.776764745454319</v>
      </c>
      <c r="I49" s="48">
        <f t="shared" si="6"/>
        <v>10.973138627472681</v>
      </c>
      <c r="J49" s="48">
        <f t="shared" si="7"/>
        <v>12.632162585615211</v>
      </c>
      <c r="K49" s="14"/>
      <c r="L49" s="152">
        <v>1282.8720000000001</v>
      </c>
      <c r="M49" s="152">
        <v>315.99805137767157</v>
      </c>
      <c r="N49" s="157">
        <v>0.43015392676360004</v>
      </c>
      <c r="O49" s="157">
        <v>0.72162850229796893</v>
      </c>
      <c r="P49" s="157">
        <v>0.18776764745454319</v>
      </c>
      <c r="Q49" s="157">
        <v>0.10973138627472681</v>
      </c>
      <c r="R49" s="157">
        <v>0.12632162585615211</v>
      </c>
    </row>
    <row r="50" spans="1:18" x14ac:dyDescent="0.3">
      <c r="A50" s="12" t="s">
        <v>26</v>
      </c>
      <c r="B50" s="12" t="s">
        <v>47</v>
      </c>
      <c r="C50" s="13" t="str">
        <f t="shared" si="8"/>
        <v>YKY21</v>
      </c>
      <c r="D50" s="49">
        <f t="shared" si="4"/>
        <v>14.612472560212371</v>
      </c>
      <c r="E50" s="49">
        <f t="shared" si="9"/>
        <v>5.8884106144449975</v>
      </c>
      <c r="F50" s="47">
        <f t="shared" si="10"/>
        <v>89.77467561866402</v>
      </c>
      <c r="G50" s="48">
        <f t="shared" si="11"/>
        <v>58.961776463748251</v>
      </c>
      <c r="H50" s="48">
        <f t="shared" si="5"/>
        <v>25.284817907939484</v>
      </c>
      <c r="I50" s="48">
        <f t="shared" si="6"/>
        <v>16.056556405608163</v>
      </c>
      <c r="J50" s="48">
        <f t="shared" si="7"/>
        <v>10.530345434566705</v>
      </c>
      <c r="K50" s="14"/>
      <c r="L50" s="152">
        <v>2218.79</v>
      </c>
      <c r="M50" s="152">
        <v>360.83132827339415</v>
      </c>
      <c r="N50" s="157">
        <v>0.89774675618664024</v>
      </c>
      <c r="O50" s="157">
        <v>0.5896177646374825</v>
      </c>
      <c r="P50" s="157">
        <v>0.25284817907939483</v>
      </c>
      <c r="Q50" s="157">
        <v>0.16056556405608163</v>
      </c>
      <c r="R50" s="157">
        <v>0.10530345434566706</v>
      </c>
    </row>
    <row r="51" spans="1:18" x14ac:dyDescent="0.3">
      <c r="A51" s="12" t="s">
        <v>26</v>
      </c>
      <c r="B51" s="12" t="s">
        <v>48</v>
      </c>
      <c r="C51" s="13" t="str">
        <f t="shared" si="8"/>
        <v>YKY22</v>
      </c>
      <c r="D51" s="49">
        <f t="shared" si="4"/>
        <v>14.621858737108191</v>
      </c>
      <c r="E51" s="49">
        <f t="shared" si="9"/>
        <v>5.888559713219311</v>
      </c>
      <c r="F51" s="47">
        <f t="shared" si="10"/>
        <v>89.77467561866402</v>
      </c>
      <c r="G51" s="48">
        <f t="shared" si="11"/>
        <v>60.857814881721509</v>
      </c>
      <c r="H51" s="48">
        <f t="shared" si="5"/>
        <v>25.284817907939484</v>
      </c>
      <c r="I51" s="48">
        <f t="shared" si="6"/>
        <v>16.056556405608163</v>
      </c>
      <c r="J51" s="48">
        <f t="shared" si="7"/>
        <v>10.530345434566705</v>
      </c>
      <c r="K51" s="14"/>
      <c r="L51" s="152">
        <v>2239.7139999999999</v>
      </c>
      <c r="M51" s="152">
        <v>360.88513179309342</v>
      </c>
      <c r="N51" s="157">
        <v>0.89774675618664024</v>
      </c>
      <c r="O51" s="157">
        <v>0.60857814881721506</v>
      </c>
      <c r="P51" s="157">
        <v>0.25284817907939483</v>
      </c>
      <c r="Q51" s="157">
        <v>0.16056556405608163</v>
      </c>
      <c r="R51" s="157">
        <v>0.10530345434566706</v>
      </c>
    </row>
    <row r="52" spans="1:18" x14ac:dyDescent="0.3">
      <c r="A52" s="12" t="s">
        <v>26</v>
      </c>
      <c r="B52" s="12" t="s">
        <v>49</v>
      </c>
      <c r="C52" s="13" t="str">
        <f t="shared" si="8"/>
        <v>YKY23</v>
      </c>
      <c r="D52" s="49">
        <f t="shared" si="4"/>
        <v>14.631202308948957</v>
      </c>
      <c r="E52" s="49">
        <f t="shared" si="9"/>
        <v>5.8886118314892668</v>
      </c>
      <c r="F52" s="47">
        <f t="shared" si="10"/>
        <v>89.77467561866402</v>
      </c>
      <c r="G52" s="48">
        <f t="shared" si="11"/>
        <v>62.602405673543039</v>
      </c>
      <c r="H52" s="48">
        <f t="shared" si="5"/>
        <v>25.284817907939484</v>
      </c>
      <c r="I52" s="48">
        <f t="shared" si="6"/>
        <v>16.056556405608163</v>
      </c>
      <c r="J52" s="48">
        <f t="shared" si="7"/>
        <v>10.530345434566705</v>
      </c>
      <c r="K52" s="14"/>
      <c r="L52" s="152">
        <v>2260.739</v>
      </c>
      <c r="M52" s="152">
        <v>360.90394099196249</v>
      </c>
      <c r="N52" s="157">
        <v>0.89774675618664024</v>
      </c>
      <c r="O52" s="157">
        <v>0.62602405673543038</v>
      </c>
      <c r="P52" s="157">
        <v>0.25284817907939483</v>
      </c>
      <c r="Q52" s="157">
        <v>0.16056556405608163</v>
      </c>
      <c r="R52" s="157">
        <v>0.10530345434566706</v>
      </c>
    </row>
    <row r="53" spans="1:18" x14ac:dyDescent="0.3">
      <c r="A53" s="12" t="s">
        <v>26</v>
      </c>
      <c r="B53" s="12" t="s">
        <v>50</v>
      </c>
      <c r="C53" s="13" t="str">
        <f t="shared" si="8"/>
        <v>YKY24</v>
      </c>
      <c r="D53" s="49">
        <f t="shared" si="4"/>
        <v>14.64044360861028</v>
      </c>
      <c r="E53" s="49">
        <f t="shared" si="9"/>
        <v>5.8886513527485702</v>
      </c>
      <c r="F53" s="47">
        <f t="shared" si="10"/>
        <v>89.77467561866402</v>
      </c>
      <c r="G53" s="48">
        <f t="shared" si="11"/>
        <v>64.207302535622119</v>
      </c>
      <c r="H53" s="48">
        <f t="shared" si="5"/>
        <v>25.284817907939484</v>
      </c>
      <c r="I53" s="48">
        <f t="shared" si="6"/>
        <v>16.056556405608163</v>
      </c>
      <c r="J53" s="48">
        <f t="shared" si="7"/>
        <v>10.530345434566705</v>
      </c>
      <c r="K53" s="14"/>
      <c r="L53" s="152">
        <v>2281.7280000000001</v>
      </c>
      <c r="M53" s="152">
        <v>360.91820465205518</v>
      </c>
      <c r="N53" s="157">
        <v>0.89774675618664024</v>
      </c>
      <c r="O53" s="157">
        <v>0.64207302535622124</v>
      </c>
      <c r="P53" s="157">
        <v>0.25284817907939483</v>
      </c>
      <c r="Q53" s="157">
        <v>0.16056556405608163</v>
      </c>
      <c r="R53" s="157">
        <v>0.10530345434566706</v>
      </c>
    </row>
    <row r="54" spans="1:18" x14ac:dyDescent="0.3">
      <c r="A54" s="12" t="s">
        <v>26</v>
      </c>
      <c r="B54" s="12" t="s">
        <v>51</v>
      </c>
      <c r="C54" s="13" t="str">
        <f t="shared" si="8"/>
        <v>YKY25</v>
      </c>
      <c r="D54" s="49">
        <f t="shared" si="4"/>
        <v>14.649620698519332</v>
      </c>
      <c r="E54" s="49">
        <f t="shared" si="9"/>
        <v>5.8887259954342337</v>
      </c>
      <c r="F54" s="47">
        <f t="shared" si="10"/>
        <v>89.77467561866402</v>
      </c>
      <c r="G54" s="48">
        <f t="shared" si="11"/>
        <v>65.686409896975988</v>
      </c>
      <c r="H54" s="48">
        <f t="shared" si="5"/>
        <v>25.284817907939484</v>
      </c>
      <c r="I54" s="48">
        <f t="shared" si="6"/>
        <v>16.056556405608163</v>
      </c>
      <c r="J54" s="48">
        <f t="shared" si="7"/>
        <v>10.530345434566705</v>
      </c>
      <c r="K54" s="14"/>
      <c r="L54" s="152">
        <v>2302.7640000000001</v>
      </c>
      <c r="M54" s="152">
        <v>360.94514556161363</v>
      </c>
      <c r="N54" s="157">
        <v>0.89774675618664024</v>
      </c>
      <c r="O54" s="157">
        <v>0.65686409896975984</v>
      </c>
      <c r="P54" s="157">
        <v>0.25284817907939483</v>
      </c>
      <c r="Q54" s="157">
        <v>0.16056556405608163</v>
      </c>
      <c r="R54" s="157">
        <v>0.10530345434566706</v>
      </c>
    </row>
    <row r="55" spans="1:18" x14ac:dyDescent="0.3">
      <c r="A55" s="12" t="s">
        <v>27</v>
      </c>
      <c r="B55" s="12" t="s">
        <v>47</v>
      </c>
      <c r="C55" s="13" t="str">
        <f t="shared" si="8"/>
        <v>AFW21</v>
      </c>
      <c r="D55" s="49">
        <f t="shared" si="4"/>
        <v>14.158112540675303</v>
      </c>
      <c r="E55" s="49">
        <f t="shared" si="9"/>
        <v>5.1490749504983668</v>
      </c>
      <c r="F55" s="47">
        <f t="shared" si="10"/>
        <v>0</v>
      </c>
      <c r="G55" s="48">
        <f t="shared" si="11"/>
        <v>61.763954201594764</v>
      </c>
      <c r="H55" s="48">
        <f t="shared" si="5"/>
        <v>24.974942809889139</v>
      </c>
      <c r="I55" s="48">
        <f t="shared" si="6"/>
        <v>12.331170103658724</v>
      </c>
      <c r="J55" s="48">
        <f t="shared" si="7"/>
        <v>15.61889046621954</v>
      </c>
      <c r="K55" s="14"/>
      <c r="L55" s="152">
        <v>1408.6079999999999</v>
      </c>
      <c r="M55" s="152">
        <v>172.27205640616987</v>
      </c>
      <c r="N55" s="157">
        <v>0</v>
      </c>
      <c r="O55" s="157">
        <v>0.61763954201594762</v>
      </c>
      <c r="P55" s="157">
        <v>0.24974942809889139</v>
      </c>
      <c r="Q55" s="157">
        <v>0.12331170103658724</v>
      </c>
      <c r="R55" s="157">
        <v>0.1561889046621954</v>
      </c>
    </row>
    <row r="56" spans="1:18" x14ac:dyDescent="0.3">
      <c r="A56" s="12" t="s">
        <v>27</v>
      </c>
      <c r="B56" s="12" t="s">
        <v>48</v>
      </c>
      <c r="C56" s="13" t="str">
        <f t="shared" si="8"/>
        <v>AFW22</v>
      </c>
      <c r="D56" s="49">
        <f t="shared" si="4"/>
        <v>14.172264998743049</v>
      </c>
      <c r="E56" s="49">
        <f t="shared" si="9"/>
        <v>5.1457403252758613</v>
      </c>
      <c r="F56" s="47">
        <f t="shared" si="10"/>
        <v>0</v>
      </c>
      <c r="G56" s="48">
        <f t="shared" si="11"/>
        <v>65.257352040512785</v>
      </c>
      <c r="H56" s="48">
        <f t="shared" si="5"/>
        <v>24.974942809889139</v>
      </c>
      <c r="I56" s="48">
        <f t="shared" si="6"/>
        <v>12.331170103658724</v>
      </c>
      <c r="J56" s="48">
        <f t="shared" si="7"/>
        <v>15.61889046621954</v>
      </c>
      <c r="K56" s="14"/>
      <c r="L56" s="152">
        <v>1428.6849999999999</v>
      </c>
      <c r="M56" s="152">
        <v>171.69855040696564</v>
      </c>
      <c r="N56" s="157">
        <v>0</v>
      </c>
      <c r="O56" s="157">
        <v>0.65257352040512784</v>
      </c>
      <c r="P56" s="157">
        <v>0.24974942809889139</v>
      </c>
      <c r="Q56" s="157">
        <v>0.12331170103658724</v>
      </c>
      <c r="R56" s="157">
        <v>0.1561889046621954</v>
      </c>
    </row>
    <row r="57" spans="1:18" x14ac:dyDescent="0.3">
      <c r="A57" s="12" t="s">
        <v>27</v>
      </c>
      <c r="B57" s="12" t="s">
        <v>49</v>
      </c>
      <c r="C57" s="13" t="str">
        <f t="shared" si="8"/>
        <v>AFW23</v>
      </c>
      <c r="D57" s="49">
        <f t="shared" si="4"/>
        <v>14.183902192615756</v>
      </c>
      <c r="E57" s="49">
        <f t="shared" si="9"/>
        <v>5.1428000568101835</v>
      </c>
      <c r="F57" s="47">
        <f t="shared" si="10"/>
        <v>0</v>
      </c>
      <c r="G57" s="48">
        <f t="shared" si="11"/>
        <v>69.381793929464905</v>
      </c>
      <c r="H57" s="48">
        <f t="shared" si="5"/>
        <v>24.974942809889139</v>
      </c>
      <c r="I57" s="48">
        <f t="shared" si="6"/>
        <v>12.331170103658724</v>
      </c>
      <c r="J57" s="48">
        <f t="shared" si="7"/>
        <v>15.61889046621954</v>
      </c>
      <c r="K57" s="14"/>
      <c r="L57" s="152">
        <v>1445.4079999999999</v>
      </c>
      <c r="M57" s="152">
        <v>171.19445202905192</v>
      </c>
      <c r="N57" s="157">
        <v>0</v>
      </c>
      <c r="O57" s="157">
        <v>0.69381793929464908</v>
      </c>
      <c r="P57" s="157">
        <v>0.24974942809889139</v>
      </c>
      <c r="Q57" s="157">
        <v>0.12331170103658724</v>
      </c>
      <c r="R57" s="157">
        <v>0.1561889046621954</v>
      </c>
    </row>
    <row r="58" spans="1:18" x14ac:dyDescent="0.3">
      <c r="A58" s="12" t="s">
        <v>27</v>
      </c>
      <c r="B58" s="12" t="s">
        <v>50</v>
      </c>
      <c r="C58" s="13" t="str">
        <f t="shared" si="8"/>
        <v>AFW24</v>
      </c>
      <c r="D58" s="49">
        <f t="shared" si="4"/>
        <v>14.195406202493912</v>
      </c>
      <c r="E58" s="49">
        <f t="shared" si="9"/>
        <v>5.1401122584352414</v>
      </c>
      <c r="F58" s="47">
        <f t="shared" si="10"/>
        <v>0</v>
      </c>
      <c r="G58" s="48">
        <f t="shared" si="11"/>
        <v>73.657576744096971</v>
      </c>
      <c r="H58" s="48">
        <f t="shared" si="5"/>
        <v>24.974942809889139</v>
      </c>
      <c r="I58" s="48">
        <f t="shared" si="6"/>
        <v>12.331170103658724</v>
      </c>
      <c r="J58" s="48">
        <f t="shared" si="7"/>
        <v>15.61889046621954</v>
      </c>
      <c r="K58" s="14"/>
      <c r="L58" s="152">
        <v>1462.1320000000001</v>
      </c>
      <c r="M58" s="152">
        <v>170.73493368206221</v>
      </c>
      <c r="N58" s="157">
        <v>0</v>
      </c>
      <c r="O58" s="157">
        <v>0.73657576744096975</v>
      </c>
      <c r="P58" s="157">
        <v>0.24974942809889139</v>
      </c>
      <c r="Q58" s="157">
        <v>0.12331170103658724</v>
      </c>
      <c r="R58" s="157">
        <v>0.1561889046621954</v>
      </c>
    </row>
    <row r="59" spans="1:18" x14ac:dyDescent="0.3">
      <c r="A59" s="12" t="s">
        <v>27</v>
      </c>
      <c r="B59" s="12" t="s">
        <v>51</v>
      </c>
      <c r="C59" s="13" t="str">
        <f t="shared" si="8"/>
        <v>AFW25</v>
      </c>
      <c r="D59" s="49">
        <f t="shared" si="4"/>
        <v>14.206779373869679</v>
      </c>
      <c r="E59" s="49">
        <f t="shared" si="9"/>
        <v>5.136732610507992</v>
      </c>
      <c r="F59" s="47">
        <f t="shared" si="10"/>
        <v>0</v>
      </c>
      <c r="G59" s="48">
        <f t="shared" si="11"/>
        <v>77.919824513001942</v>
      </c>
      <c r="H59" s="48">
        <f t="shared" si="5"/>
        <v>24.974942809889139</v>
      </c>
      <c r="I59" s="48">
        <f t="shared" si="6"/>
        <v>12.331170103658724</v>
      </c>
      <c r="J59" s="48">
        <f t="shared" si="7"/>
        <v>15.61889046621954</v>
      </c>
      <c r="K59" s="14"/>
      <c r="L59" s="152">
        <v>1478.8559999999998</v>
      </c>
      <c r="M59" s="152">
        <v>170.15888368872203</v>
      </c>
      <c r="N59" s="157">
        <v>0</v>
      </c>
      <c r="O59" s="157">
        <v>0.77919824513001945</v>
      </c>
      <c r="P59" s="157">
        <v>0.24974942809889139</v>
      </c>
      <c r="Q59" s="157">
        <v>0.12331170103658724</v>
      </c>
      <c r="R59" s="157">
        <v>0.1561889046621954</v>
      </c>
    </row>
    <row r="60" spans="1:18" x14ac:dyDescent="0.3">
      <c r="A60" s="12" t="s">
        <v>28</v>
      </c>
      <c r="B60" s="12" t="s">
        <v>47</v>
      </c>
      <c r="C60" s="13" t="str">
        <f t="shared" si="8"/>
        <v>BRL21</v>
      </c>
      <c r="D60" s="49">
        <f t="shared" si="4"/>
        <v>13.138372544108652</v>
      </c>
      <c r="E60" s="49">
        <f t="shared" si="9"/>
        <v>5.1641500131867977</v>
      </c>
      <c r="F60" s="47">
        <f t="shared" si="10"/>
        <v>0</v>
      </c>
      <c r="G60" s="48">
        <f t="shared" si="11"/>
        <v>66.546079371109045</v>
      </c>
      <c r="H60" s="48">
        <f t="shared" si="5"/>
        <v>20.706490919160807</v>
      </c>
      <c r="I60" s="48">
        <f t="shared" si="6"/>
        <v>12.571021329819917</v>
      </c>
      <c r="J60" s="48">
        <f t="shared" si="7"/>
        <v>15.464731421028722</v>
      </c>
      <c r="K60" s="14"/>
      <c r="L60" s="152">
        <v>508.06900000000002</v>
      </c>
      <c r="M60" s="152">
        <v>174.88874225260395</v>
      </c>
      <c r="N60" s="157">
        <v>0</v>
      </c>
      <c r="O60" s="157">
        <v>0.66546079371109046</v>
      </c>
      <c r="P60" s="157">
        <v>0.20706490919160805</v>
      </c>
      <c r="Q60" s="157">
        <v>0.12571021329819917</v>
      </c>
      <c r="R60" s="157">
        <v>0.15464731421028721</v>
      </c>
    </row>
    <row r="61" spans="1:18" x14ac:dyDescent="0.3">
      <c r="A61" s="12" t="s">
        <v>28</v>
      </c>
      <c r="B61" s="12" t="s">
        <v>48</v>
      </c>
      <c r="C61" s="13" t="str">
        <f t="shared" si="8"/>
        <v>BRL22</v>
      </c>
      <c r="D61" s="49">
        <f t="shared" si="4"/>
        <v>13.150017454186145</v>
      </c>
      <c r="E61" s="49">
        <f t="shared" si="9"/>
        <v>5.1610327692679236</v>
      </c>
      <c r="F61" s="47">
        <f t="shared" si="10"/>
        <v>0</v>
      </c>
      <c r="G61" s="48">
        <f t="shared" si="11"/>
        <v>68.30784794365978</v>
      </c>
      <c r="H61" s="48">
        <f t="shared" si="5"/>
        <v>20.706490919160807</v>
      </c>
      <c r="I61" s="48">
        <f t="shared" si="6"/>
        <v>12.571021329819917</v>
      </c>
      <c r="J61" s="48">
        <f t="shared" si="7"/>
        <v>15.464731421028722</v>
      </c>
      <c r="K61" s="14"/>
      <c r="L61" s="152">
        <v>514.02</v>
      </c>
      <c r="M61" s="152">
        <v>174.34442021738883</v>
      </c>
      <c r="N61" s="157">
        <v>0</v>
      </c>
      <c r="O61" s="157">
        <v>0.68307847943659783</v>
      </c>
      <c r="P61" s="157">
        <v>0.20706490919160805</v>
      </c>
      <c r="Q61" s="157">
        <v>0.12571021329819917</v>
      </c>
      <c r="R61" s="157">
        <v>0.15464731421028721</v>
      </c>
    </row>
    <row r="62" spans="1:18" x14ac:dyDescent="0.3">
      <c r="A62" s="12" t="s">
        <v>28</v>
      </c>
      <c r="B62" s="12" t="s">
        <v>49</v>
      </c>
      <c r="C62" s="13" t="str">
        <f t="shared" si="8"/>
        <v>BRL23</v>
      </c>
      <c r="D62" s="49">
        <f t="shared" si="4"/>
        <v>13.160595140168876</v>
      </c>
      <c r="E62" s="49">
        <f t="shared" si="9"/>
        <v>5.1565035177501368</v>
      </c>
      <c r="F62" s="47">
        <f t="shared" si="10"/>
        <v>0</v>
      </c>
      <c r="G62" s="48">
        <f t="shared" si="11"/>
        <v>70.072533234774369</v>
      </c>
      <c r="H62" s="48">
        <f t="shared" si="5"/>
        <v>20.706490919160807</v>
      </c>
      <c r="I62" s="48">
        <f t="shared" si="6"/>
        <v>12.571021329819917</v>
      </c>
      <c r="J62" s="48">
        <f t="shared" si="7"/>
        <v>15.464731421028722</v>
      </c>
      <c r="K62" s="14"/>
      <c r="L62" s="152">
        <v>519.48599999999999</v>
      </c>
      <c r="M62" s="152">
        <v>173.55655605184654</v>
      </c>
      <c r="N62" s="157">
        <v>0</v>
      </c>
      <c r="O62" s="157">
        <v>0.7007253323477437</v>
      </c>
      <c r="P62" s="157">
        <v>0.20706490919160805</v>
      </c>
      <c r="Q62" s="157">
        <v>0.12571021329819917</v>
      </c>
      <c r="R62" s="157">
        <v>0.15464731421028721</v>
      </c>
    </row>
    <row r="63" spans="1:18" x14ac:dyDescent="0.3">
      <c r="A63" s="12" t="s">
        <v>28</v>
      </c>
      <c r="B63" s="12" t="s">
        <v>50</v>
      </c>
      <c r="C63" s="13" t="str">
        <f t="shared" si="8"/>
        <v>BRL24</v>
      </c>
      <c r="D63" s="49">
        <f t="shared" si="4"/>
        <v>13.170886839345217</v>
      </c>
      <c r="E63" s="49">
        <f t="shared" si="9"/>
        <v>5.1531447458921971</v>
      </c>
      <c r="F63" s="47">
        <f t="shared" si="10"/>
        <v>0</v>
      </c>
      <c r="G63" s="48">
        <f t="shared" si="11"/>
        <v>71.839157108562276</v>
      </c>
      <c r="H63" s="48">
        <f t="shared" si="5"/>
        <v>20.706490919160807</v>
      </c>
      <c r="I63" s="48">
        <f t="shared" si="6"/>
        <v>12.571021329819917</v>
      </c>
      <c r="J63" s="48">
        <f t="shared" si="7"/>
        <v>15.464731421028722</v>
      </c>
      <c r="K63" s="14"/>
      <c r="L63" s="152">
        <v>524.86</v>
      </c>
      <c r="M63" s="152">
        <v>172.97459705647344</v>
      </c>
      <c r="N63" s="157">
        <v>0</v>
      </c>
      <c r="O63" s="157">
        <v>0.71839157108562279</v>
      </c>
      <c r="P63" s="157">
        <v>0.20706490919160805</v>
      </c>
      <c r="Q63" s="157">
        <v>0.12571021329819917</v>
      </c>
      <c r="R63" s="157">
        <v>0.15464731421028721</v>
      </c>
    </row>
    <row r="64" spans="1:18" x14ac:dyDescent="0.3">
      <c r="A64" s="12" t="s">
        <v>28</v>
      </c>
      <c r="B64" s="12" t="s">
        <v>51</v>
      </c>
      <c r="C64" s="13" t="str">
        <f t="shared" si="8"/>
        <v>BRL25</v>
      </c>
      <c r="D64" s="49">
        <f t="shared" si="4"/>
        <v>13.180839811163182</v>
      </c>
      <c r="E64" s="49">
        <f t="shared" si="9"/>
        <v>5.147766683856374</v>
      </c>
      <c r="F64" s="47">
        <f t="shared" si="10"/>
        <v>0</v>
      </c>
      <c r="G64" s="48">
        <f t="shared" si="11"/>
        <v>73.660938295825389</v>
      </c>
      <c r="H64" s="48">
        <f t="shared" si="5"/>
        <v>20.706490919160807</v>
      </c>
      <c r="I64" s="48">
        <f t="shared" si="6"/>
        <v>12.571021329819917</v>
      </c>
      <c r="J64" s="48">
        <f t="shared" si="7"/>
        <v>15.464731421028722</v>
      </c>
      <c r="K64" s="14"/>
      <c r="L64" s="152">
        <v>530.11</v>
      </c>
      <c r="M64" s="152">
        <v>172.04682598427462</v>
      </c>
      <c r="N64" s="157">
        <v>0</v>
      </c>
      <c r="O64" s="157">
        <v>0.73660938295825384</v>
      </c>
      <c r="P64" s="157">
        <v>0.20706490919160805</v>
      </c>
      <c r="Q64" s="157">
        <v>0.12571021329819917</v>
      </c>
      <c r="R64" s="157">
        <v>0.15464731421028721</v>
      </c>
    </row>
    <row r="65" spans="1:18" x14ac:dyDescent="0.3">
      <c r="A65" s="12" t="s">
        <v>29</v>
      </c>
      <c r="B65" s="12" t="s">
        <v>47</v>
      </c>
      <c r="C65" s="13" t="str">
        <f t="shared" si="8"/>
        <v>DVW21</v>
      </c>
      <c r="D65" s="49">
        <f t="shared" si="4"/>
        <v>11.661308222542056</v>
      </c>
      <c r="E65" s="49">
        <f t="shared" si="9"/>
        <v>4.9777355563124965</v>
      </c>
      <c r="F65" s="47">
        <f t="shared" si="10"/>
        <v>0</v>
      </c>
      <c r="G65" s="48">
        <f t="shared" si="11"/>
        <v>65.850973751058433</v>
      </c>
      <c r="H65" s="48">
        <f t="shared" si="5"/>
        <v>23.371157678798358</v>
      </c>
      <c r="I65" s="48">
        <f t="shared" si="6"/>
        <v>13.766662013532363</v>
      </c>
      <c r="J65" s="48">
        <f t="shared" si="7"/>
        <v>8.9395666083231067</v>
      </c>
      <c r="K65" s="14"/>
      <c r="L65" s="152">
        <v>115.99567936507934</v>
      </c>
      <c r="M65" s="152">
        <v>145.14533580188609</v>
      </c>
      <c r="N65" s="157">
        <v>0</v>
      </c>
      <c r="O65" s="157">
        <v>0.65850973751058428</v>
      </c>
      <c r="P65" s="157">
        <v>0.23371157678798357</v>
      </c>
      <c r="Q65" s="157">
        <v>0.13766662013532363</v>
      </c>
      <c r="R65" s="157">
        <v>8.9395666083231073E-2</v>
      </c>
    </row>
    <row r="66" spans="1:18" x14ac:dyDescent="0.3">
      <c r="A66" s="12" t="s">
        <v>29</v>
      </c>
      <c r="B66" s="12" t="s">
        <v>48</v>
      </c>
      <c r="C66" s="13" t="str">
        <f t="shared" si="8"/>
        <v>DVW22</v>
      </c>
      <c r="D66" s="49">
        <f t="shared" si="4"/>
        <v>11.664209209130016</v>
      </c>
      <c r="E66" s="49">
        <f t="shared" si="9"/>
        <v>4.9670221742498795</v>
      </c>
      <c r="F66" s="47">
        <f t="shared" si="10"/>
        <v>0</v>
      </c>
      <c r="G66" s="48">
        <f t="shared" si="11"/>
        <v>67.171589665909281</v>
      </c>
      <c r="H66" s="48">
        <f t="shared" si="5"/>
        <v>23.371157678798358</v>
      </c>
      <c r="I66" s="48">
        <f t="shared" si="6"/>
        <v>13.766662013532363</v>
      </c>
      <c r="J66" s="48">
        <f t="shared" si="7"/>
        <v>8.9395666083231067</v>
      </c>
      <c r="K66" s="14"/>
      <c r="L66" s="152">
        <v>116.33266984126982</v>
      </c>
      <c r="M66" s="152">
        <v>143.59863833895042</v>
      </c>
      <c r="N66" s="157">
        <v>0</v>
      </c>
      <c r="O66" s="157">
        <v>0.67171589665909281</v>
      </c>
      <c r="P66" s="157">
        <v>0.23371157678798357</v>
      </c>
      <c r="Q66" s="157">
        <v>0.13766662013532363</v>
      </c>
      <c r="R66" s="157">
        <v>8.9395666083231073E-2</v>
      </c>
    </row>
    <row r="67" spans="1:18" x14ac:dyDescent="0.3">
      <c r="A67" s="12" t="s">
        <v>29</v>
      </c>
      <c r="B67" s="12" t="s">
        <v>49</v>
      </c>
      <c r="C67" s="13" t="str">
        <f t="shared" si="8"/>
        <v>DVW23</v>
      </c>
      <c r="D67" s="49">
        <f t="shared" si="4"/>
        <v>11.667101804332223</v>
      </c>
      <c r="E67" s="49">
        <f t="shared" si="9"/>
        <v>4.956192771536772</v>
      </c>
      <c r="F67" s="47">
        <f t="shared" si="10"/>
        <v>0</v>
      </c>
      <c r="G67" s="48">
        <f t="shared" si="11"/>
        <v>68.436898887680869</v>
      </c>
      <c r="H67" s="48">
        <f t="shared" si="5"/>
        <v>23.371157678798358</v>
      </c>
      <c r="I67" s="48">
        <f t="shared" si="6"/>
        <v>13.766662013532363</v>
      </c>
      <c r="J67" s="48">
        <f t="shared" si="7"/>
        <v>8.9395666083231067</v>
      </c>
      <c r="K67" s="14"/>
      <c r="L67" s="152">
        <v>116.66966031746028</v>
      </c>
      <c r="M67" s="152">
        <v>142.05194087601478</v>
      </c>
      <c r="N67" s="157">
        <v>0</v>
      </c>
      <c r="O67" s="157">
        <v>0.68436898887680864</v>
      </c>
      <c r="P67" s="157">
        <v>0.23371157678798357</v>
      </c>
      <c r="Q67" s="157">
        <v>0.13766662013532363</v>
      </c>
      <c r="R67" s="157">
        <v>8.9395666083231073E-2</v>
      </c>
    </row>
    <row r="68" spans="1:18" x14ac:dyDescent="0.3">
      <c r="A68" s="12" t="s">
        <v>29</v>
      </c>
      <c r="B68" s="12" t="s">
        <v>50</v>
      </c>
      <c r="C68" s="13" t="str">
        <f t="shared" si="8"/>
        <v>DVW24</v>
      </c>
      <c r="D68" s="49">
        <f t="shared" si="4"/>
        <v>11.669986056554489</v>
      </c>
      <c r="E68" s="49">
        <f t="shared" si="9"/>
        <v>4.9452448077434825</v>
      </c>
      <c r="F68" s="47">
        <f t="shared" si="10"/>
        <v>0</v>
      </c>
      <c r="G68" s="48">
        <f t="shared" si="11"/>
        <v>69.659185369908556</v>
      </c>
      <c r="H68" s="48">
        <f t="shared" si="5"/>
        <v>23.371157678798358</v>
      </c>
      <c r="I68" s="48">
        <f t="shared" si="6"/>
        <v>13.766662013532363</v>
      </c>
      <c r="J68" s="48">
        <f t="shared" si="7"/>
        <v>8.9395666083231067</v>
      </c>
      <c r="K68" s="14"/>
      <c r="L68" s="152">
        <v>117.00665079365076</v>
      </c>
      <c r="M68" s="152">
        <v>140.50524341307911</v>
      </c>
      <c r="N68" s="157">
        <v>0</v>
      </c>
      <c r="O68" s="157">
        <v>0.69659185369908561</v>
      </c>
      <c r="P68" s="157">
        <v>0.23371157678798357</v>
      </c>
      <c r="Q68" s="157">
        <v>0.13766662013532363</v>
      </c>
      <c r="R68" s="157">
        <v>8.9395666083231073E-2</v>
      </c>
    </row>
    <row r="69" spans="1:18" x14ac:dyDescent="0.3">
      <c r="A69" s="12" t="s">
        <v>29</v>
      </c>
      <c r="B69" s="12" t="s">
        <v>51</v>
      </c>
      <c r="C69" s="13" t="str">
        <f t="shared" ref="C69:C88" si="12">A69&amp;RIGHT(B69,2)</f>
        <v>DVW25</v>
      </c>
      <c r="D69" s="49">
        <f t="shared" si="4"/>
        <v>11.672862013784988</v>
      </c>
      <c r="E69" s="49">
        <f t="shared" ref="E69:E88" si="13">LN(M69)</f>
        <v>4.9341756580766027</v>
      </c>
      <c r="F69" s="47">
        <f t="shared" ref="F69:F89" si="14">N69 * 100</f>
        <v>0</v>
      </c>
      <c r="G69" s="48">
        <f t="shared" ref="G69:G89" si="15">O69 * 100</f>
        <v>70.825415186317443</v>
      </c>
      <c r="H69" s="48">
        <f t="shared" si="5"/>
        <v>23.371157678798358</v>
      </c>
      <c r="I69" s="48">
        <f t="shared" si="6"/>
        <v>13.766662013532363</v>
      </c>
      <c r="J69" s="48">
        <f t="shared" si="7"/>
        <v>8.9395666083231067</v>
      </c>
      <c r="K69" s="14"/>
      <c r="L69" s="152">
        <v>117.34364126984123</v>
      </c>
      <c r="M69" s="152">
        <v>138.95854595014345</v>
      </c>
      <c r="N69" s="157">
        <v>0</v>
      </c>
      <c r="O69" s="157">
        <v>0.70825415186317442</v>
      </c>
      <c r="P69" s="157">
        <v>0.23371157678798357</v>
      </c>
      <c r="Q69" s="157">
        <v>0.13766662013532363</v>
      </c>
      <c r="R69" s="157">
        <v>8.9395666083231073E-2</v>
      </c>
    </row>
    <row r="70" spans="1:18" x14ac:dyDescent="0.3">
      <c r="A70" s="12" t="s">
        <v>30</v>
      </c>
      <c r="B70" s="12" t="s">
        <v>47</v>
      </c>
      <c r="C70" s="13" t="str">
        <f t="shared" si="12"/>
        <v>PRT21</v>
      </c>
      <c r="D70" s="49">
        <f t="shared" ref="D70:D88" si="16">LN($L70*1000)</f>
        <v>12.6122608254922</v>
      </c>
      <c r="E70" s="49">
        <f t="shared" si="13"/>
        <v>4.5745520265398056</v>
      </c>
      <c r="F70" s="47">
        <f t="shared" si="14"/>
        <v>0</v>
      </c>
      <c r="G70" s="48">
        <f t="shared" si="15"/>
        <v>35.844738972143482</v>
      </c>
      <c r="H70" s="48">
        <f t="shared" ref="H70:H88" si="17" xml:space="preserve"> P70 * 100</f>
        <v>24.082151112904185</v>
      </c>
      <c r="I70" s="48">
        <f t="shared" ref="I70:I88" si="18" xml:space="preserve"> Q70 * 100</f>
        <v>11.679110627598293</v>
      </c>
      <c r="J70" s="48">
        <f t="shared" ref="J70:J88" si="19" xml:space="preserve"> R70 * 100</f>
        <v>14.16811040627975</v>
      </c>
      <c r="K70" s="14"/>
      <c r="L70" s="152">
        <v>300.21699999999998</v>
      </c>
      <c r="M70" s="152">
        <v>96.984582884855797</v>
      </c>
      <c r="N70" s="157">
        <v>0</v>
      </c>
      <c r="O70" s="157">
        <v>0.35844738972143481</v>
      </c>
      <c r="P70" s="157">
        <v>0.24082151112904185</v>
      </c>
      <c r="Q70" s="157">
        <v>0.11679110627598294</v>
      </c>
      <c r="R70" s="157">
        <v>0.14168110406279749</v>
      </c>
    </row>
    <row r="71" spans="1:18" x14ac:dyDescent="0.3">
      <c r="A71" s="12" t="s">
        <v>30</v>
      </c>
      <c r="B71" s="12" t="s">
        <v>48</v>
      </c>
      <c r="C71" s="13" t="str">
        <f t="shared" si="12"/>
        <v>PRT22</v>
      </c>
      <c r="D71" s="49">
        <f t="shared" si="16"/>
        <v>12.618437230745892</v>
      </c>
      <c r="E71" s="49">
        <f t="shared" si="13"/>
        <v>4.5737700893387263</v>
      </c>
      <c r="F71" s="47">
        <f t="shared" si="14"/>
        <v>0</v>
      </c>
      <c r="G71" s="48">
        <f t="shared" si="15"/>
        <v>37.894973798071355</v>
      </c>
      <c r="H71" s="48">
        <f t="shared" si="17"/>
        <v>24.082151112904185</v>
      </c>
      <c r="I71" s="48">
        <f t="shared" si="18"/>
        <v>11.679110627598293</v>
      </c>
      <c r="J71" s="48">
        <f t="shared" si="19"/>
        <v>14.16811040627975</v>
      </c>
      <c r="K71" s="14"/>
      <c r="L71" s="152">
        <v>302.077</v>
      </c>
      <c r="M71" s="152">
        <v>96.908776673277941</v>
      </c>
      <c r="N71" s="157">
        <v>0</v>
      </c>
      <c r="O71" s="157">
        <v>0.37894973798071357</v>
      </c>
      <c r="P71" s="157">
        <v>0.24082151112904185</v>
      </c>
      <c r="Q71" s="157">
        <v>0.11679110627598294</v>
      </c>
      <c r="R71" s="157">
        <v>0.14168110406279749</v>
      </c>
    </row>
    <row r="72" spans="1:18" x14ac:dyDescent="0.3">
      <c r="A72" s="12" t="s">
        <v>30</v>
      </c>
      <c r="B72" s="12" t="s">
        <v>49</v>
      </c>
      <c r="C72" s="13" t="str">
        <f t="shared" si="12"/>
        <v>PRT23</v>
      </c>
      <c r="D72" s="49">
        <f t="shared" si="16"/>
        <v>12.624618493176868</v>
      </c>
      <c r="E72" s="49">
        <f t="shared" si="13"/>
        <v>4.5742351466644173</v>
      </c>
      <c r="F72" s="47">
        <f t="shared" si="14"/>
        <v>0</v>
      </c>
      <c r="G72" s="48">
        <f t="shared" si="15"/>
        <v>39.922684652080939</v>
      </c>
      <c r="H72" s="48">
        <f t="shared" si="17"/>
        <v>24.082151112904185</v>
      </c>
      <c r="I72" s="48">
        <f t="shared" si="18"/>
        <v>11.679110627598293</v>
      </c>
      <c r="J72" s="48">
        <f t="shared" si="19"/>
        <v>14.16811040627975</v>
      </c>
      <c r="K72" s="14"/>
      <c r="L72" s="152">
        <v>303.95</v>
      </c>
      <c r="M72" s="152">
        <v>96.953855291051823</v>
      </c>
      <c r="N72" s="157">
        <v>0</v>
      </c>
      <c r="O72" s="157">
        <v>0.39922684652080936</v>
      </c>
      <c r="P72" s="157">
        <v>0.24082151112904185</v>
      </c>
      <c r="Q72" s="157">
        <v>0.11679110627598294</v>
      </c>
      <c r="R72" s="157">
        <v>0.14168110406279749</v>
      </c>
    </row>
    <row r="73" spans="1:18" x14ac:dyDescent="0.3">
      <c r="A73" s="12" t="s">
        <v>30</v>
      </c>
      <c r="B73" s="12" t="s">
        <v>50</v>
      </c>
      <c r="C73" s="13" t="str">
        <f t="shared" si="12"/>
        <v>PRT24</v>
      </c>
      <c r="D73" s="49">
        <f t="shared" si="16"/>
        <v>12.630882759902114</v>
      </c>
      <c r="E73" s="49">
        <f t="shared" si="13"/>
        <v>4.5752475809760806</v>
      </c>
      <c r="F73" s="47">
        <f t="shared" si="14"/>
        <v>0</v>
      </c>
      <c r="G73" s="48">
        <f t="shared" si="15"/>
        <v>41.932583534950631</v>
      </c>
      <c r="H73" s="48">
        <f t="shared" si="17"/>
        <v>24.082151112904185</v>
      </c>
      <c r="I73" s="48">
        <f t="shared" si="18"/>
        <v>11.679110627598293</v>
      </c>
      <c r="J73" s="48">
        <f t="shared" si="19"/>
        <v>14.16811040627975</v>
      </c>
      <c r="K73" s="14"/>
      <c r="L73" s="152">
        <v>305.86</v>
      </c>
      <c r="M73" s="152">
        <v>97.052064407547306</v>
      </c>
      <c r="N73" s="157">
        <v>0</v>
      </c>
      <c r="O73" s="157">
        <v>0.41932583534950629</v>
      </c>
      <c r="P73" s="157">
        <v>0.24082151112904185</v>
      </c>
      <c r="Q73" s="157">
        <v>0.11679110627598294</v>
      </c>
      <c r="R73" s="157">
        <v>0.14168110406279749</v>
      </c>
    </row>
    <row r="74" spans="1:18" x14ac:dyDescent="0.3">
      <c r="A74" s="12" t="s">
        <v>30</v>
      </c>
      <c r="B74" s="12" t="s">
        <v>51</v>
      </c>
      <c r="C74" s="13" t="str">
        <f t="shared" si="12"/>
        <v>PRT25</v>
      </c>
      <c r="D74" s="49">
        <f t="shared" si="16"/>
        <v>12.637315955625043</v>
      </c>
      <c r="E74" s="49">
        <f t="shared" si="13"/>
        <v>4.5781422918398675</v>
      </c>
      <c r="F74" s="47">
        <f t="shared" si="14"/>
        <v>0</v>
      </c>
      <c r="G74" s="48">
        <f t="shared" si="15"/>
        <v>43.929195605423708</v>
      </c>
      <c r="H74" s="48">
        <f t="shared" si="17"/>
        <v>24.082151112904185</v>
      </c>
      <c r="I74" s="48">
        <f t="shared" si="18"/>
        <v>11.679110627598293</v>
      </c>
      <c r="J74" s="48">
        <f t="shared" si="19"/>
        <v>14.16811040627975</v>
      </c>
      <c r="K74" s="14"/>
      <c r="L74" s="152">
        <v>307.834</v>
      </c>
      <c r="M74" s="152">
        <v>97.333409082026535</v>
      </c>
      <c r="N74" s="157">
        <v>0</v>
      </c>
      <c r="O74" s="157">
        <v>0.4392919560542371</v>
      </c>
      <c r="P74" s="157">
        <v>0.24082151112904185</v>
      </c>
      <c r="Q74" s="157">
        <v>0.11679110627598294</v>
      </c>
      <c r="R74" s="157">
        <v>0.14168110406279749</v>
      </c>
    </row>
    <row r="75" spans="1:18" x14ac:dyDescent="0.3">
      <c r="A75" s="12" t="s">
        <v>31</v>
      </c>
      <c r="B75" s="12" t="s">
        <v>47</v>
      </c>
      <c r="C75" s="13" t="str">
        <f t="shared" si="12"/>
        <v>SES21</v>
      </c>
      <c r="D75" s="49">
        <f t="shared" si="16"/>
        <v>12.530479530503477</v>
      </c>
      <c r="E75" s="49">
        <f t="shared" si="13"/>
        <v>5.2030725585645401</v>
      </c>
      <c r="F75" s="47">
        <f t="shared" si="14"/>
        <v>0</v>
      </c>
      <c r="G75" s="48">
        <f t="shared" si="15"/>
        <v>64.539368570209874</v>
      </c>
      <c r="H75" s="48">
        <f t="shared" si="17"/>
        <v>20.658446407276546</v>
      </c>
      <c r="I75" s="48">
        <f t="shared" si="18"/>
        <v>9.6049670022011391</v>
      </c>
      <c r="J75" s="48">
        <f t="shared" si="19"/>
        <v>13.932395013343676</v>
      </c>
      <c r="K75" s="14"/>
      <c r="L75" s="152">
        <v>276.642</v>
      </c>
      <c r="M75" s="152">
        <v>181.83006799229318</v>
      </c>
      <c r="N75" s="157">
        <v>0</v>
      </c>
      <c r="O75" s="157">
        <v>0.64539368570209876</v>
      </c>
      <c r="P75" s="157">
        <v>0.20658446407276546</v>
      </c>
      <c r="Q75" s="157">
        <v>9.6049670022011396E-2</v>
      </c>
      <c r="R75" s="157">
        <v>0.13932395013343676</v>
      </c>
    </row>
    <row r="76" spans="1:18" x14ac:dyDescent="0.3">
      <c r="A76" s="12" t="s">
        <v>31</v>
      </c>
      <c r="B76" s="12" t="s">
        <v>48</v>
      </c>
      <c r="C76" s="13" t="str">
        <f t="shared" si="12"/>
        <v>SES22</v>
      </c>
      <c r="D76" s="49">
        <f t="shared" si="16"/>
        <v>12.539293172497855</v>
      </c>
      <c r="E76" s="49">
        <f t="shared" si="13"/>
        <v>5.204863590355127</v>
      </c>
      <c r="F76" s="47">
        <f t="shared" si="14"/>
        <v>0</v>
      </c>
      <c r="G76" s="48">
        <f t="shared" si="15"/>
        <v>70.855384086194107</v>
      </c>
      <c r="H76" s="48">
        <f t="shared" si="17"/>
        <v>20.658446407276546</v>
      </c>
      <c r="I76" s="48">
        <f t="shared" si="18"/>
        <v>9.6049670022011391</v>
      </c>
      <c r="J76" s="48">
        <f t="shared" si="19"/>
        <v>13.932395013343676</v>
      </c>
      <c r="K76" s="14"/>
      <c r="L76" s="152">
        <v>279.09100000000001</v>
      </c>
      <c r="M76" s="152">
        <v>182.15602323552019</v>
      </c>
      <c r="N76" s="157">
        <v>0</v>
      </c>
      <c r="O76" s="157">
        <v>0.70855384086194106</v>
      </c>
      <c r="P76" s="157">
        <v>0.20658446407276546</v>
      </c>
      <c r="Q76" s="157">
        <v>9.6049670022011396E-2</v>
      </c>
      <c r="R76" s="157">
        <v>0.13932395013343676</v>
      </c>
    </row>
    <row r="77" spans="1:18" x14ac:dyDescent="0.3">
      <c r="A77" s="12" t="s">
        <v>31</v>
      </c>
      <c r="B77" s="12" t="s">
        <v>49</v>
      </c>
      <c r="C77" s="13" t="str">
        <f t="shared" si="12"/>
        <v>SES23</v>
      </c>
      <c r="D77" s="49">
        <f t="shared" si="16"/>
        <v>12.548352982434363</v>
      </c>
      <c r="E77" s="49">
        <f t="shared" si="13"/>
        <v>5.2030476218442807</v>
      </c>
      <c r="F77" s="47">
        <f t="shared" si="14"/>
        <v>0</v>
      </c>
      <c r="G77" s="48">
        <f t="shared" si="15"/>
        <v>76.940393635643815</v>
      </c>
      <c r="H77" s="48">
        <f t="shared" si="17"/>
        <v>20.658446407276546</v>
      </c>
      <c r="I77" s="48">
        <f t="shared" si="18"/>
        <v>9.6049670022011391</v>
      </c>
      <c r="J77" s="48">
        <f t="shared" si="19"/>
        <v>13.932395013343676</v>
      </c>
      <c r="K77" s="14"/>
      <c r="L77" s="152">
        <v>281.63099999999997</v>
      </c>
      <c r="M77" s="152">
        <v>181.82553380328704</v>
      </c>
      <c r="N77" s="157">
        <v>0</v>
      </c>
      <c r="O77" s="157">
        <v>0.76940393635643811</v>
      </c>
      <c r="P77" s="157">
        <v>0.20658446407276546</v>
      </c>
      <c r="Q77" s="157">
        <v>9.6049670022011396E-2</v>
      </c>
      <c r="R77" s="157">
        <v>0.13932395013343676</v>
      </c>
    </row>
    <row r="78" spans="1:18" x14ac:dyDescent="0.3">
      <c r="A78" s="12" t="s">
        <v>31</v>
      </c>
      <c r="B78" s="12" t="s">
        <v>50</v>
      </c>
      <c r="C78" s="13" t="str">
        <f t="shared" si="12"/>
        <v>SES24</v>
      </c>
      <c r="D78" s="49">
        <f t="shared" si="16"/>
        <v>12.557612929636498</v>
      </c>
      <c r="E78" s="49">
        <f t="shared" si="13"/>
        <v>5.2015016968295686</v>
      </c>
      <c r="F78" s="47">
        <f t="shared" si="14"/>
        <v>0</v>
      </c>
      <c r="G78" s="48">
        <f t="shared" si="15"/>
        <v>82.8011159151595</v>
      </c>
      <c r="H78" s="48">
        <f t="shared" si="17"/>
        <v>20.658446407276546</v>
      </c>
      <c r="I78" s="48">
        <f t="shared" si="18"/>
        <v>9.6049670022011391</v>
      </c>
      <c r="J78" s="48">
        <f t="shared" si="19"/>
        <v>13.932395013343676</v>
      </c>
      <c r="K78" s="14"/>
      <c r="L78" s="152">
        <v>284.25099999999998</v>
      </c>
      <c r="M78" s="152">
        <v>181.54466232132961</v>
      </c>
      <c r="N78" s="157">
        <v>0</v>
      </c>
      <c r="O78" s="157">
        <v>0.82801115915159496</v>
      </c>
      <c r="P78" s="157">
        <v>0.20658446407276546</v>
      </c>
      <c r="Q78" s="157">
        <v>9.6049670022011396E-2</v>
      </c>
      <c r="R78" s="157">
        <v>0.13932395013343676</v>
      </c>
    </row>
    <row r="79" spans="1:18" x14ac:dyDescent="0.3">
      <c r="A79" s="12" t="s">
        <v>31</v>
      </c>
      <c r="B79" s="12" t="s">
        <v>51</v>
      </c>
      <c r="C79" s="13" t="str">
        <f t="shared" si="12"/>
        <v>SES25</v>
      </c>
      <c r="D79" s="49">
        <f t="shared" si="16"/>
        <v>12.56675654286601</v>
      </c>
      <c r="E79" s="49">
        <f t="shared" si="13"/>
        <v>5.1943247232887488</v>
      </c>
      <c r="F79" s="47">
        <f t="shared" si="14"/>
        <v>0</v>
      </c>
      <c r="G79" s="48">
        <f t="shared" si="15"/>
        <v>88.442526371565407</v>
      </c>
      <c r="H79" s="48">
        <f t="shared" si="17"/>
        <v>20.658446407276546</v>
      </c>
      <c r="I79" s="48">
        <f t="shared" si="18"/>
        <v>9.6049670022011391</v>
      </c>
      <c r="J79" s="48">
        <f t="shared" si="19"/>
        <v>13.932395013343676</v>
      </c>
      <c r="K79" s="14"/>
      <c r="L79" s="152">
        <v>286.86200000000002</v>
      </c>
      <c r="M79" s="152">
        <v>180.24638550528579</v>
      </c>
      <c r="N79" s="157">
        <v>0</v>
      </c>
      <c r="O79" s="157">
        <v>0.88442526371565411</v>
      </c>
      <c r="P79" s="157">
        <v>0.20658446407276546</v>
      </c>
      <c r="Q79" s="157">
        <v>9.6049670022011396E-2</v>
      </c>
      <c r="R79" s="157">
        <v>0.13932395013343676</v>
      </c>
    </row>
    <row r="80" spans="1:18" x14ac:dyDescent="0.3">
      <c r="A80" s="12" t="s">
        <v>32</v>
      </c>
      <c r="B80" s="12" t="s">
        <v>47</v>
      </c>
      <c r="C80" s="13" t="str">
        <f t="shared" si="12"/>
        <v>SEW21</v>
      </c>
      <c r="D80" s="49">
        <f t="shared" si="16"/>
        <v>13.686601608227456</v>
      </c>
      <c r="E80" s="49">
        <f t="shared" si="13"/>
        <v>5.3169171013720016</v>
      </c>
      <c r="F80" s="47">
        <f t="shared" si="14"/>
        <v>0</v>
      </c>
      <c r="G80" s="48">
        <f t="shared" si="15"/>
        <v>87.196804746921117</v>
      </c>
      <c r="H80" s="48">
        <f t="shared" si="17"/>
        <v>18.861725621891694</v>
      </c>
      <c r="I80" s="48">
        <f t="shared" si="18"/>
        <v>9.5245210625497059</v>
      </c>
      <c r="J80" s="48">
        <f t="shared" si="19"/>
        <v>12.556891767958128</v>
      </c>
      <c r="K80" s="14"/>
      <c r="L80" s="152">
        <v>879.05399999999997</v>
      </c>
      <c r="M80" s="152">
        <v>203.7547574654387</v>
      </c>
      <c r="N80" s="157">
        <v>0</v>
      </c>
      <c r="O80" s="157">
        <v>0.87196804746921119</v>
      </c>
      <c r="P80" s="157">
        <v>0.18861725621891692</v>
      </c>
      <c r="Q80" s="157">
        <v>9.5245210625497054E-2</v>
      </c>
      <c r="R80" s="157">
        <v>0.12556891767958128</v>
      </c>
    </row>
    <row r="81" spans="1:18" x14ac:dyDescent="0.3">
      <c r="A81" s="12" t="s">
        <v>32</v>
      </c>
      <c r="B81" s="12" t="s">
        <v>48</v>
      </c>
      <c r="C81" s="13" t="str">
        <f t="shared" si="12"/>
        <v>SEW22</v>
      </c>
      <c r="D81" s="49">
        <f t="shared" si="16"/>
        <v>13.696322660952129</v>
      </c>
      <c r="E81" s="49">
        <f t="shared" si="13"/>
        <v>5.3169171013719998</v>
      </c>
      <c r="F81" s="47">
        <f t="shared" si="14"/>
        <v>0</v>
      </c>
      <c r="G81" s="48">
        <f t="shared" si="15"/>
        <v>87.364711634545941</v>
      </c>
      <c r="H81" s="48">
        <f t="shared" si="17"/>
        <v>18.861725621891694</v>
      </c>
      <c r="I81" s="48">
        <f t="shared" si="18"/>
        <v>9.5245210625497059</v>
      </c>
      <c r="J81" s="48">
        <f t="shared" si="19"/>
        <v>12.556891767958128</v>
      </c>
      <c r="K81" s="14"/>
      <c r="L81" s="152">
        <v>887.64100000000008</v>
      </c>
      <c r="M81" s="152">
        <v>203.75475746543827</v>
      </c>
      <c r="N81" s="157">
        <v>0</v>
      </c>
      <c r="O81" s="157">
        <v>0.87364711634545944</v>
      </c>
      <c r="P81" s="157">
        <v>0.18861725621891692</v>
      </c>
      <c r="Q81" s="157">
        <v>9.5245210625497054E-2</v>
      </c>
      <c r="R81" s="157">
        <v>0.12556891767958128</v>
      </c>
    </row>
    <row r="82" spans="1:18" x14ac:dyDescent="0.3">
      <c r="A82" s="12" t="s">
        <v>32</v>
      </c>
      <c r="B82" s="12" t="s">
        <v>49</v>
      </c>
      <c r="C82" s="13" t="str">
        <f t="shared" si="12"/>
        <v>SEW23</v>
      </c>
      <c r="D82" s="49">
        <f t="shared" si="16"/>
        <v>13.706094050101925</v>
      </c>
      <c r="E82" s="49">
        <f t="shared" si="13"/>
        <v>5.3169171013720025</v>
      </c>
      <c r="F82" s="47">
        <f t="shared" si="14"/>
        <v>0</v>
      </c>
      <c r="G82" s="48">
        <f t="shared" si="15"/>
        <v>87.520262573952124</v>
      </c>
      <c r="H82" s="48">
        <f t="shared" si="17"/>
        <v>18.861725621891694</v>
      </c>
      <c r="I82" s="48">
        <f t="shared" si="18"/>
        <v>9.5245210625497059</v>
      </c>
      <c r="J82" s="48">
        <f t="shared" si="19"/>
        <v>12.556891767958128</v>
      </c>
      <c r="K82" s="14"/>
      <c r="L82" s="152">
        <v>896.35699999999997</v>
      </c>
      <c r="M82" s="152">
        <v>203.7547574654389</v>
      </c>
      <c r="N82" s="157">
        <v>0</v>
      </c>
      <c r="O82" s="157">
        <v>0.87520262573952123</v>
      </c>
      <c r="P82" s="157">
        <v>0.18861725621891692</v>
      </c>
      <c r="Q82" s="157">
        <v>9.5245210625497054E-2</v>
      </c>
      <c r="R82" s="157">
        <v>0.12556891767958128</v>
      </c>
    </row>
    <row r="83" spans="1:18" x14ac:dyDescent="0.3">
      <c r="A83" s="12" t="s">
        <v>32</v>
      </c>
      <c r="B83" s="12" t="s">
        <v>50</v>
      </c>
      <c r="C83" s="13" t="str">
        <f t="shared" si="12"/>
        <v>SEW24</v>
      </c>
      <c r="D83" s="49">
        <f t="shared" si="16"/>
        <v>13.715913402195552</v>
      </c>
      <c r="E83" s="49">
        <f t="shared" si="13"/>
        <v>5.3169171013719971</v>
      </c>
      <c r="F83" s="47">
        <f t="shared" si="14"/>
        <v>0</v>
      </c>
      <c r="G83" s="48">
        <f t="shared" si="15"/>
        <v>87.663858453693209</v>
      </c>
      <c r="H83" s="48">
        <f t="shared" si="17"/>
        <v>18.861725621891694</v>
      </c>
      <c r="I83" s="48">
        <f t="shared" si="18"/>
        <v>9.5245210625497059</v>
      </c>
      <c r="J83" s="48">
        <f t="shared" si="19"/>
        <v>12.556891767958128</v>
      </c>
      <c r="K83" s="14"/>
      <c r="L83" s="152">
        <v>905.202</v>
      </c>
      <c r="M83" s="152">
        <v>203.75475746543779</v>
      </c>
      <c r="N83" s="157">
        <v>0</v>
      </c>
      <c r="O83" s="157">
        <v>0.87663858453693211</v>
      </c>
      <c r="P83" s="157">
        <v>0.18861725621891692</v>
      </c>
      <c r="Q83" s="157">
        <v>9.5245210625497054E-2</v>
      </c>
      <c r="R83" s="157">
        <v>0.12556891767958128</v>
      </c>
    </row>
    <row r="84" spans="1:18" x14ac:dyDescent="0.3">
      <c r="A84" s="12" t="s">
        <v>32</v>
      </c>
      <c r="B84" s="12" t="s">
        <v>51</v>
      </c>
      <c r="C84" s="13" t="str">
        <f t="shared" si="12"/>
        <v>SEW25</v>
      </c>
      <c r="D84" s="49">
        <f t="shared" si="16"/>
        <v>13.725784955340067</v>
      </c>
      <c r="E84" s="49">
        <f t="shared" si="13"/>
        <v>5.3157957399722937</v>
      </c>
      <c r="F84" s="47">
        <f t="shared" si="14"/>
        <v>0</v>
      </c>
      <c r="G84" s="48">
        <f t="shared" si="15"/>
        <v>87.795646818685995</v>
      </c>
      <c r="H84" s="48">
        <f t="shared" si="17"/>
        <v>18.861725621891694</v>
      </c>
      <c r="I84" s="48">
        <f t="shared" si="18"/>
        <v>9.5245210625497059</v>
      </c>
      <c r="J84" s="48">
        <f t="shared" si="19"/>
        <v>12.556891767958128</v>
      </c>
      <c r="K84" s="14"/>
      <c r="L84" s="152">
        <v>914.18200000000002</v>
      </c>
      <c r="M84" s="152">
        <v>203.52640280339062</v>
      </c>
      <c r="N84" s="157">
        <v>0</v>
      </c>
      <c r="O84" s="157">
        <v>0.87795646818685991</v>
      </c>
      <c r="P84" s="157">
        <v>0.18861725621891692</v>
      </c>
      <c r="Q84" s="157">
        <v>9.5245210625497054E-2</v>
      </c>
      <c r="R84" s="157">
        <v>0.12556891767958128</v>
      </c>
    </row>
    <row r="85" spans="1:18" x14ac:dyDescent="0.3">
      <c r="A85" s="12" t="s">
        <v>33</v>
      </c>
      <c r="B85" s="12" t="s">
        <v>47</v>
      </c>
      <c r="C85" s="13" t="str">
        <f t="shared" si="12"/>
        <v>SSC21</v>
      </c>
      <c r="D85" s="49">
        <f t="shared" si="16"/>
        <v>13.455636129467505</v>
      </c>
      <c r="E85" s="49">
        <f t="shared" si="13"/>
        <v>4.9278112082381957</v>
      </c>
      <c r="F85" s="47">
        <f t="shared" si="14"/>
        <v>0</v>
      </c>
      <c r="G85" s="48">
        <f t="shared" si="15"/>
        <v>48.605351952939856</v>
      </c>
      <c r="H85" s="48">
        <f t="shared" si="17"/>
        <v>25.568270217666981</v>
      </c>
      <c r="I85" s="48">
        <f t="shared" si="18"/>
        <v>16.122295495286338</v>
      </c>
      <c r="J85" s="48">
        <f t="shared" si="19"/>
        <v>11.361359182802492</v>
      </c>
      <c r="K85" s="14"/>
      <c r="L85" s="152">
        <v>697.763939836845</v>
      </c>
      <c r="M85" s="152">
        <v>138.07695963657014</v>
      </c>
      <c r="N85" s="157">
        <v>0</v>
      </c>
      <c r="O85" s="157">
        <v>0.48605351952939857</v>
      </c>
      <c r="P85" s="157">
        <v>0.25568270217666983</v>
      </c>
      <c r="Q85" s="157">
        <v>0.16122295495286337</v>
      </c>
      <c r="R85" s="157">
        <v>0.11361359182802491</v>
      </c>
    </row>
    <row r="86" spans="1:18" x14ac:dyDescent="0.3">
      <c r="A86" s="12" t="s">
        <v>33</v>
      </c>
      <c r="B86" s="12" t="s">
        <v>48</v>
      </c>
      <c r="C86" s="13" t="str">
        <f t="shared" si="12"/>
        <v>SSC22</v>
      </c>
      <c r="D86" s="49">
        <f t="shared" si="16"/>
        <v>13.468009956446773</v>
      </c>
      <c r="E86" s="49">
        <f t="shared" si="13"/>
        <v>4.9077911185628951</v>
      </c>
      <c r="F86" s="47">
        <f t="shared" si="14"/>
        <v>0</v>
      </c>
      <c r="G86" s="48">
        <f t="shared" si="15"/>
        <v>50.568152194237548</v>
      </c>
      <c r="H86" s="48">
        <f t="shared" si="17"/>
        <v>25.568270217666981</v>
      </c>
      <c r="I86" s="48">
        <f t="shared" si="18"/>
        <v>16.122295495286338</v>
      </c>
      <c r="J86" s="48">
        <f t="shared" si="19"/>
        <v>11.361359182802492</v>
      </c>
      <c r="K86" s="14"/>
      <c r="L86" s="152">
        <v>706.45158898644104</v>
      </c>
      <c r="M86" s="152">
        <v>135.34013368334413</v>
      </c>
      <c r="N86" s="157">
        <v>0</v>
      </c>
      <c r="O86" s="157">
        <v>0.50568152194237548</v>
      </c>
      <c r="P86" s="157">
        <v>0.25568270217666983</v>
      </c>
      <c r="Q86" s="157">
        <v>0.16122295495286337</v>
      </c>
      <c r="R86" s="157">
        <v>0.11361359182802491</v>
      </c>
    </row>
    <row r="87" spans="1:18" x14ac:dyDescent="0.3">
      <c r="A87" s="12" t="s">
        <v>33</v>
      </c>
      <c r="B87" s="12" t="s">
        <v>49</v>
      </c>
      <c r="C87" s="13" t="str">
        <f t="shared" si="12"/>
        <v>SSC23</v>
      </c>
      <c r="D87" s="49">
        <f t="shared" si="16"/>
        <v>13.479720561934183</v>
      </c>
      <c r="E87" s="49">
        <f t="shared" si="13"/>
        <v>4.8880727756366511</v>
      </c>
      <c r="F87" s="47">
        <f t="shared" si="14"/>
        <v>0</v>
      </c>
      <c r="G87" s="48">
        <f t="shared" si="15"/>
        <v>52.451960942545959</v>
      </c>
      <c r="H87" s="48">
        <f t="shared" si="17"/>
        <v>25.568270217666981</v>
      </c>
      <c r="I87" s="48">
        <f t="shared" si="18"/>
        <v>16.122295495286338</v>
      </c>
      <c r="J87" s="48">
        <f t="shared" si="19"/>
        <v>11.361359182802492</v>
      </c>
      <c r="K87" s="14"/>
      <c r="L87" s="152">
        <v>714.77319526440601</v>
      </c>
      <c r="M87" s="152">
        <v>132.69758943330436</v>
      </c>
      <c r="N87" s="157">
        <v>0</v>
      </c>
      <c r="O87" s="157">
        <v>0.52451960942545961</v>
      </c>
      <c r="P87" s="157">
        <v>0.25568270217666983</v>
      </c>
      <c r="Q87" s="157">
        <v>0.16122295495286337</v>
      </c>
      <c r="R87" s="157">
        <v>0.11361359182802491</v>
      </c>
    </row>
    <row r="88" spans="1:18" x14ac:dyDescent="0.3">
      <c r="A88" s="12" t="s">
        <v>33</v>
      </c>
      <c r="B88" s="12" t="s">
        <v>50</v>
      </c>
      <c r="C88" s="13" t="str">
        <f t="shared" si="12"/>
        <v>SSC24</v>
      </c>
      <c r="D88" s="49">
        <f t="shared" si="16"/>
        <v>13.491995533473828</v>
      </c>
      <c r="E88" s="49">
        <f t="shared" si="13"/>
        <v>4.8682426013513851</v>
      </c>
      <c r="F88" s="47">
        <f t="shared" si="14"/>
        <v>0</v>
      </c>
      <c r="G88" s="48">
        <f t="shared" si="15"/>
        <v>54.317679701042387</v>
      </c>
      <c r="H88" s="48">
        <f t="shared" si="17"/>
        <v>25.568270217666981</v>
      </c>
      <c r="I88" s="48">
        <f t="shared" si="18"/>
        <v>16.122295495286338</v>
      </c>
      <c r="J88" s="48">
        <f t="shared" si="19"/>
        <v>11.361359182802492</v>
      </c>
      <c r="K88" s="14"/>
      <c r="L88" s="152">
        <v>723.6010861031059</v>
      </c>
      <c r="M88" s="152">
        <v>130.09209222019996</v>
      </c>
      <c r="N88" s="157">
        <v>0</v>
      </c>
      <c r="O88" s="157">
        <v>0.54317679701042387</v>
      </c>
      <c r="P88" s="157">
        <v>0.25568270217666983</v>
      </c>
      <c r="Q88" s="157">
        <v>0.16122295495286337</v>
      </c>
      <c r="R88" s="157">
        <v>0.11361359182802491</v>
      </c>
    </row>
    <row r="89" spans="1:18" x14ac:dyDescent="0.3">
      <c r="A89" s="12" t="s">
        <v>33</v>
      </c>
      <c r="B89" s="12" t="s">
        <v>51</v>
      </c>
      <c r="C89" s="13" t="str">
        <f>A89&amp;RIGHT(B89,2)</f>
        <v>SSC25</v>
      </c>
      <c r="D89" s="49">
        <f>LN($L89*1000)</f>
        <v>13.503878995280461</v>
      </c>
      <c r="E89" s="49">
        <f>LN(M89)</f>
        <v>4.8485491745319154</v>
      </c>
      <c r="F89" s="47">
        <f t="shared" si="14"/>
        <v>0</v>
      </c>
      <c r="G89" s="48">
        <f t="shared" si="15"/>
        <v>56.121304304966039</v>
      </c>
      <c r="H89" s="48">
        <f xml:space="preserve"> P89 * 100</f>
        <v>25.568270217666981</v>
      </c>
      <c r="I89" s="48">
        <f xml:space="preserve"> Q89 * 100</f>
        <v>16.122295495286338</v>
      </c>
      <c r="J89" s="48">
        <f xml:space="preserve"> R89 * 100</f>
        <v>11.361359182802492</v>
      </c>
      <c r="K89" s="14"/>
      <c r="L89" s="152">
        <v>732.25126722597599</v>
      </c>
      <c r="M89" s="152">
        <v>127.55519521016893</v>
      </c>
      <c r="N89" s="157">
        <v>0</v>
      </c>
      <c r="O89" s="157">
        <v>0.56121304304966035</v>
      </c>
      <c r="P89" s="157">
        <v>0.25568270217666983</v>
      </c>
      <c r="Q89" s="157">
        <v>0.16122295495286337</v>
      </c>
      <c r="R89" s="157">
        <v>0.11361359182802491</v>
      </c>
    </row>
    <row r="90" spans="1:18" x14ac:dyDescent="0.3">
      <c r="A90" s="14"/>
      <c r="B90" s="14"/>
      <c r="C90" s="14"/>
      <c r="D90" s="66"/>
      <c r="E90" s="66"/>
      <c r="F90" s="64"/>
      <c r="G90" s="65"/>
      <c r="H90" s="65"/>
      <c r="I90" s="65"/>
      <c r="J90" s="65"/>
      <c r="K90" s="14"/>
      <c r="L90" s="67"/>
      <c r="M90" s="67"/>
      <c r="N90" s="68"/>
      <c r="O90" s="68"/>
      <c r="P90" s="68"/>
      <c r="Q90" s="68"/>
      <c r="R90" s="68"/>
    </row>
    <row r="91" spans="1:18" x14ac:dyDescent="0.3">
      <c r="C91" s="14"/>
      <c r="D91" s="66"/>
      <c r="E91" s="66"/>
      <c r="F91" s="64"/>
      <c r="G91" s="65"/>
      <c r="H91" s="65"/>
      <c r="I91" s="65"/>
      <c r="J91" s="65"/>
      <c r="K91" s="14"/>
    </row>
    <row r="92" spans="1:18" x14ac:dyDescent="0.3">
      <c r="A92" s="14"/>
      <c r="B92" s="14"/>
      <c r="C92" s="14"/>
      <c r="D92" s="66"/>
      <c r="E92" s="66"/>
      <c r="F92" s="64"/>
      <c r="G92" s="65"/>
      <c r="H92" s="65"/>
      <c r="I92" s="65"/>
      <c r="J92" s="65"/>
      <c r="K92" s="14"/>
      <c r="L92" s="67"/>
      <c r="M92" s="67"/>
      <c r="N92" s="68"/>
      <c r="O92" s="68"/>
      <c r="P92" s="68"/>
      <c r="Q92" s="68"/>
      <c r="R92" s="68"/>
    </row>
    <row r="93" spans="1:18" x14ac:dyDescent="0.3">
      <c r="L93" s="33"/>
      <c r="M93" s="33"/>
      <c r="N93" s="33"/>
      <c r="O93" s="33"/>
      <c r="P93" s="33"/>
      <c r="Q93" s="33"/>
      <c r="R93" s="33"/>
    </row>
    <row r="94" spans="1:18" hidden="1" x14ac:dyDescent="0.3"/>
    <row r="95" spans="1:18" hidden="1" x14ac:dyDescent="0.3"/>
    <row r="96" spans="1:18"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sheetData>
  <conditionalFormatting sqref="B1">
    <cfRule type="expression" dxfId="15" priority="1">
      <formula>B1="error"</formula>
    </cfRule>
    <cfRule type="expression" dxfId="14" priority="2">
      <formula>B1="OK"</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112"/>
  <sheetViews>
    <sheetView showGridLines="0" zoomScale="85" zoomScaleNormal="85" workbookViewId="0">
      <pane xSplit="3" ySplit="6" topLeftCell="D7" activePane="bottomRight" state="frozen"/>
      <selection pane="topRight" activeCell="D1" sqref="D1"/>
      <selection pane="bottomLeft" activeCell="A7" sqref="A7"/>
      <selection pane="bottomRight"/>
    </sheetView>
  </sheetViews>
  <sheetFormatPr defaultColWidth="8.58203125" defaultRowHeight="13" x14ac:dyDescent="0.3"/>
  <cols>
    <col min="1" max="1" width="6.83203125" style="16" customWidth="1"/>
    <col min="2" max="3" width="9.58203125" style="16" customWidth="1"/>
    <col min="4" max="4" width="10.83203125" style="16" customWidth="1"/>
    <col min="5" max="5" width="11.33203125" style="16" customWidth="1"/>
    <col min="6" max="6" width="10.83203125" style="16" customWidth="1"/>
    <col min="7" max="7" width="12" style="16" customWidth="1"/>
    <col min="8" max="8" width="10.58203125" style="16" bestFit="1" customWidth="1"/>
    <col min="9" max="9" width="11.58203125" style="16" customWidth="1"/>
    <col min="10" max="10" width="10.83203125" style="16" customWidth="1"/>
    <col min="11" max="11" width="2" style="16" customWidth="1"/>
    <col min="12" max="12" width="11.83203125" style="16" customWidth="1"/>
    <col min="13" max="13" width="12.5" style="16" customWidth="1"/>
    <col min="14" max="14" width="12.33203125" style="16" customWidth="1"/>
    <col min="15" max="15" width="11.08203125" style="16" customWidth="1"/>
    <col min="16" max="16" width="10.58203125" style="16" customWidth="1"/>
    <col min="17" max="17" width="11.08203125" style="16" customWidth="1"/>
    <col min="18" max="18" width="11.33203125" style="16" customWidth="1"/>
    <col min="19" max="19" width="2" style="16" customWidth="1"/>
    <col min="20" max="20" width="9.33203125" style="16" bestFit="1" customWidth="1"/>
    <col min="21" max="21" width="11.08203125" style="16" customWidth="1"/>
    <col min="22" max="22" width="10.33203125" style="16" customWidth="1"/>
    <col min="23" max="23" width="2" style="16" customWidth="1"/>
    <col min="24" max="25" width="11.08203125" style="16" customWidth="1"/>
    <col min="26" max="26" width="11" style="16" customWidth="1"/>
    <col min="27" max="27" width="2" style="16" customWidth="1"/>
    <col min="28" max="29" width="11" style="16" customWidth="1"/>
    <col min="30" max="30" width="10.5" style="16" bestFit="1" customWidth="1"/>
    <col min="31" max="31" width="4.58203125" style="16" customWidth="1"/>
    <col min="32" max="32" width="11.58203125" style="33" customWidth="1"/>
    <col min="33" max="33" width="8.58203125" style="16"/>
    <col min="34" max="34" width="8.08203125" style="16" customWidth="1"/>
    <col min="35" max="35" width="12.08203125" style="16" customWidth="1"/>
    <col min="36" max="36" width="12.58203125" style="16" customWidth="1"/>
    <col min="37" max="37" width="4.08203125" style="16" bestFit="1" customWidth="1"/>
    <col min="38" max="16384" width="8.58203125" style="16"/>
  </cols>
  <sheetData>
    <row r="1" spans="1:36" ht="15.5" x14ac:dyDescent="0.35">
      <c r="A1" s="96" t="s">
        <v>216</v>
      </c>
    </row>
    <row r="2" spans="1:36" x14ac:dyDescent="0.3">
      <c r="O2" s="114" t="s">
        <v>38</v>
      </c>
      <c r="Z2" s="50"/>
      <c r="AB2" s="50"/>
      <c r="AC2" s="50"/>
    </row>
    <row r="3" spans="1:36" x14ac:dyDescent="0.3">
      <c r="E3" s="51"/>
      <c r="F3" s="51"/>
      <c r="G3" s="51"/>
      <c r="H3" s="51"/>
      <c r="I3" s="51"/>
      <c r="L3" s="154">
        <f>Controls!$D$7</f>
        <v>0.5</v>
      </c>
      <c r="M3" s="154">
        <f>Controls!$D$8</f>
        <v>0.5</v>
      </c>
      <c r="N3" s="154">
        <f>Controls!$D$9</f>
        <v>0.5</v>
      </c>
      <c r="O3" s="154">
        <f>Controls!$D$10</f>
        <v>0.5</v>
      </c>
      <c r="P3" s="154">
        <f>Controls!$D$11</f>
        <v>0.33333333333333331</v>
      </c>
      <c r="Q3" s="154">
        <f>Controls!$D$12</f>
        <v>0.33333333333333331</v>
      </c>
      <c r="R3" s="154">
        <f>Controls!$D$13</f>
        <v>0.33333333333333331</v>
      </c>
      <c r="T3" s="33"/>
      <c r="U3" s="33"/>
      <c r="X3" s="154">
        <f>Controls!$H$7</f>
        <v>0.25</v>
      </c>
      <c r="Y3" s="154">
        <f>Controls!$H$8</f>
        <v>0.75</v>
      </c>
      <c r="Z3" s="50"/>
      <c r="AB3" s="50"/>
      <c r="AC3" s="50"/>
    </row>
    <row r="4" spans="1:36" ht="18" customHeight="1" x14ac:dyDescent="0.3">
      <c r="D4" s="27" t="s">
        <v>171</v>
      </c>
      <c r="E4" s="52"/>
      <c r="F4" s="52"/>
      <c r="G4" s="53"/>
      <c r="H4" s="52"/>
      <c r="I4" s="52"/>
      <c r="J4" s="52"/>
      <c r="L4" s="27" t="s">
        <v>144</v>
      </c>
      <c r="M4" s="52"/>
      <c r="N4" s="52"/>
      <c r="O4" s="52"/>
      <c r="P4" s="52"/>
      <c r="Q4" s="52"/>
      <c r="R4" s="52"/>
      <c r="T4" s="33"/>
      <c r="U4" s="33"/>
      <c r="V4" s="33"/>
      <c r="X4" s="61"/>
      <c r="Y4" s="61"/>
      <c r="Z4" s="50"/>
      <c r="AB4" s="50"/>
      <c r="AC4" s="50"/>
    </row>
    <row r="5" spans="1:36" ht="39" x14ac:dyDescent="0.3">
      <c r="A5" s="75" t="s">
        <v>201</v>
      </c>
      <c r="B5" s="74">
        <f>COUNTA(A7:A106)</f>
        <v>100</v>
      </c>
      <c r="C5" s="17"/>
      <c r="D5" s="97" t="s">
        <v>172</v>
      </c>
      <c r="E5" s="54" t="s">
        <v>173</v>
      </c>
      <c r="F5" s="55" t="s">
        <v>174</v>
      </c>
      <c r="G5" s="55" t="s">
        <v>175</v>
      </c>
      <c r="H5" s="56" t="s">
        <v>176</v>
      </c>
      <c r="I5" s="56" t="s">
        <v>177</v>
      </c>
      <c r="J5" s="56" t="s">
        <v>178</v>
      </c>
      <c r="L5" s="54" t="s">
        <v>159</v>
      </c>
      <c r="M5" s="54" t="s">
        <v>160</v>
      </c>
      <c r="N5" s="55" t="s">
        <v>161</v>
      </c>
      <c r="O5" s="55" t="s">
        <v>162</v>
      </c>
      <c r="P5" s="56" t="s">
        <v>163</v>
      </c>
      <c r="Q5" s="56" t="s">
        <v>164</v>
      </c>
      <c r="R5" s="56" t="s">
        <v>165</v>
      </c>
      <c r="T5" s="54" t="s">
        <v>166</v>
      </c>
      <c r="U5" s="55" t="s">
        <v>167</v>
      </c>
      <c r="V5" s="56" t="s">
        <v>168</v>
      </c>
      <c r="X5" s="57" t="s">
        <v>170</v>
      </c>
      <c r="Y5" s="57" t="s">
        <v>169</v>
      </c>
      <c r="Z5" s="127" t="s">
        <v>205</v>
      </c>
      <c r="AB5" s="43" t="s">
        <v>217</v>
      </c>
      <c r="AC5" s="43" t="s">
        <v>143</v>
      </c>
      <c r="AD5" s="155" t="s">
        <v>217</v>
      </c>
      <c r="AG5" s="25" t="s">
        <v>206</v>
      </c>
    </row>
    <row r="6" spans="1:36" ht="52" x14ac:dyDescent="0.3">
      <c r="A6" s="17" t="s">
        <v>11</v>
      </c>
      <c r="B6" s="17" t="s">
        <v>200</v>
      </c>
      <c r="C6" s="17" t="s">
        <v>202</v>
      </c>
      <c r="D6" s="98" t="s">
        <v>228</v>
      </c>
      <c r="E6" s="98" t="s">
        <v>228</v>
      </c>
      <c r="F6" s="98" t="s">
        <v>228</v>
      </c>
      <c r="G6" s="98" t="s">
        <v>228</v>
      </c>
      <c r="H6" s="98" t="s">
        <v>228</v>
      </c>
      <c r="I6" s="98" t="s">
        <v>228</v>
      </c>
      <c r="J6" s="98" t="s">
        <v>228</v>
      </c>
      <c r="L6" s="43" t="s">
        <v>15</v>
      </c>
      <c r="M6" s="43" t="s">
        <v>15</v>
      </c>
      <c r="N6" s="43" t="s">
        <v>15</v>
      </c>
      <c r="O6" s="43" t="s">
        <v>15</v>
      </c>
      <c r="P6" s="43" t="s">
        <v>15</v>
      </c>
      <c r="Q6" s="43" t="s">
        <v>15</v>
      </c>
      <c r="R6" s="43" t="s">
        <v>15</v>
      </c>
      <c r="T6" s="43" t="s">
        <v>15</v>
      </c>
      <c r="U6" s="43" t="s">
        <v>15</v>
      </c>
      <c r="V6" s="43" t="s">
        <v>15</v>
      </c>
      <c r="X6" s="43" t="s">
        <v>15</v>
      </c>
      <c r="Y6" s="43" t="s">
        <v>15</v>
      </c>
      <c r="Z6" s="43" t="s">
        <v>15</v>
      </c>
      <c r="AB6" s="43" t="s">
        <v>15</v>
      </c>
      <c r="AC6" s="43" t="s">
        <v>15</v>
      </c>
      <c r="AD6" s="43" t="s">
        <v>15</v>
      </c>
      <c r="AG6" s="77" t="s">
        <v>37</v>
      </c>
      <c r="AH6" s="77" t="s">
        <v>288</v>
      </c>
      <c r="AI6" s="77" t="s">
        <v>340</v>
      </c>
      <c r="AJ6" s="78" t="s">
        <v>328</v>
      </c>
    </row>
    <row r="7" spans="1:36" x14ac:dyDescent="0.3">
      <c r="A7" s="12" t="s">
        <v>56</v>
      </c>
      <c r="B7" s="12" t="str">
        <f t="shared" ref="B7:B38" si="0">LEFT(A7,3)</f>
        <v>ANH</v>
      </c>
      <c r="C7" s="12">
        <v>2021</v>
      </c>
      <c r="D7" s="99">
        <f>EXP(Coeffs!$D$13+(Coeffs!$D$6*Drivers!F5)+(Coeffs!$D$7*Drivers!G5))</f>
        <v>21.198425422734353</v>
      </c>
      <c r="E7" s="58">
        <f>EXP(Coeffs!$E$13+(Coeffs!$E$6*Drivers!F5)+(Coeffs!$E$7*Drivers!G5)+(Coeffs!$E$8*Drivers!D5))</f>
        <v>20.620923238528444</v>
      </c>
      <c r="F7" s="58">
        <f>EXP(Coeffs!$F$13+(Coeffs!$F$9*Drivers!E5)+(Coeffs!$F$10*Drivers!H5))</f>
        <v>11.732950125653339</v>
      </c>
      <c r="G7" s="58">
        <f>EXP(Coeffs!$G$13+(Coeffs!$G$9*Drivers!E5)+(Coeffs!$G$11*Drivers!I5)+(Coeffs!$G$12*Drivers!J5))</f>
        <v>12.189651669229626</v>
      </c>
      <c r="H7" s="58">
        <f>EXP(Coeffs!$H$13+(Coeffs!$H$7*Drivers!G5)+(Coeffs!$H$9*Drivers!E5)+(Coeffs!$H$10*Drivers!H5))</f>
        <v>33.235726310818684</v>
      </c>
      <c r="I7" s="58">
        <f>EXP(Coeffs!$I$13+(Coeffs!$I$7*Drivers!G5)+(Coeffs!$I$8*Drivers!D5)+(Coeffs!$I$9*Drivers!E5)+(Coeffs!$I$10*Drivers!H5))</f>
        <v>31.999430275680439</v>
      </c>
      <c r="J7" s="58">
        <f>EXP(Coeffs!$J$13+(Coeffs!$J$7*Drivers!G5)+(Coeffs!$J$8*Drivers!D5)+(Coeffs!$J$9*Drivers!E5)+(Coeffs!$J$11*Drivers!I5)+(Coeffs!$J$12*Drivers!J5))</f>
        <v>28.649475967836096</v>
      </c>
      <c r="K7" s="33"/>
      <c r="L7" s="58">
        <f xml:space="preserve"> (D7 *Drivers!$L5 * 1000 / 1000000)</f>
        <v>61.841636525107361</v>
      </c>
      <c r="M7" s="58">
        <f xml:space="preserve"> (E7 *Drivers!$L5 * 1000 / 1000000)</f>
        <v>60.156903840678069</v>
      </c>
      <c r="N7" s="158">
        <f xml:space="preserve"> (F7 *Drivers!$L5 * 1000 / 1000000)</f>
        <v>34.228242077815345</v>
      </c>
      <c r="O7" s="158">
        <f xml:space="preserve"> (G7 *Drivers!$L5 * 1000 / 1000000)</f>
        <v>35.560566073351858</v>
      </c>
      <c r="P7" s="158">
        <f xml:space="preserve"> (H7 *Drivers!$L5 * 1000 / 1000000)</f>
        <v>96.957753473393581</v>
      </c>
      <c r="Q7" s="158">
        <f xml:space="preserve"> (I7 *Drivers!$L5 * 1000 / 1000000)</f>
        <v>93.351137957485662</v>
      </c>
      <c r="R7" s="158">
        <f xml:space="preserve"> (J7 *Drivers!$L5 * 1000 / 1000000)</f>
        <v>83.578400004069039</v>
      </c>
      <c r="S7" s="33"/>
      <c r="T7" s="58">
        <f t="shared" ref="T7:T38" si="1">$L$3*L7+$M$3*M7</f>
        <v>60.999270182892715</v>
      </c>
      <c r="U7" s="58">
        <f>$N$3*N7+$O$3*O7</f>
        <v>34.894404075583601</v>
      </c>
      <c r="V7" s="48">
        <f>$P$3*P7+$Q$3*Q7+$R$3*R7</f>
        <v>91.295763811649422</v>
      </c>
      <c r="W7" s="33"/>
      <c r="X7" s="48">
        <f>SUM(T7:U7)</f>
        <v>95.893674258476324</v>
      </c>
      <c r="Y7" s="48">
        <f>V7</f>
        <v>91.295763811649422</v>
      </c>
      <c r="Z7" s="48">
        <f>$X$3*X7+$Y$3*Y7</f>
        <v>92.445241423356151</v>
      </c>
      <c r="AA7" s="33"/>
      <c r="AB7" s="48">
        <f>Controls!$F$17*Z7</f>
        <v>78.181229606048973</v>
      </c>
      <c r="AC7" s="48">
        <f>-(INDEX(Controls!$G$20:$G$24,MATCH($C7,Controls!$C$20:$C$24,0),0))*$Z7</f>
        <v>0</v>
      </c>
      <c r="AD7" s="59">
        <f>AB7+AC7</f>
        <v>78.181229606048973</v>
      </c>
      <c r="AE7" s="33"/>
      <c r="AG7" s="89" t="s">
        <v>19</v>
      </c>
      <c r="AH7" s="90">
        <f>SUMIF('BP costs'!$B$7:$B$91,$AG7,'BP costs'!D$7:D$91)</f>
        <v>407.58125471300002</v>
      </c>
      <c r="AI7" s="90">
        <f>SUMIF($B$7:$B$106,$AG7,Z$7:Z$106)</f>
        <v>476.5128381459362</v>
      </c>
      <c r="AJ7" s="15">
        <f>AH7/AI7</f>
        <v>0.85534160275483428</v>
      </c>
    </row>
    <row r="8" spans="1:36" x14ac:dyDescent="0.3">
      <c r="A8" s="12" t="s">
        <v>57</v>
      </c>
      <c r="B8" s="12" t="str">
        <f t="shared" si="0"/>
        <v>ANH</v>
      </c>
      <c r="C8" s="12">
        <v>2022</v>
      </c>
      <c r="D8" s="99">
        <f>EXP(Coeffs!$D$13+(Coeffs!$D$6*Drivers!F6)+(Coeffs!$D$7*Drivers!G6))</f>
        <v>21.335333247344529</v>
      </c>
      <c r="E8" s="58">
        <f>EXP(Coeffs!$E$13+(Coeffs!$E$6*Drivers!F6)+(Coeffs!$E$7*Drivers!G6)+(Coeffs!$E$8*Drivers!D6))</f>
        <v>20.740226149575406</v>
      </c>
      <c r="F8" s="58">
        <f>EXP(Coeffs!$F$13+(Coeffs!$F$9*Drivers!E6)+(Coeffs!$F$10*Drivers!H6))</f>
        <v>11.581159317401827</v>
      </c>
      <c r="G8" s="58">
        <f>EXP(Coeffs!$G$13+(Coeffs!$G$9*Drivers!E6)+(Coeffs!$G$11*Drivers!I6)+(Coeffs!$G$12*Drivers!J6))</f>
        <v>12.036124024802264</v>
      </c>
      <c r="H8" s="58">
        <f>EXP(Coeffs!$H$13+(Coeffs!$H$7*Drivers!G6)+(Coeffs!$H$9*Drivers!E6)+(Coeffs!$H$10*Drivers!H6))</f>
        <v>33.1837977188179</v>
      </c>
      <c r="I8" s="58">
        <f>EXP(Coeffs!$I$13+(Coeffs!$I$7*Drivers!G6)+(Coeffs!$I$8*Drivers!D6)+(Coeffs!$I$9*Drivers!E6)+(Coeffs!$I$10*Drivers!H6))</f>
        <v>31.91729950571639</v>
      </c>
      <c r="J8" s="58">
        <f>EXP(Coeffs!$J$13+(Coeffs!$J$7*Drivers!G6)+(Coeffs!$J$8*Drivers!D6)+(Coeffs!$J$9*Drivers!E6)+(Coeffs!$J$11*Drivers!I6)+(Coeffs!$J$12*Drivers!J6))</f>
        <v>28.460301482674115</v>
      </c>
      <c r="K8" s="33"/>
      <c r="L8" s="58">
        <f xml:space="preserve"> (D8 *Drivers!$L6 * 1000 / 1000000)</f>
        <v>63.19408363530588</v>
      </c>
      <c r="M8" s="58">
        <f xml:space="preserve"> (E8 *Drivers!$L6 * 1000 / 1000000)</f>
        <v>61.431409142604117</v>
      </c>
      <c r="N8" s="158">
        <f xml:space="preserve"> (F8 *Drivers!$L6 * 1000 / 1000000)</f>
        <v>34.302756934381755</v>
      </c>
      <c r="O8" s="158">
        <f xml:space="preserve"> (G8 *Drivers!$L6 * 1000 / 1000000)</f>
        <v>35.650337374642945</v>
      </c>
      <c r="P8" s="158">
        <f xml:space="preserve"> (H8 *Drivers!$L6 * 1000 / 1000000)</f>
        <v>98.28858373426408</v>
      </c>
      <c r="Q8" s="158">
        <f xml:space="preserve"> (I8 *Drivers!$L6 * 1000 / 1000000)</f>
        <v>94.537285684459121</v>
      </c>
      <c r="R8" s="158">
        <f xml:space="preserve"> (J8 *Drivers!$L6 * 1000 / 1000000)</f>
        <v>84.297847675099163</v>
      </c>
      <c r="S8" s="33"/>
      <c r="T8" s="58">
        <f t="shared" si="1"/>
        <v>62.312746388954999</v>
      </c>
      <c r="U8" s="58">
        <f t="shared" ref="U8:U71" si="2">$N$3*N8+$O$3*O8</f>
        <v>34.976547154512346</v>
      </c>
      <c r="V8" s="48">
        <f t="shared" ref="V8:V71" si="3">$P$3*P8+$Q$3*Q8+$R$3*R8</f>
        <v>92.374572364607445</v>
      </c>
      <c r="W8" s="33"/>
      <c r="X8" s="48">
        <f t="shared" ref="X8:X38" si="4">SUM(T8:U8)</f>
        <v>97.289293543467352</v>
      </c>
      <c r="Y8" s="48">
        <f t="shared" ref="Y8:Y38" si="5">V8</f>
        <v>92.374572364607445</v>
      </c>
      <c r="Z8" s="48">
        <f t="shared" ref="Z8:Z38" si="6">$X$3*X8+$Y$3*Y8</f>
        <v>93.603252659322422</v>
      </c>
      <c r="AA8" s="33"/>
      <c r="AB8" s="48">
        <f>Controls!$F$17*Z8</f>
        <v>79.160563327628623</v>
      </c>
      <c r="AC8" s="48">
        <f>-(INDEX(Controls!$G$20:$G$24,MATCH($C8,Controls!$C$20:$C$24,0),0))*$Z8</f>
        <v>0</v>
      </c>
      <c r="AD8" s="59">
        <f t="shared" ref="AD8:AD38" si="7">AB8+AC8</f>
        <v>79.160563327628623</v>
      </c>
      <c r="AE8" s="33"/>
      <c r="AG8" s="89" t="s">
        <v>149</v>
      </c>
      <c r="AH8" s="90">
        <f>SUMIF('BP costs'!$B$7:$B$91,$AG8,'BP costs'!D$7:D$91)</f>
        <v>13.53031192583718</v>
      </c>
      <c r="AI8" s="90">
        <f>SUMIF($B$7:$B$106,$AG8,Z$7:Z$106)</f>
        <v>17.075361399266413</v>
      </c>
      <c r="AJ8" s="15">
        <f>AH8/AI8</f>
        <v>0.79238802678685716</v>
      </c>
    </row>
    <row r="9" spans="1:36" x14ac:dyDescent="0.3">
      <c r="A9" s="12" t="s">
        <v>58</v>
      </c>
      <c r="B9" s="12" t="str">
        <f t="shared" si="0"/>
        <v>ANH</v>
      </c>
      <c r="C9" s="12">
        <v>2023</v>
      </c>
      <c r="D9" s="99">
        <f>EXP(Coeffs!$D$13+(Coeffs!$D$6*Drivers!F7)+(Coeffs!$D$7*Drivers!G7))</f>
        <v>21.46824164271159</v>
      </c>
      <c r="E9" s="58">
        <f>EXP(Coeffs!$E$13+(Coeffs!$E$6*Drivers!F7)+(Coeffs!$E$7*Drivers!G7)+(Coeffs!$E$8*Drivers!D7))</f>
        <v>20.856781389530546</v>
      </c>
      <c r="F9" s="58">
        <f>EXP(Coeffs!$F$13+(Coeffs!$F$9*Drivers!E7)+(Coeffs!$F$10*Drivers!H7))</f>
        <v>11.62422562489961</v>
      </c>
      <c r="G9" s="58">
        <f>EXP(Coeffs!$G$13+(Coeffs!$G$9*Drivers!E7)+(Coeffs!$G$11*Drivers!I7)+(Coeffs!$G$12*Drivers!J7))</f>
        <v>12.079688522936303</v>
      </c>
      <c r="H9" s="58">
        <f>EXP(Coeffs!$H$13+(Coeffs!$H$7*Drivers!G7)+(Coeffs!$H$9*Drivers!E7)+(Coeffs!$H$10*Drivers!H7))</f>
        <v>33.342030675692484</v>
      </c>
      <c r="I9" s="58">
        <f>EXP(Coeffs!$I$13+(Coeffs!$I$7*Drivers!G7)+(Coeffs!$I$8*Drivers!D7)+(Coeffs!$I$9*Drivers!E7)+(Coeffs!$I$10*Drivers!H7))</f>
        <v>32.070156178685878</v>
      </c>
      <c r="J9" s="58">
        <f>EXP(Coeffs!$J$13+(Coeffs!$J$7*Drivers!G7)+(Coeffs!$J$8*Drivers!D7)+(Coeffs!$J$9*Drivers!E7)+(Coeffs!$J$11*Drivers!I7)+(Coeffs!$J$12*Drivers!J7))</f>
        <v>28.516658238076253</v>
      </c>
      <c r="K9" s="33"/>
      <c r="L9" s="58">
        <f xml:space="preserve"> (D9 *Drivers!$L7 * 1000 / 1000000)</f>
        <v>64.461873387387669</v>
      </c>
      <c r="M9" s="58">
        <f xml:space="preserve"> (E9 *Drivers!$L7 * 1000 / 1000000)</f>
        <v>62.625864920650571</v>
      </c>
      <c r="N9" s="158">
        <f xml:space="preserve"> (F9 *Drivers!$L7 * 1000 / 1000000)</f>
        <v>34.903620563312316</v>
      </c>
      <c r="O9" s="158">
        <f xml:space="preserve"> (G9 *Drivers!$L7 * 1000 / 1000000)</f>
        <v>36.271221699656969</v>
      </c>
      <c r="P9" s="158">
        <f xml:space="preserve"> (H9 *Drivers!$L7 * 1000 / 1000000)</f>
        <v>100.11484851273615</v>
      </c>
      <c r="Q9" s="158">
        <f xml:space="preserve"> (I9 *Drivers!$L7 * 1000 / 1000000)</f>
        <v>96.295839291805294</v>
      </c>
      <c r="R9" s="158">
        <f xml:space="preserve"> (J9 *Drivers!$L7 * 1000 / 1000000)</f>
        <v>85.625886058458519</v>
      </c>
      <c r="S9" s="33"/>
      <c r="T9" s="58">
        <f t="shared" si="1"/>
        <v>63.54386915401912</v>
      </c>
      <c r="U9" s="58">
        <f t="shared" si="2"/>
        <v>35.587421131484646</v>
      </c>
      <c r="V9" s="48">
        <f t="shared" si="3"/>
        <v>94.012191287666639</v>
      </c>
      <c r="W9" s="33"/>
      <c r="X9" s="48">
        <f t="shared" si="4"/>
        <v>99.131290285503766</v>
      </c>
      <c r="Y9" s="48">
        <f t="shared" si="5"/>
        <v>94.012191287666639</v>
      </c>
      <c r="Z9" s="48">
        <f t="shared" si="6"/>
        <v>95.291966037125931</v>
      </c>
      <c r="AA9" s="33"/>
      <c r="AB9" s="48">
        <f>Controls!$F$17*Z9</f>
        <v>80.588713509250695</v>
      </c>
      <c r="AC9" s="48">
        <f>-(INDEX(Controls!$G$20:$G$24,MATCH($C9,Controls!$C$20:$C$24,0),0))*$Z9</f>
        <v>0</v>
      </c>
      <c r="AD9" s="59">
        <f t="shared" si="7"/>
        <v>80.588713509250695</v>
      </c>
      <c r="AE9" s="33"/>
      <c r="AG9" s="89" t="s">
        <v>20</v>
      </c>
      <c r="AH9" s="90">
        <f>SUMIF('BP costs'!$B$7:$B$91,$AG9,'BP costs'!D$7:D$91)</f>
        <v>279.59399999999999</v>
      </c>
      <c r="AI9" s="90">
        <f t="shared" ref="AI9:AI23" si="8">SUMIF($B$7:$B$106,$AG9,Z$7:Z$106)</f>
        <v>295.74225671543593</v>
      </c>
      <c r="AJ9" s="15">
        <f t="shared" ref="AJ9:AJ23" si="9">AH9/AI9</f>
        <v>0.94539753332925358</v>
      </c>
    </row>
    <row r="10" spans="1:36" x14ac:dyDescent="0.3">
      <c r="A10" s="12" t="s">
        <v>59</v>
      </c>
      <c r="B10" s="12" t="str">
        <f t="shared" si="0"/>
        <v>ANH</v>
      </c>
      <c r="C10" s="12">
        <v>2024</v>
      </c>
      <c r="D10" s="99">
        <f>EXP(Coeffs!$D$13+(Coeffs!$D$6*Drivers!F8)+(Coeffs!$D$7*Drivers!G8))</f>
        <v>21.593889342841592</v>
      </c>
      <c r="E10" s="58">
        <f>EXP(Coeffs!$E$13+(Coeffs!$E$6*Drivers!F8)+(Coeffs!$E$7*Drivers!G8)+(Coeffs!$E$8*Drivers!D8))</f>
        <v>20.96689077886548</v>
      </c>
      <c r="F10" s="58">
        <f>EXP(Coeffs!$F$13+(Coeffs!$F$9*Drivers!E8)+(Coeffs!$F$10*Drivers!H8))</f>
        <v>11.672653677524526</v>
      </c>
      <c r="G10" s="58">
        <f>EXP(Coeffs!$G$13+(Coeffs!$G$9*Drivers!E8)+(Coeffs!$G$11*Drivers!I8)+(Coeffs!$G$12*Drivers!J8))</f>
        <v>12.12867165948966</v>
      </c>
      <c r="H10" s="58">
        <f>EXP(Coeffs!$H$13+(Coeffs!$H$7*Drivers!G8)+(Coeffs!$H$9*Drivers!E8)+(Coeffs!$H$10*Drivers!H8))</f>
        <v>33.500043759759905</v>
      </c>
      <c r="I10" s="58">
        <f>EXP(Coeffs!$I$13+(Coeffs!$I$7*Drivers!G8)+(Coeffs!$I$8*Drivers!D8)+(Coeffs!$I$9*Drivers!E8)+(Coeffs!$I$10*Drivers!H8))</f>
        <v>32.223970740095538</v>
      </c>
      <c r="J10" s="58">
        <f>EXP(Coeffs!$J$13+(Coeffs!$J$7*Drivers!G8)+(Coeffs!$J$8*Drivers!D8)+(Coeffs!$J$9*Drivers!E8)+(Coeffs!$J$11*Drivers!I8)+(Coeffs!$J$12*Drivers!J8))</f>
        <v>28.579363659069664</v>
      </c>
      <c r="K10" s="33"/>
      <c r="L10" s="58">
        <f xml:space="preserve"> (D10 *Drivers!$L8 * 1000 / 1000000)</f>
        <v>65.677490527912568</v>
      </c>
      <c r="M10" s="58">
        <f xml:space="preserve"> (E10 *Drivers!$L8 * 1000 / 1000000)</f>
        <v>63.77048380055767</v>
      </c>
      <c r="N10" s="158">
        <f xml:space="preserve"> (F10 *Drivers!$L8 * 1000 / 1000000)</f>
        <v>35.502201070385688</v>
      </c>
      <c r="O10" s="158">
        <f xml:space="preserve"> (G10 *Drivers!$L8 * 1000 / 1000000)</f>
        <v>36.889172922262908</v>
      </c>
      <c r="P10" s="158">
        <f xml:space="preserve"> (H10 *Drivers!$L8 * 1000 / 1000000)</f>
        <v>101.88988059465335</v>
      </c>
      <c r="Q10" s="158">
        <f xml:space="preserve"> (I10 *Drivers!$L8 * 1000 / 1000000)</f>
        <v>98.008723646439478</v>
      </c>
      <c r="R10" s="158">
        <f xml:space="preserve"> (J10 *Drivers!$L8 * 1000 / 1000000)</f>
        <v>86.923705878605503</v>
      </c>
      <c r="S10" s="33"/>
      <c r="T10" s="58">
        <f t="shared" si="1"/>
        <v>64.723987164235126</v>
      </c>
      <c r="U10" s="58">
        <f t="shared" si="2"/>
        <v>36.195686996324298</v>
      </c>
      <c r="V10" s="48">
        <f t="shared" si="3"/>
        <v>95.607436706566105</v>
      </c>
      <c r="W10" s="33"/>
      <c r="X10" s="48">
        <f t="shared" si="4"/>
        <v>100.91967416055942</v>
      </c>
      <c r="Y10" s="48">
        <f t="shared" si="5"/>
        <v>95.607436706566105</v>
      </c>
      <c r="Z10" s="48">
        <f t="shared" si="6"/>
        <v>96.935496070064431</v>
      </c>
      <c r="AA10" s="33"/>
      <c r="AB10" s="48">
        <f>Controls!$F$17*Z10</f>
        <v>81.978651994901483</v>
      </c>
      <c r="AC10" s="48">
        <f>-(INDEX(Controls!$G$20:$G$24,MATCH($C10,Controls!$C$20:$C$24,0),0))*$Z10</f>
        <v>0</v>
      </c>
      <c r="AD10" s="59">
        <f t="shared" si="7"/>
        <v>81.978651994901483</v>
      </c>
      <c r="AE10" s="33"/>
      <c r="AG10" s="89" t="s">
        <v>21</v>
      </c>
      <c r="AH10" s="90">
        <f>SUMIF('BP costs'!$B$7:$B$91,$AG10,'BP costs'!D$7:D$91)</f>
        <v>507.7582623798794</v>
      </c>
      <c r="AI10" s="90">
        <f t="shared" si="8"/>
        <v>561.47458826805746</v>
      </c>
      <c r="AJ10" s="15">
        <f>AH10/AI10</f>
        <v>0.90432990733583662</v>
      </c>
    </row>
    <row r="11" spans="1:36" x14ac:dyDescent="0.3">
      <c r="A11" s="12" t="s">
        <v>60</v>
      </c>
      <c r="B11" s="12" t="str">
        <f t="shared" si="0"/>
        <v>ANH</v>
      </c>
      <c r="C11" s="12">
        <v>2025</v>
      </c>
      <c r="D11" s="99">
        <f>EXP(Coeffs!$D$13+(Coeffs!$D$6*Drivers!F9)+(Coeffs!$D$7*Drivers!G9))</f>
        <v>21.709630739842392</v>
      </c>
      <c r="E11" s="58">
        <f>EXP(Coeffs!$E$13+(Coeffs!$E$6*Drivers!F9)+(Coeffs!$E$7*Drivers!G9)+(Coeffs!$E$8*Drivers!D9))</f>
        <v>21.068046508992602</v>
      </c>
      <c r="F11" s="58">
        <f>EXP(Coeffs!$F$13+(Coeffs!$F$9*Drivers!E9)+(Coeffs!$F$10*Drivers!H9))</f>
        <v>11.645067214099489</v>
      </c>
      <c r="G11" s="58">
        <f>EXP(Coeffs!$G$13+(Coeffs!$G$9*Drivers!E9)+(Coeffs!$G$11*Drivers!I9)+(Coeffs!$G$12*Drivers!J9))</f>
        <v>12.100769663696617</v>
      </c>
      <c r="H11" s="58">
        <f>EXP(Coeffs!$H$13+(Coeffs!$H$7*Drivers!G9)+(Coeffs!$H$9*Drivers!E9)+(Coeffs!$H$10*Drivers!H9))</f>
        <v>33.565554943703255</v>
      </c>
      <c r="I11" s="58">
        <f>EXP(Coeffs!$I$13+(Coeffs!$I$7*Drivers!G9)+(Coeffs!$I$8*Drivers!D9)+(Coeffs!$I$9*Drivers!E9)+(Coeffs!$I$10*Drivers!H9))</f>
        <v>32.276743464495574</v>
      </c>
      <c r="J11" s="58">
        <f>EXP(Coeffs!$J$13+(Coeffs!$J$7*Drivers!G9)+(Coeffs!$J$8*Drivers!D9)+(Coeffs!$J$9*Drivers!E9)+(Coeffs!$J$11*Drivers!I9)+(Coeffs!$J$12*Drivers!J9))</f>
        <v>28.546518520892235</v>
      </c>
      <c r="K11" s="33"/>
      <c r="L11" s="58">
        <f xml:space="preserve"> (D11 *Drivers!$L9 * 1000 / 1000000)</f>
        <v>66.828886564241273</v>
      </c>
      <c r="M11" s="58">
        <f xml:space="preserve"> (E11 *Drivers!$L9 * 1000 / 1000000)</f>
        <v>64.853893976910982</v>
      </c>
      <c r="N11" s="158">
        <f xml:space="preserve"> (F11 *Drivers!$L9 * 1000 / 1000000)</f>
        <v>35.847080275565745</v>
      </c>
      <c r="O11" s="158">
        <f xml:space="preserve"> (G11 *Drivers!$L9 * 1000 / 1000000)</f>
        <v>37.249871860375279</v>
      </c>
      <c r="P11" s="158">
        <f xml:space="preserve"> (H11 *Drivers!$L9 * 1000 / 1000000)</f>
        <v>103.32504917653139</v>
      </c>
      <c r="Q11" s="158">
        <f xml:space="preserve"> (I11 *Drivers!$L9 * 1000 / 1000000)</f>
        <v>99.357693067217511</v>
      </c>
      <c r="R11" s="158">
        <f xml:space="preserve"> (J11 *Drivers!$L9 * 1000 / 1000000)</f>
        <v>87.8749192419737</v>
      </c>
      <c r="S11" s="33"/>
      <c r="T11" s="58">
        <f t="shared" si="1"/>
        <v>65.841390270576127</v>
      </c>
      <c r="U11" s="58">
        <f t="shared" si="2"/>
        <v>36.548476067970512</v>
      </c>
      <c r="V11" s="48">
        <f t="shared" si="3"/>
        <v>96.852553828574187</v>
      </c>
      <c r="W11" s="33"/>
      <c r="X11" s="48">
        <f t="shared" si="4"/>
        <v>102.38986633854664</v>
      </c>
      <c r="Y11" s="48">
        <f t="shared" si="5"/>
        <v>96.852553828574187</v>
      </c>
      <c r="Z11" s="48">
        <f t="shared" si="6"/>
        <v>98.236881956067307</v>
      </c>
      <c r="AA11" s="33"/>
      <c r="AB11" s="48">
        <f>Controls!$F$17*Z11</f>
        <v>83.079238106129466</v>
      </c>
      <c r="AC11" s="48">
        <f>-(INDEX(Controls!$G$20:$G$24,MATCH($C11,Controls!$C$20:$C$24,0),0))*$Z11</f>
        <v>0</v>
      </c>
      <c r="AD11" s="59">
        <f t="shared" si="7"/>
        <v>83.079238106129466</v>
      </c>
      <c r="AE11" s="33"/>
      <c r="AG11" s="89" t="s">
        <v>22</v>
      </c>
      <c r="AH11" s="90">
        <f>SUMIF('BP costs'!$B$7:$B$91,$AG11,'BP costs'!D$7:D$91)</f>
        <v>235.03999999999996</v>
      </c>
      <c r="AI11" s="90">
        <f t="shared" si="8"/>
        <v>309.43362260368013</v>
      </c>
      <c r="AJ11" s="15">
        <f t="shared" si="9"/>
        <v>0.7595813215845556</v>
      </c>
    </row>
    <row r="12" spans="1:36" x14ac:dyDescent="0.3">
      <c r="A12" s="12" t="s">
        <v>61</v>
      </c>
      <c r="B12" s="12" t="str">
        <f t="shared" si="0"/>
        <v>NES</v>
      </c>
      <c r="C12" s="12">
        <v>2021</v>
      </c>
      <c r="D12" s="99">
        <f>EXP(Coeffs!$D$13+(Coeffs!$D$6*Drivers!F10)+(Coeffs!$D$7*Drivers!G10))</f>
        <v>17.254524157983379</v>
      </c>
      <c r="E12" s="58">
        <f>EXP(Coeffs!$E$13+(Coeffs!$E$6*Drivers!F10)+(Coeffs!$E$7*Drivers!G10)+(Coeffs!$E$8*Drivers!D10))</f>
        <v>17.017905207364606</v>
      </c>
      <c r="F12" s="58">
        <f>EXP(Coeffs!$F$13+(Coeffs!$F$9*Drivers!E10)+(Coeffs!$F$10*Drivers!H10))</f>
        <v>12.067528456976831</v>
      </c>
      <c r="G12" s="58">
        <f>EXP(Coeffs!$G$13+(Coeffs!$G$9*Drivers!E10)+(Coeffs!$G$11*Drivers!I10)+(Coeffs!$G$12*Drivers!J10))</f>
        <v>12.239171674314512</v>
      </c>
      <c r="H12" s="58">
        <f>EXP(Coeffs!$H$13+(Coeffs!$H$7*Drivers!G10)+(Coeffs!$H$9*Drivers!E10)+(Coeffs!$H$10*Drivers!H10))</f>
        <v>29.930077574472417</v>
      </c>
      <c r="I12" s="58">
        <f>EXP(Coeffs!$I$13+(Coeffs!$I$7*Drivers!G10)+(Coeffs!$I$8*Drivers!D10)+(Coeffs!$I$9*Drivers!E10)+(Coeffs!$I$10*Drivers!H10))</f>
        <v>29.347206563510181</v>
      </c>
      <c r="J12" s="58">
        <f>EXP(Coeffs!$J$13+(Coeffs!$J$7*Drivers!G10)+(Coeffs!$J$8*Drivers!D10)+(Coeffs!$J$9*Drivers!E10)+(Coeffs!$J$11*Drivers!I10)+(Coeffs!$J$12*Drivers!J10))</f>
        <v>29.892448089448489</v>
      </c>
      <c r="K12" s="33"/>
      <c r="L12" s="58">
        <f xml:space="preserve"> (D12 *Drivers!$L10 * 1000 / 1000000)</f>
        <v>33.717911128799059</v>
      </c>
      <c r="M12" s="58">
        <f xml:space="preserve"> (E12 *Drivers!$L10 * 1000 / 1000000)</f>
        <v>33.255522443066333</v>
      </c>
      <c r="N12" s="158">
        <f xml:space="preserve"> (F12 *Drivers!$L10 * 1000 / 1000000)</f>
        <v>23.581748666672816</v>
      </c>
      <c r="O12" s="158">
        <f xml:space="preserve"> (G12 *Drivers!$L10 * 1000 / 1000000)</f>
        <v>23.917165088190025</v>
      </c>
      <c r="P12" s="158">
        <f xml:space="preserve"> (H12 *Drivers!$L10 * 1000 / 1000000)</f>
        <v>58.487831162077697</v>
      </c>
      <c r="Q12" s="158">
        <f xml:space="preserve"> (I12 *Drivers!$L10 * 1000 / 1000000)</f>
        <v>57.348814358876851</v>
      </c>
      <c r="R12" s="158">
        <f xml:space="preserve"> (J12 *Drivers!$L10 * 1000 / 1000000)</f>
        <v>58.414297541547676</v>
      </c>
      <c r="S12" s="33"/>
      <c r="T12" s="58">
        <f t="shared" si="1"/>
        <v>33.4867167859327</v>
      </c>
      <c r="U12" s="58">
        <f t="shared" si="2"/>
        <v>23.74945687743142</v>
      </c>
      <c r="V12" s="48">
        <f t="shared" si="3"/>
        <v>58.083647687500736</v>
      </c>
      <c r="W12" s="33"/>
      <c r="X12" s="48">
        <f t="shared" si="4"/>
        <v>57.23617366336412</v>
      </c>
      <c r="Y12" s="48">
        <f t="shared" si="5"/>
        <v>58.083647687500736</v>
      </c>
      <c r="Z12" s="48">
        <f t="shared" si="6"/>
        <v>57.871779181466586</v>
      </c>
      <c r="AA12" s="33"/>
      <c r="AB12" s="48">
        <f>Controls!$F$17*Z12</f>
        <v>48.942344529955434</v>
      </c>
      <c r="AC12" s="48">
        <f>-(INDEX(Controls!$G$20:$G$24,MATCH($C12,Controls!$C$20:$C$24,0),0))*$Z12</f>
        <v>0</v>
      </c>
      <c r="AD12" s="59">
        <f t="shared" si="7"/>
        <v>48.942344529955434</v>
      </c>
      <c r="AE12" s="33"/>
      <c r="AG12" s="89" t="s">
        <v>148</v>
      </c>
      <c r="AH12" s="90">
        <f>SUMIF('BP costs'!$B$7:$B$91,$AG12,'BP costs'!D$7:D$91)</f>
        <v>461.97117466078447</v>
      </c>
      <c r="AI12" s="90">
        <f t="shared" si="8"/>
        <v>582.05588088262471</v>
      </c>
      <c r="AJ12" s="15">
        <f t="shared" si="9"/>
        <v>0.79368869868689451</v>
      </c>
    </row>
    <row r="13" spans="1:36" x14ac:dyDescent="0.3">
      <c r="A13" s="12" t="s">
        <v>62</v>
      </c>
      <c r="B13" s="12" t="str">
        <f t="shared" si="0"/>
        <v>NES</v>
      </c>
      <c r="C13" s="12">
        <v>2022</v>
      </c>
      <c r="D13" s="99">
        <f>EXP(Coeffs!$D$13+(Coeffs!$D$6*Drivers!F11)+(Coeffs!$D$7*Drivers!G11))</f>
        <v>17.479285086997486</v>
      </c>
      <c r="E13" s="58">
        <f>EXP(Coeffs!$E$13+(Coeffs!$E$6*Drivers!F11)+(Coeffs!$E$7*Drivers!G11)+(Coeffs!$E$8*Drivers!D11))</f>
        <v>17.23039742380081</v>
      </c>
      <c r="F13" s="58">
        <f>EXP(Coeffs!$F$13+(Coeffs!$F$9*Drivers!E11)+(Coeffs!$F$10*Drivers!H11))</f>
        <v>11.943415012789165</v>
      </c>
      <c r="G13" s="58">
        <f>EXP(Coeffs!$G$13+(Coeffs!$G$9*Drivers!E11)+(Coeffs!$G$11*Drivers!I11)+(Coeffs!$G$12*Drivers!J11))</f>
        <v>12.116627092961179</v>
      </c>
      <c r="H13" s="58">
        <f>EXP(Coeffs!$H$13+(Coeffs!$H$7*Drivers!G11)+(Coeffs!$H$9*Drivers!E11)+(Coeffs!$H$10*Drivers!H11))</f>
        <v>30.018656551427483</v>
      </c>
      <c r="I13" s="58">
        <f>EXP(Coeffs!$I$13+(Coeffs!$I$7*Drivers!G11)+(Coeffs!$I$8*Drivers!D11)+(Coeffs!$I$9*Drivers!E11)+(Coeffs!$I$10*Drivers!H11))</f>
        <v>29.437656980527432</v>
      </c>
      <c r="J13" s="58">
        <f>EXP(Coeffs!$J$13+(Coeffs!$J$7*Drivers!G11)+(Coeffs!$J$8*Drivers!D11)+(Coeffs!$J$9*Drivers!E11)+(Coeffs!$J$11*Drivers!I11)+(Coeffs!$J$12*Drivers!J11))</f>
        <v>29.807362952432559</v>
      </c>
      <c r="K13" s="33"/>
      <c r="L13" s="58">
        <f xml:space="preserve"> (D13 *Drivers!$L11 * 1000 / 1000000)</f>
        <v>34.487223772338993</v>
      </c>
      <c r="M13" s="58">
        <f xml:space="preserve"> (E13 *Drivers!$L11 * 1000 / 1000000)</f>
        <v>33.996159950671405</v>
      </c>
      <c r="N13" s="158">
        <f xml:space="preserve"> (F13 *Drivers!$L11 * 1000 / 1000000)</f>
        <v>23.564763896343454</v>
      </c>
      <c r="O13" s="158">
        <f xml:space="preserve"> (G13 *Drivers!$L11 * 1000 / 1000000)</f>
        <v>23.906517219733566</v>
      </c>
      <c r="P13" s="158">
        <f xml:space="preserve"> (H13 *Drivers!$L11 * 1000 / 1000000)</f>
        <v>59.227830010289168</v>
      </c>
      <c r="Q13" s="158">
        <f xml:space="preserve"> (I13 *Drivers!$L11 * 1000 / 1000000)</f>
        <v>58.081498102917962</v>
      </c>
      <c r="R13" s="158">
        <f xml:space="preserve"> (J13 *Drivers!$L11 * 1000 / 1000000)</f>
        <v>58.810940555489815</v>
      </c>
      <c r="S13" s="33"/>
      <c r="T13" s="58">
        <f t="shared" si="1"/>
        <v>34.241691861505203</v>
      </c>
      <c r="U13" s="58">
        <f t="shared" si="2"/>
        <v>23.735640558038511</v>
      </c>
      <c r="V13" s="48">
        <f t="shared" si="3"/>
        <v>58.706756222898974</v>
      </c>
      <c r="W13" s="33"/>
      <c r="X13" s="48">
        <f t="shared" si="4"/>
        <v>57.977332419543714</v>
      </c>
      <c r="Y13" s="48">
        <f t="shared" si="5"/>
        <v>58.706756222898974</v>
      </c>
      <c r="Z13" s="48">
        <f t="shared" si="6"/>
        <v>58.524400272060163</v>
      </c>
      <c r="AA13" s="33"/>
      <c r="AB13" s="48">
        <f>Controls!$F$17*Z13</f>
        <v>49.494268226014448</v>
      </c>
      <c r="AC13" s="48">
        <f>-(INDEX(Controls!$G$20:$G$24,MATCH($C13,Controls!$C$20:$C$24,0),0))*$Z13</f>
        <v>0</v>
      </c>
      <c r="AD13" s="59">
        <f t="shared" si="7"/>
        <v>49.494268226014448</v>
      </c>
      <c r="AE13" s="33"/>
      <c r="AG13" s="89" t="s">
        <v>34</v>
      </c>
      <c r="AH13" s="90">
        <f>SUMIF('BP costs'!$B$7:$B$91,$AG13,'BP costs'!D$7:D$91)</f>
        <v>159.76399999999998</v>
      </c>
      <c r="AI13" s="90">
        <f t="shared" si="8"/>
        <v>166.73847952080317</v>
      </c>
      <c r="AJ13" s="15">
        <f t="shared" si="9"/>
        <v>0.95817114597153918</v>
      </c>
    </row>
    <row r="14" spans="1:36" x14ac:dyDescent="0.3">
      <c r="A14" s="12" t="s">
        <v>63</v>
      </c>
      <c r="B14" s="12" t="str">
        <f t="shared" si="0"/>
        <v>NES</v>
      </c>
      <c r="C14" s="12">
        <v>2023</v>
      </c>
      <c r="D14" s="99">
        <f>EXP(Coeffs!$D$13+(Coeffs!$D$6*Drivers!F12)+(Coeffs!$D$7*Drivers!G12))</f>
        <v>17.699041104019759</v>
      </c>
      <c r="E14" s="58">
        <f>EXP(Coeffs!$E$13+(Coeffs!$E$6*Drivers!F12)+(Coeffs!$E$7*Drivers!G12)+(Coeffs!$E$8*Drivers!D12))</f>
        <v>17.438078080349694</v>
      </c>
      <c r="F14" s="58">
        <f>EXP(Coeffs!$F$13+(Coeffs!$F$9*Drivers!E12)+(Coeffs!$F$10*Drivers!H12))</f>
        <v>11.829724194194336</v>
      </c>
      <c r="G14" s="58">
        <f>EXP(Coeffs!$G$13+(Coeffs!$G$9*Drivers!E12)+(Coeffs!$G$11*Drivers!I12)+(Coeffs!$G$12*Drivers!J12))</f>
        <v>12.004343643646799</v>
      </c>
      <c r="H14" s="58">
        <f>EXP(Coeffs!$H$13+(Coeffs!$H$7*Drivers!G12)+(Coeffs!$H$9*Drivers!E12)+(Coeffs!$H$10*Drivers!H12))</f>
        <v>30.109233688847347</v>
      </c>
      <c r="I14" s="58">
        <f>EXP(Coeffs!$I$13+(Coeffs!$I$7*Drivers!G12)+(Coeffs!$I$8*Drivers!D12)+(Coeffs!$I$9*Drivers!E12)+(Coeffs!$I$10*Drivers!H12))</f>
        <v>29.530741283179509</v>
      </c>
      <c r="J14" s="58">
        <f>EXP(Coeffs!$J$13+(Coeffs!$J$7*Drivers!G12)+(Coeffs!$J$8*Drivers!D12)+(Coeffs!$J$9*Drivers!E12)+(Coeffs!$J$11*Drivers!I12)+(Coeffs!$J$12*Drivers!J12))</f>
        <v>29.731865431502268</v>
      </c>
      <c r="K14" s="33"/>
      <c r="L14" s="58">
        <f xml:space="preserve"> (D14 *Drivers!$L12 * 1000 / 1000000)</f>
        <v>35.245038599613061</v>
      </c>
      <c r="M14" s="58">
        <f xml:space="preserve"> (E14 *Drivers!$L12 * 1000 / 1000000)</f>
        <v>34.725369099538611</v>
      </c>
      <c r="N14" s="158">
        <f xml:space="preserve"> (F14 *Drivers!$L12 * 1000 / 1000000)</f>
        <v>23.557156763281473</v>
      </c>
      <c r="O14" s="158">
        <f xml:space="preserve"> (G14 *Drivers!$L12 * 1000 / 1000000)</f>
        <v>23.904885727806985</v>
      </c>
      <c r="P14" s="158">
        <f xml:space="preserve"> (H14 *Drivers!$L12 * 1000 / 1000000)</f>
        <v>59.958112833987229</v>
      </c>
      <c r="Q14" s="158">
        <f xml:space="preserve"> (I14 *Drivers!$L12 * 1000 / 1000000)</f>
        <v>58.806130246483363</v>
      </c>
      <c r="R14" s="158">
        <f xml:space="preserve"> (J14 *Drivers!$L12 * 1000 / 1000000)</f>
        <v>59.206639422618338</v>
      </c>
      <c r="S14" s="33"/>
      <c r="T14" s="58">
        <f t="shared" si="1"/>
        <v>34.985203849575839</v>
      </c>
      <c r="U14" s="58">
        <f t="shared" si="2"/>
        <v>23.731021245544227</v>
      </c>
      <c r="V14" s="48">
        <f t="shared" si="3"/>
        <v>59.323627501029641</v>
      </c>
      <c r="W14" s="33"/>
      <c r="X14" s="48">
        <f t="shared" si="4"/>
        <v>58.716225095120066</v>
      </c>
      <c r="Y14" s="48">
        <f t="shared" si="5"/>
        <v>59.323627501029641</v>
      </c>
      <c r="Z14" s="48">
        <f t="shared" si="6"/>
        <v>59.171776899552242</v>
      </c>
      <c r="AA14" s="33"/>
      <c r="AB14" s="48">
        <f>Controls!$F$17*Z14</f>
        <v>50.041756663237138</v>
      </c>
      <c r="AC14" s="48">
        <f>-(INDEX(Controls!$G$20:$G$24,MATCH($C14,Controls!$C$20:$C$24,0),0))*$Z14</f>
        <v>0</v>
      </c>
      <c r="AD14" s="59">
        <f t="shared" si="7"/>
        <v>50.041756663237138</v>
      </c>
      <c r="AE14" s="33"/>
      <c r="AG14" s="89" t="s">
        <v>24</v>
      </c>
      <c r="AH14" s="90">
        <f>SUMIF('BP costs'!$B$7:$B$91,$AG14,'BP costs'!D$7:D$91)</f>
        <v>860.56995406368571</v>
      </c>
      <c r="AI14" s="90">
        <f t="shared" si="8"/>
        <v>891.57637040043369</v>
      </c>
      <c r="AJ14" s="15">
        <f t="shared" si="9"/>
        <v>0.96522292720384451</v>
      </c>
    </row>
    <row r="15" spans="1:36" x14ac:dyDescent="0.3">
      <c r="A15" s="12" t="s">
        <v>64</v>
      </c>
      <c r="B15" s="12" t="str">
        <f t="shared" si="0"/>
        <v>NES</v>
      </c>
      <c r="C15" s="12">
        <v>2024</v>
      </c>
      <c r="D15" s="99">
        <f>EXP(Coeffs!$D$13+(Coeffs!$D$6*Drivers!F13)+(Coeffs!$D$7*Drivers!G13))</f>
        <v>17.91412951557821</v>
      </c>
      <c r="E15" s="58">
        <f>EXP(Coeffs!$E$13+(Coeffs!$E$6*Drivers!F13)+(Coeffs!$E$7*Drivers!G13)+(Coeffs!$E$8*Drivers!D13))</f>
        <v>17.641311377726446</v>
      </c>
      <c r="F15" s="58">
        <f>EXP(Coeffs!$F$13+(Coeffs!$F$9*Drivers!E13)+(Coeffs!$F$10*Drivers!H13))</f>
        <v>11.713657177558577</v>
      </c>
      <c r="G15" s="58">
        <f>EXP(Coeffs!$G$13+(Coeffs!$G$9*Drivers!E13)+(Coeffs!$G$11*Drivers!I13)+(Coeffs!$G$12*Drivers!J13))</f>
        <v>11.889683770713724</v>
      </c>
      <c r="H15" s="58">
        <f>EXP(Coeffs!$H$13+(Coeffs!$H$7*Drivers!G13)+(Coeffs!$H$9*Drivers!E13)+(Coeffs!$H$10*Drivers!H13))</f>
        <v>30.18994194605833</v>
      </c>
      <c r="I15" s="58">
        <f>EXP(Coeffs!$I$13+(Coeffs!$I$7*Drivers!G13)+(Coeffs!$I$8*Drivers!D13)+(Coeffs!$I$9*Drivers!E13)+(Coeffs!$I$10*Drivers!H13))</f>
        <v>29.613160082884811</v>
      </c>
      <c r="J15" s="58">
        <f>EXP(Coeffs!$J$13+(Coeffs!$J$7*Drivers!G13)+(Coeffs!$J$8*Drivers!D13)+(Coeffs!$J$9*Drivers!E13)+(Coeffs!$J$11*Drivers!I13)+(Coeffs!$J$12*Drivers!J13))</f>
        <v>29.650176794455138</v>
      </c>
      <c r="K15" s="33"/>
      <c r="L15" s="58">
        <f xml:space="preserve"> (D15 *Drivers!$L13 * 1000 / 1000000)</f>
        <v>35.99004153481161</v>
      </c>
      <c r="M15" s="58">
        <f xml:space="preserve"> (E15 *Drivers!$L13 * 1000 / 1000000)</f>
        <v>35.441941438505133</v>
      </c>
      <c r="N15" s="58">
        <f xml:space="preserve"> (F15 *Drivers!$L13 * 1000 / 1000000)</f>
        <v>23.533100393087686</v>
      </c>
      <c r="O15" s="58">
        <f xml:space="preserve"> (G15 *Drivers!$L13 * 1000 / 1000000)</f>
        <v>23.886743275560764</v>
      </c>
      <c r="P15" s="58">
        <f xml:space="preserve"> (H15 *Drivers!$L13 * 1000 / 1000000)</f>
        <v>60.652529257831517</v>
      </c>
      <c r="Q15" s="58">
        <f xml:space="preserve"> (I15 *Drivers!$L13 * 1000 / 1000000)</f>
        <v>59.493756614478151</v>
      </c>
      <c r="R15" s="58">
        <f xml:space="preserve"> (J15 *Drivers!$L13 * 1000 / 1000000)</f>
        <v>59.568124335540993</v>
      </c>
      <c r="S15" s="33"/>
      <c r="T15" s="58">
        <f t="shared" si="1"/>
        <v>35.715991486658368</v>
      </c>
      <c r="U15" s="58">
        <f t="shared" si="2"/>
        <v>23.709921834324227</v>
      </c>
      <c r="V15" s="48">
        <f t="shared" si="3"/>
        <v>59.904803402616885</v>
      </c>
      <c r="W15" s="33"/>
      <c r="X15" s="48">
        <f t="shared" si="4"/>
        <v>59.425913320982595</v>
      </c>
      <c r="Y15" s="48">
        <f t="shared" si="5"/>
        <v>59.904803402616885</v>
      </c>
      <c r="Z15" s="48">
        <f t="shared" si="6"/>
        <v>59.785080882208312</v>
      </c>
      <c r="AA15" s="33"/>
      <c r="AB15" s="48">
        <f>Controls!$F$17*Z15</f>
        <v>50.560429758229176</v>
      </c>
      <c r="AC15" s="48">
        <f>-(INDEX(Controls!$G$20:$G$24,MATCH($C15,Controls!$C$20:$C$24,0),0))*$Z15</f>
        <v>0</v>
      </c>
      <c r="AD15" s="59">
        <f t="shared" si="7"/>
        <v>50.560429758229176</v>
      </c>
      <c r="AE15" s="33"/>
      <c r="AG15" s="89" t="s">
        <v>40</v>
      </c>
      <c r="AH15" s="90">
        <f>SUMIF('BP costs'!$B$7:$B$91,$AG15,'BP costs'!D$7:D$91)</f>
        <v>268.10599999999999</v>
      </c>
      <c r="AI15" s="90">
        <f t="shared" si="8"/>
        <v>239.73338823171417</v>
      </c>
      <c r="AJ15" s="15">
        <f t="shared" si="9"/>
        <v>1.1183506893952639</v>
      </c>
    </row>
    <row r="16" spans="1:36" x14ac:dyDescent="0.3">
      <c r="A16" s="12" t="s">
        <v>65</v>
      </c>
      <c r="B16" s="12" t="str">
        <f t="shared" si="0"/>
        <v>NES</v>
      </c>
      <c r="C16" s="12">
        <v>2025</v>
      </c>
      <c r="D16" s="99">
        <f>EXP(Coeffs!$D$13+(Coeffs!$D$6*Drivers!F14)+(Coeffs!$D$7*Drivers!G14))</f>
        <v>18.125263967699581</v>
      </c>
      <c r="E16" s="58">
        <f>EXP(Coeffs!$E$13+(Coeffs!$E$6*Drivers!F14)+(Coeffs!$E$7*Drivers!G14)+(Coeffs!$E$8*Drivers!D14))</f>
        <v>17.840599933737497</v>
      </c>
      <c r="F16" s="58">
        <f>EXP(Coeffs!$F$13+(Coeffs!$F$9*Drivers!E14)+(Coeffs!$F$10*Drivers!H14))</f>
        <v>11.598537144285528</v>
      </c>
      <c r="G16" s="58">
        <f>EXP(Coeffs!$G$13+(Coeffs!$G$9*Drivers!E14)+(Coeffs!$G$11*Drivers!I14)+(Coeffs!$G$12*Drivers!J14))</f>
        <v>11.775929520879297</v>
      </c>
      <c r="H16" s="58">
        <f>EXP(Coeffs!$H$13+(Coeffs!$H$7*Drivers!G14)+(Coeffs!$H$9*Drivers!E14)+(Coeffs!$H$10*Drivers!H14))</f>
        <v>30.264797381767675</v>
      </c>
      <c r="I16" s="58">
        <f>EXP(Coeffs!$I$13+(Coeffs!$I$7*Drivers!G14)+(Coeffs!$I$8*Drivers!D14)+(Coeffs!$I$9*Drivers!E14)+(Coeffs!$I$10*Drivers!H14))</f>
        <v>29.688941607598831</v>
      </c>
      <c r="J16" s="58">
        <f>EXP(Coeffs!$J$13+(Coeffs!$J$7*Drivers!G14)+(Coeffs!$J$8*Drivers!D14)+(Coeffs!$J$9*Drivers!E14)+(Coeffs!$J$11*Drivers!I14)+(Coeffs!$J$12*Drivers!J14))</f>
        <v>29.565913205373786</v>
      </c>
      <c r="K16" s="33"/>
      <c r="L16" s="58">
        <f xml:space="preserve"> (D16 *Drivers!$L14 * 1000 / 1000000)</f>
        <v>36.73369309698613</v>
      </c>
      <c r="M16" s="58">
        <f xml:space="preserve"> (E16 *Drivers!$L14 * 1000 / 1000000)</f>
        <v>36.156776739908636</v>
      </c>
      <c r="N16" s="58">
        <f xml:space="preserve"> (F16 *Drivers!$L14 * 1000 / 1000000)</f>
        <v>23.506256493226275</v>
      </c>
      <c r="O16" s="58">
        <f xml:space="preserve"> (G16 *Drivers!$L14 * 1000 / 1000000)</f>
        <v>23.865769994996676</v>
      </c>
      <c r="P16" s="58">
        <f xml:space="preserve"> (H16 *Drivers!$L14 * 1000 / 1000000)</f>
        <v>61.33636346734113</v>
      </c>
      <c r="Q16" s="58">
        <f xml:space="preserve"> (I16 *Drivers!$L14 * 1000 / 1000000)</f>
        <v>60.169301331631424</v>
      </c>
      <c r="R16" s="58">
        <f xml:space="preserve"> (J16 *Drivers!$L14 * 1000 / 1000000)</f>
        <v>59.919964959063215</v>
      </c>
      <c r="S16" s="33"/>
      <c r="T16" s="58">
        <f t="shared" si="1"/>
        <v>36.445234918447383</v>
      </c>
      <c r="U16" s="58">
        <f t="shared" si="2"/>
        <v>23.686013244111475</v>
      </c>
      <c r="V16" s="48">
        <f t="shared" si="3"/>
        <v>60.475209919345247</v>
      </c>
      <c r="W16" s="33"/>
      <c r="X16" s="48">
        <f t="shared" si="4"/>
        <v>60.131248162558862</v>
      </c>
      <c r="Y16" s="48">
        <f t="shared" si="5"/>
        <v>60.475209919345247</v>
      </c>
      <c r="Z16" s="48">
        <f t="shared" si="6"/>
        <v>60.389219480148654</v>
      </c>
      <c r="AA16" s="33"/>
      <c r="AB16" s="48">
        <f>Controls!$F$17*Z16</f>
        <v>51.071351658721042</v>
      </c>
      <c r="AC16" s="48">
        <f>-(INDEX(Controls!$G$20:$G$24,MATCH($C16,Controls!$C$20:$C$24,0),0))*$Z16</f>
        <v>0</v>
      </c>
      <c r="AD16" s="59">
        <f t="shared" si="7"/>
        <v>51.071351658721042</v>
      </c>
      <c r="AE16" s="33"/>
      <c r="AG16" s="89" t="s">
        <v>25</v>
      </c>
      <c r="AH16" s="90">
        <f>SUMIF('BP costs'!$B$7:$B$91,$AG16,'BP costs'!D$7:D$91)</f>
        <v>164.131</v>
      </c>
      <c r="AI16" s="90">
        <f t="shared" si="8"/>
        <v>169.21810273263139</v>
      </c>
      <c r="AJ16" s="15">
        <f t="shared" si="9"/>
        <v>0.96993759739364804</v>
      </c>
    </row>
    <row r="17" spans="1:36" x14ac:dyDescent="0.3">
      <c r="A17" s="12" t="s">
        <v>66</v>
      </c>
      <c r="B17" s="12" t="str">
        <f t="shared" si="0"/>
        <v>NWT</v>
      </c>
      <c r="C17" s="12">
        <v>2021</v>
      </c>
      <c r="D17" s="99">
        <f>EXP(Coeffs!$D$13+(Coeffs!$D$6*Drivers!F15)+(Coeffs!$D$7*Drivers!G15))</f>
        <v>17.771668943704107</v>
      </c>
      <c r="E17" s="58">
        <f>EXP(Coeffs!$E$13+(Coeffs!$E$6*Drivers!F15)+(Coeffs!$E$7*Drivers!G15)+(Coeffs!$E$8*Drivers!D15))</f>
        <v>17.741787860513266</v>
      </c>
      <c r="F17" s="58">
        <f>EXP(Coeffs!$F$13+(Coeffs!$F$9*Drivers!E15)+(Coeffs!$F$10*Drivers!H15))</f>
        <v>20.257502531253401</v>
      </c>
      <c r="G17" s="58">
        <f>EXP(Coeffs!$G$13+(Coeffs!$G$9*Drivers!E15)+(Coeffs!$G$11*Drivers!I15)+(Coeffs!$G$12*Drivers!J15))</f>
        <v>19.177240610388573</v>
      </c>
      <c r="H17" s="58">
        <f>EXP(Coeffs!$H$13+(Coeffs!$H$7*Drivers!G15)+(Coeffs!$H$9*Drivers!E15)+(Coeffs!$H$10*Drivers!H15))</f>
        <v>35.775316524247899</v>
      </c>
      <c r="I17" s="58">
        <f>EXP(Coeffs!$I$13+(Coeffs!$I$7*Drivers!G15)+(Coeffs!$I$8*Drivers!D15)+(Coeffs!$I$9*Drivers!E15)+(Coeffs!$I$10*Drivers!H15))</f>
        <v>35.262643646026142</v>
      </c>
      <c r="J17" s="58">
        <f>EXP(Coeffs!$J$13+(Coeffs!$J$7*Drivers!G15)+(Coeffs!$J$8*Drivers!D15)+(Coeffs!$J$9*Drivers!E15)+(Coeffs!$J$11*Drivers!I15)+(Coeffs!$J$12*Drivers!J15))</f>
        <v>36.828850978802329</v>
      </c>
      <c r="K17" s="33"/>
      <c r="L17" s="58">
        <f xml:space="preserve"> (D17 *Drivers!$L15 * 1000 / 1000000)</f>
        <v>54.066536121003097</v>
      </c>
      <c r="M17" s="58">
        <f xml:space="preserve"> (E17 *Drivers!$L15 * 1000 / 1000000)</f>
        <v>53.975629258581229</v>
      </c>
      <c r="N17" s="58">
        <f xml:space="preserve"> (F17 *Drivers!$L15 * 1000 / 1000000)</f>
        <v>61.629157947787128</v>
      </c>
      <c r="O17" s="58">
        <f xml:space="preserve"> (G17 *Drivers!$L15 * 1000 / 1000000)</f>
        <v>58.34269001111798</v>
      </c>
      <c r="P17" s="58">
        <f xml:space="preserve"> (H17 *Drivers!$L15 * 1000 / 1000000)</f>
        <v>108.83881807756754</v>
      </c>
      <c r="Q17" s="58">
        <f xml:space="preserve"> (I17 *Drivers!$L15 * 1000 / 1000000)</f>
        <v>107.27911950471881</v>
      </c>
      <c r="R17" s="58">
        <f xml:space="preserve"> (J17 *Drivers!$L15 * 1000 / 1000000)</f>
        <v>112.04397336277599</v>
      </c>
      <c r="S17" s="33"/>
      <c r="T17" s="58">
        <f t="shared" si="1"/>
        <v>54.021082689792166</v>
      </c>
      <c r="U17" s="58">
        <f t="shared" si="2"/>
        <v>59.985923979452551</v>
      </c>
      <c r="V17" s="48">
        <f t="shared" si="3"/>
        <v>109.38730364835411</v>
      </c>
      <c r="W17" s="33"/>
      <c r="X17" s="48">
        <f t="shared" si="4"/>
        <v>114.00700666924472</v>
      </c>
      <c r="Y17" s="48">
        <f t="shared" si="5"/>
        <v>109.38730364835411</v>
      </c>
      <c r="Z17" s="48">
        <f t="shared" si="6"/>
        <v>110.54222940357677</v>
      </c>
      <c r="AA17" s="33"/>
      <c r="AB17" s="48">
        <f>Controls!$F$17*Z17</f>
        <v>93.485908902414337</v>
      </c>
      <c r="AC17" s="48">
        <f>-(INDEX(Controls!$G$20:$G$24,MATCH($C17,Controls!$C$20:$C$24,0),0))*$Z17</f>
        <v>0</v>
      </c>
      <c r="AD17" s="59">
        <f t="shared" si="7"/>
        <v>93.485908902414337</v>
      </c>
      <c r="AE17" s="33"/>
      <c r="AG17" s="89" t="s">
        <v>26</v>
      </c>
      <c r="AH17" s="90">
        <f>SUMIF('BP costs'!$B$7:$B$91,$AG17,'BP costs'!D$7:D$91)</f>
        <v>273.18634639456525</v>
      </c>
      <c r="AI17" s="90">
        <f t="shared" si="8"/>
        <v>380.59910992041955</v>
      </c>
      <c r="AJ17" s="15">
        <f t="shared" si="9"/>
        <v>0.71777978264764331</v>
      </c>
    </row>
    <row r="18" spans="1:36" x14ac:dyDescent="0.3">
      <c r="A18" s="12" t="s">
        <v>67</v>
      </c>
      <c r="B18" s="12" t="str">
        <f t="shared" si="0"/>
        <v>NWT</v>
      </c>
      <c r="C18" s="12">
        <v>2022</v>
      </c>
      <c r="D18" s="99">
        <f>EXP(Coeffs!$D$13+(Coeffs!$D$6*Drivers!F16)+(Coeffs!$D$7*Drivers!G16))</f>
        <v>17.964233754380828</v>
      </c>
      <c r="E18" s="58">
        <f>EXP(Coeffs!$E$13+(Coeffs!$E$6*Drivers!F16)+(Coeffs!$E$7*Drivers!G16)+(Coeffs!$E$8*Drivers!D16))</f>
        <v>17.926458629526916</v>
      </c>
      <c r="F18" s="58">
        <f>EXP(Coeffs!$F$13+(Coeffs!$F$9*Drivers!E16)+(Coeffs!$F$10*Drivers!H16))</f>
        <v>20.13951013532327</v>
      </c>
      <c r="G18" s="58">
        <f>EXP(Coeffs!$G$13+(Coeffs!$G$9*Drivers!E16)+(Coeffs!$G$11*Drivers!I16)+(Coeffs!$G$12*Drivers!J16))</f>
        <v>19.068505474513465</v>
      </c>
      <c r="H18" s="58">
        <f>EXP(Coeffs!$H$13+(Coeffs!$H$7*Drivers!G16)+(Coeffs!$H$9*Drivers!E16)+(Coeffs!$H$10*Drivers!H16))</f>
        <v>35.90169202648476</v>
      </c>
      <c r="I18" s="58">
        <f>EXP(Coeffs!$I$13+(Coeffs!$I$7*Drivers!G16)+(Coeffs!$I$8*Drivers!D16)+(Coeffs!$I$9*Drivers!E16)+(Coeffs!$I$10*Drivers!H16))</f>
        <v>35.397586311818401</v>
      </c>
      <c r="J18" s="58">
        <f>EXP(Coeffs!$J$13+(Coeffs!$J$7*Drivers!G16)+(Coeffs!$J$8*Drivers!D16)+(Coeffs!$J$9*Drivers!E16)+(Coeffs!$J$11*Drivers!I16)+(Coeffs!$J$12*Drivers!J16))</f>
        <v>36.795520287631476</v>
      </c>
      <c r="K18" s="33"/>
      <c r="L18" s="58">
        <f xml:space="preserve"> (D18 *Drivers!$L16 * 1000 / 1000000)</f>
        <v>55.061080879060626</v>
      </c>
      <c r="M18" s="58">
        <f xml:space="preserve"> (E18 *Drivers!$L16 * 1000 / 1000000)</f>
        <v>54.945298640127639</v>
      </c>
      <c r="N18" s="58">
        <f xml:space="preserve"> (F18 *Drivers!$L16 * 1000 / 1000000)</f>
        <v>61.728388284597685</v>
      </c>
      <c r="O18" s="58">
        <f xml:space="preserve"> (G18 *Drivers!$L16 * 1000 / 1000000)</f>
        <v>58.445717002483093</v>
      </c>
      <c r="P18" s="58">
        <f xml:space="preserve"> (H18 *Drivers!$L16 * 1000 / 1000000)</f>
        <v>110.04009385500991</v>
      </c>
      <c r="Q18" s="58">
        <f xml:space="preserve"> (I18 *Drivers!$L16 * 1000 / 1000000)</f>
        <v>108.49499007232994</v>
      </c>
      <c r="R18" s="58">
        <f xml:space="preserve"> (J18 *Drivers!$L16 * 1000 / 1000000)</f>
        <v>112.77971252463379</v>
      </c>
      <c r="S18" s="33"/>
      <c r="T18" s="58">
        <f t="shared" si="1"/>
        <v>55.003189759594136</v>
      </c>
      <c r="U18" s="58">
        <f t="shared" si="2"/>
        <v>60.087052643540389</v>
      </c>
      <c r="V18" s="48">
        <f t="shared" si="3"/>
        <v>110.4382654839912</v>
      </c>
      <c r="W18" s="33"/>
      <c r="X18" s="48">
        <f t="shared" si="4"/>
        <v>115.09024240313452</v>
      </c>
      <c r="Y18" s="48">
        <f t="shared" si="5"/>
        <v>110.4382654839912</v>
      </c>
      <c r="Z18" s="48">
        <f t="shared" si="6"/>
        <v>111.60125971377704</v>
      </c>
      <c r="AA18" s="33"/>
      <c r="AB18" s="48">
        <f>Controls!$F$17*Z18</f>
        <v>94.381534145712308</v>
      </c>
      <c r="AC18" s="48">
        <f>-(INDEX(Controls!$G$20:$G$24,MATCH($C18,Controls!$C$20:$C$24,0),0))*$Z18</f>
        <v>0</v>
      </c>
      <c r="AD18" s="59">
        <f t="shared" si="7"/>
        <v>94.381534145712308</v>
      </c>
      <c r="AE18" s="33"/>
      <c r="AG18" s="89" t="s">
        <v>27</v>
      </c>
      <c r="AH18" s="90">
        <f>SUMIF('BP costs'!$B$7:$B$91,$AG18,'BP costs'!D$7:D$91)</f>
        <v>145.45699999999999</v>
      </c>
      <c r="AI18" s="90">
        <f t="shared" si="8"/>
        <v>168.15061765631964</v>
      </c>
      <c r="AJ18" s="15">
        <f t="shared" si="9"/>
        <v>0.86503993876072005</v>
      </c>
    </row>
    <row r="19" spans="1:36" x14ac:dyDescent="0.3">
      <c r="A19" s="12" t="s">
        <v>68</v>
      </c>
      <c r="B19" s="12" t="str">
        <f t="shared" si="0"/>
        <v>NWT</v>
      </c>
      <c r="C19" s="12">
        <v>2023</v>
      </c>
      <c r="D19" s="99">
        <f>EXP(Coeffs!$D$13+(Coeffs!$D$6*Drivers!F17)+(Coeffs!$D$7*Drivers!G17))</f>
        <v>18.156437136555869</v>
      </c>
      <c r="E19" s="58">
        <f>EXP(Coeffs!$E$13+(Coeffs!$E$6*Drivers!F17)+(Coeffs!$E$7*Drivers!G17)+(Coeffs!$E$8*Drivers!D17))</f>
        <v>18.110444627376978</v>
      </c>
      <c r="F19" s="58">
        <f>EXP(Coeffs!$F$13+(Coeffs!$F$9*Drivers!E17)+(Coeffs!$F$10*Drivers!H17))</f>
        <v>19.788911497208062</v>
      </c>
      <c r="G19" s="58">
        <f>EXP(Coeffs!$G$13+(Coeffs!$G$9*Drivers!E17)+(Coeffs!$G$11*Drivers!I17)+(Coeffs!$G$12*Drivers!J17))</f>
        <v>18.745313078727015</v>
      </c>
      <c r="H19" s="58">
        <f>EXP(Coeffs!$H$13+(Coeffs!$H$7*Drivers!G17)+(Coeffs!$H$9*Drivers!E17)+(Coeffs!$H$10*Drivers!H17))</f>
        <v>35.863712296046785</v>
      </c>
      <c r="I19" s="58">
        <f>EXP(Coeffs!$I$13+(Coeffs!$I$7*Drivers!G17)+(Coeffs!$I$8*Drivers!D17)+(Coeffs!$I$9*Drivers!E17)+(Coeffs!$I$10*Drivers!H17))</f>
        <v>35.345724887419948</v>
      </c>
      <c r="J19" s="58">
        <f>EXP(Coeffs!$J$13+(Coeffs!$J$7*Drivers!G17)+(Coeffs!$J$8*Drivers!D17)+(Coeffs!$J$9*Drivers!E17)+(Coeffs!$J$11*Drivers!I17)+(Coeffs!$J$12*Drivers!J17))</f>
        <v>36.541862264660324</v>
      </c>
      <c r="K19" s="33"/>
      <c r="L19" s="58">
        <f xml:space="preserve"> (D19 *Drivers!$L17 * 1000 / 1000000)</f>
        <v>56.081967591633308</v>
      </c>
      <c r="M19" s="58">
        <f xml:space="preserve"> (E19 *Drivers!$L17 * 1000 / 1000000)</f>
        <v>55.939905005795076</v>
      </c>
      <c r="N19" s="58">
        <f xml:space="preserve"> (F19 *Drivers!$L17 * 1000 / 1000000)</f>
        <v>61.124387175370828</v>
      </c>
      <c r="O19" s="58">
        <f xml:space="preserve"> (G19 *Drivers!$L17 * 1000 / 1000000)</f>
        <v>57.900899425888504</v>
      </c>
      <c r="P19" s="58">
        <f xml:space="preserve"> (H19 *Drivers!$L17 * 1000 / 1000000)</f>
        <v>110.77655464975689</v>
      </c>
      <c r="Q19" s="58">
        <f xml:space="preserve"> (I19 *Drivers!$L17 * 1000 / 1000000)</f>
        <v>109.17658474128866</v>
      </c>
      <c r="R19" s="58">
        <f xml:space="preserve"> (J19 *Drivers!$L17 * 1000 / 1000000)</f>
        <v>112.87123788942613</v>
      </c>
      <c r="S19" s="33"/>
      <c r="T19" s="58">
        <f t="shared" si="1"/>
        <v>56.010936298714192</v>
      </c>
      <c r="U19" s="58">
        <f t="shared" si="2"/>
        <v>59.512643300629662</v>
      </c>
      <c r="V19" s="48">
        <f t="shared" si="3"/>
        <v>110.94145909349056</v>
      </c>
      <c r="W19" s="33"/>
      <c r="X19" s="48">
        <f t="shared" si="4"/>
        <v>115.52357959934386</v>
      </c>
      <c r="Y19" s="48">
        <f t="shared" si="5"/>
        <v>110.94145909349056</v>
      </c>
      <c r="Z19" s="48">
        <f t="shared" si="6"/>
        <v>112.08698921995389</v>
      </c>
      <c r="AA19" s="33"/>
      <c r="AB19" s="48">
        <f>Controls!$F$17*Z19</f>
        <v>94.792317107216377</v>
      </c>
      <c r="AC19" s="48">
        <f>-(INDEX(Controls!$G$20:$G$24,MATCH($C19,Controls!$C$20:$C$24,0),0))*$Z19</f>
        <v>0</v>
      </c>
      <c r="AD19" s="59">
        <f t="shared" si="7"/>
        <v>94.792317107216377</v>
      </c>
      <c r="AE19" s="33"/>
      <c r="AG19" s="89" t="s">
        <v>28</v>
      </c>
      <c r="AH19" s="90">
        <f>SUMIF('BP costs'!$B$7:$B$91,$AG19,'BP costs'!D$7:D$91)</f>
        <v>49.988</v>
      </c>
      <c r="AI19" s="90">
        <f t="shared" si="8"/>
        <v>60.087428910595193</v>
      </c>
      <c r="AJ19" s="15">
        <f t="shared" si="9"/>
        <v>0.83192110074101766</v>
      </c>
    </row>
    <row r="20" spans="1:36" x14ac:dyDescent="0.3">
      <c r="A20" s="12" t="s">
        <v>69</v>
      </c>
      <c r="B20" s="12" t="str">
        <f t="shared" si="0"/>
        <v>NWT</v>
      </c>
      <c r="C20" s="12">
        <v>2024</v>
      </c>
      <c r="D20" s="99">
        <f>EXP(Coeffs!$D$13+(Coeffs!$D$6*Drivers!F18)+(Coeffs!$D$7*Drivers!G18))</f>
        <v>18.347725030647435</v>
      </c>
      <c r="E20" s="58">
        <f>EXP(Coeffs!$E$13+(Coeffs!$E$6*Drivers!F18)+(Coeffs!$E$7*Drivers!G18)+(Coeffs!$E$8*Drivers!D18))</f>
        <v>18.293200209149031</v>
      </c>
      <c r="F20" s="58">
        <f>EXP(Coeffs!$F$13+(Coeffs!$F$9*Drivers!E18)+(Coeffs!$F$10*Drivers!H18))</f>
        <v>19.581366286652997</v>
      </c>
      <c r="G20" s="58">
        <f>EXP(Coeffs!$G$13+(Coeffs!$G$9*Drivers!E18)+(Coeffs!$G$11*Drivers!I18)+(Coeffs!$G$12*Drivers!J18))</f>
        <v>18.553919977374754</v>
      </c>
      <c r="H20" s="58">
        <f>EXP(Coeffs!$H$13+(Coeffs!$H$7*Drivers!G18)+(Coeffs!$H$9*Drivers!E18)+(Coeffs!$H$10*Drivers!H18))</f>
        <v>35.919595120296854</v>
      </c>
      <c r="I20" s="58">
        <f>EXP(Coeffs!$I$13+(Coeffs!$I$7*Drivers!G18)+(Coeffs!$I$8*Drivers!D18)+(Coeffs!$I$9*Drivers!E18)+(Coeffs!$I$10*Drivers!H18))</f>
        <v>35.399457840347324</v>
      </c>
      <c r="J20" s="58">
        <f>EXP(Coeffs!$J$13+(Coeffs!$J$7*Drivers!G18)+(Coeffs!$J$8*Drivers!D18)+(Coeffs!$J$9*Drivers!E18)+(Coeffs!$J$11*Drivers!I18)+(Coeffs!$J$12*Drivers!J18))</f>
        <v>36.416590079643747</v>
      </c>
      <c r="K20" s="33"/>
      <c r="L20" s="58">
        <f xml:space="preserve"> (D20 *Drivers!$L18 * 1000 / 1000000)</f>
        <v>57.128019950892721</v>
      </c>
      <c r="M20" s="58">
        <f xml:space="preserve"> (E20 *Drivers!$L18 * 1000 / 1000000)</f>
        <v>56.958249852137875</v>
      </c>
      <c r="N20" s="58">
        <f xml:space="preserve"> (F20 *Drivers!$L18 * 1000 / 1000000)</f>
        <v>60.969121895008968</v>
      </c>
      <c r="O20" s="58">
        <f xml:space="preserve"> (G20 *Drivers!$L18 * 1000 / 1000000)</f>
        <v>57.770034642672513</v>
      </c>
      <c r="P20" s="58">
        <f xml:space="preserve"> (H20 *Drivers!$L18 * 1000 / 1000000)</f>
        <v>111.84031498361179</v>
      </c>
      <c r="Q20" s="58">
        <f xml:space="preserve"> (I20 *Drivers!$L18 * 1000 / 1000000)</f>
        <v>110.22080014694808</v>
      </c>
      <c r="R20" s="58">
        <f xml:space="preserve"> (J20 *Drivers!$L18 * 1000 / 1000000)</f>
        <v>113.38777320557864</v>
      </c>
      <c r="S20" s="33"/>
      <c r="T20" s="58">
        <f t="shared" si="1"/>
        <v>57.043134901515302</v>
      </c>
      <c r="U20" s="58">
        <f t="shared" si="2"/>
        <v>59.369578268840741</v>
      </c>
      <c r="V20" s="48">
        <f t="shared" si="3"/>
        <v>111.81629611204616</v>
      </c>
      <c r="W20" s="33"/>
      <c r="X20" s="48">
        <f t="shared" si="4"/>
        <v>116.41271317035604</v>
      </c>
      <c r="Y20" s="48">
        <f t="shared" si="5"/>
        <v>111.81629611204616</v>
      </c>
      <c r="Z20" s="48">
        <f t="shared" si="6"/>
        <v>112.96540037662362</v>
      </c>
      <c r="AA20" s="33"/>
      <c r="AB20" s="48">
        <f>Controls!$F$17*Z20</f>
        <v>95.535192167854817</v>
      </c>
      <c r="AC20" s="48">
        <f>-(INDEX(Controls!$G$20:$G$24,MATCH($C20,Controls!$C$20:$C$24,0),0))*$Z20</f>
        <v>0</v>
      </c>
      <c r="AD20" s="59">
        <f t="shared" si="7"/>
        <v>95.535192167854817</v>
      </c>
      <c r="AE20" s="33"/>
      <c r="AG20" s="89" t="s">
        <v>30</v>
      </c>
      <c r="AH20" s="90">
        <f>SUMIF('BP costs'!$B$7:$B$91,$AG20,'BP costs'!D$7:D$91)</f>
        <v>23.706</v>
      </c>
      <c r="AI20" s="90">
        <f t="shared" si="8"/>
        <v>25.221405654815477</v>
      </c>
      <c r="AJ20" s="15">
        <f t="shared" si="9"/>
        <v>0.93991589225614214</v>
      </c>
    </row>
    <row r="21" spans="1:36" x14ac:dyDescent="0.3">
      <c r="A21" s="12" t="s">
        <v>70</v>
      </c>
      <c r="B21" s="12" t="str">
        <f t="shared" si="0"/>
        <v>NWT</v>
      </c>
      <c r="C21" s="12">
        <v>2025</v>
      </c>
      <c r="D21" s="99">
        <f>EXP(Coeffs!$D$13+(Coeffs!$D$6*Drivers!F19)+(Coeffs!$D$7*Drivers!G19))</f>
        <v>18.537725551719099</v>
      </c>
      <c r="E21" s="58">
        <f>EXP(Coeffs!$E$13+(Coeffs!$E$6*Drivers!F19)+(Coeffs!$E$7*Drivers!G19)+(Coeffs!$E$8*Drivers!D19))</f>
        <v>18.47436043015519</v>
      </c>
      <c r="F21" s="58">
        <f>EXP(Coeffs!$F$13+(Coeffs!$F$9*Drivers!E19)+(Coeffs!$F$10*Drivers!H19))</f>
        <v>19.526660963233716</v>
      </c>
      <c r="G21" s="58">
        <f>EXP(Coeffs!$G$13+(Coeffs!$G$9*Drivers!E19)+(Coeffs!$G$11*Drivers!I19)+(Coeffs!$G$12*Drivers!J19))</f>
        <v>18.503463099690311</v>
      </c>
      <c r="H21" s="58">
        <f>EXP(Coeffs!$H$13+(Coeffs!$H$7*Drivers!G19)+(Coeffs!$H$9*Drivers!E19)+(Coeffs!$H$10*Drivers!H19))</f>
        <v>36.079567473026614</v>
      </c>
      <c r="I21" s="58">
        <f>EXP(Coeffs!$I$13+(Coeffs!$I$7*Drivers!G19)+(Coeffs!$I$8*Drivers!D19)+(Coeffs!$I$9*Drivers!E19)+(Coeffs!$I$10*Drivers!H19))</f>
        <v>35.570356319962599</v>
      </c>
      <c r="J21" s="58">
        <f>EXP(Coeffs!$J$13+(Coeffs!$J$7*Drivers!G19)+(Coeffs!$J$8*Drivers!D19)+(Coeffs!$J$9*Drivers!E19)+(Coeffs!$J$11*Drivers!I19)+(Coeffs!$J$12*Drivers!J19))</f>
        <v>36.431694773260062</v>
      </c>
      <c r="K21" s="33"/>
      <c r="L21" s="58">
        <f xml:space="preserve"> (D21 *Drivers!$L19 * 1000 / 1000000)</f>
        <v>58.198563925329552</v>
      </c>
      <c r="M21" s="58">
        <f xml:space="preserve"> (E21 *Drivers!$L19 * 1000 / 1000000)</f>
        <v>57.999631264055402</v>
      </c>
      <c r="N21" s="58">
        <f xml:space="preserve"> (F21 *Drivers!$L19 * 1000 / 1000000)</f>
        <v>61.303293284089449</v>
      </c>
      <c r="O21" s="58">
        <f xml:space="preserve"> (G21 *Drivers!$L19 * 1000 / 1000000)</f>
        <v>58.090998113165988</v>
      </c>
      <c r="P21" s="58">
        <f xml:space="preserve"> (H21 *Drivers!$L19 * 1000 / 1000000)</f>
        <v>113.27058479309815</v>
      </c>
      <c r="Q21" s="58">
        <f xml:space="preserve"> (I21 *Drivers!$L19 * 1000 / 1000000)</f>
        <v>111.67193355832794</v>
      </c>
      <c r="R21" s="58">
        <f xml:space="preserve"> (J21 *Drivers!$L19 * 1000 / 1000000)</f>
        <v>114.37607657175865</v>
      </c>
      <c r="S21" s="33"/>
      <c r="T21" s="58">
        <f t="shared" si="1"/>
        <v>58.099097594692481</v>
      </c>
      <c r="U21" s="58">
        <f t="shared" si="2"/>
        <v>59.697145698627722</v>
      </c>
      <c r="V21" s="48">
        <f t="shared" si="3"/>
        <v>113.10619830772823</v>
      </c>
      <c r="W21" s="33"/>
      <c r="X21" s="48">
        <f t="shared" si="4"/>
        <v>117.7962432933202</v>
      </c>
      <c r="Y21" s="48">
        <f t="shared" si="5"/>
        <v>113.10619830772823</v>
      </c>
      <c r="Z21" s="48">
        <f t="shared" si="6"/>
        <v>114.27870955412624</v>
      </c>
      <c r="AA21" s="33"/>
      <c r="AB21" s="48">
        <f>Controls!$F$17*Z21</f>
        <v>96.645861843969953</v>
      </c>
      <c r="AC21" s="48">
        <f>-(INDEX(Controls!$G$20:$G$24,MATCH($C21,Controls!$C$20:$C$24,0),0))*$Z21</f>
        <v>0</v>
      </c>
      <c r="AD21" s="59">
        <f t="shared" si="7"/>
        <v>96.645861843969953</v>
      </c>
      <c r="AE21" s="33"/>
      <c r="AG21" s="89" t="s">
        <v>31</v>
      </c>
      <c r="AH21" s="90">
        <f>SUMIF('BP costs'!$B$7:$B$91,$AG21,'BP costs'!D$7:D$91)</f>
        <v>37.415564717900722</v>
      </c>
      <c r="AI21" s="90">
        <f t="shared" si="8"/>
        <v>32.844783070701133</v>
      </c>
      <c r="AJ21" s="15">
        <f t="shared" si="9"/>
        <v>1.1391630944056046</v>
      </c>
    </row>
    <row r="22" spans="1:36" x14ac:dyDescent="0.3">
      <c r="A22" s="12" t="s">
        <v>71</v>
      </c>
      <c r="B22" s="12" t="str">
        <f t="shared" si="0"/>
        <v>SRN</v>
      </c>
      <c r="C22" s="12">
        <v>2021</v>
      </c>
      <c r="D22" s="99">
        <f>EXP(Coeffs!$D$13+(Coeffs!$D$6*Drivers!F20)+(Coeffs!$D$7*Drivers!G20))</f>
        <v>20.559558412642495</v>
      </c>
      <c r="E22" s="58">
        <f>EXP(Coeffs!$E$13+(Coeffs!$E$6*Drivers!F20)+(Coeffs!$E$7*Drivers!G20)+(Coeffs!$E$8*Drivers!D20))</f>
        <v>20.097380962593075</v>
      </c>
      <c r="F22" s="58">
        <f>EXP(Coeffs!$F$13+(Coeffs!$F$9*Drivers!E20)+(Coeffs!$F$10*Drivers!H20))</f>
        <v>10.06206484946156</v>
      </c>
      <c r="G22" s="58">
        <f>EXP(Coeffs!$G$13+(Coeffs!$G$9*Drivers!E20)+(Coeffs!$G$11*Drivers!I20)+(Coeffs!$G$12*Drivers!J20))</f>
        <v>11.206654669843763</v>
      </c>
      <c r="H22" s="58">
        <f>EXP(Coeffs!$H$13+(Coeffs!$H$7*Drivers!G20)+(Coeffs!$H$9*Drivers!E20)+(Coeffs!$H$10*Drivers!H20))</f>
        <v>31.221295570421802</v>
      </c>
      <c r="I22" s="58">
        <f>EXP(Coeffs!$I$13+(Coeffs!$I$7*Drivers!G20)+(Coeffs!$I$8*Drivers!D20)+(Coeffs!$I$9*Drivers!E20)+(Coeffs!$I$10*Drivers!H20))</f>
        <v>30.424949973039812</v>
      </c>
      <c r="J22" s="58">
        <f>EXP(Coeffs!$J$13+(Coeffs!$J$7*Drivers!G20)+(Coeffs!$J$8*Drivers!D20)+(Coeffs!$J$9*Drivers!E20)+(Coeffs!$J$11*Drivers!I20)+(Coeffs!$J$12*Drivers!J20))</f>
        <v>29.231408766907816</v>
      </c>
      <c r="K22" s="33"/>
      <c r="L22" s="58">
        <f xml:space="preserve"> (D22 *Drivers!$L20 * 1000 / 1000000)</f>
        <v>40.542976319887508</v>
      </c>
      <c r="M22" s="58">
        <f xml:space="preserve"> (E22 *Drivers!$L20 * 1000 / 1000000)</f>
        <v>39.6315730184714</v>
      </c>
      <c r="N22" s="58">
        <f xml:space="preserve"> (F22 *Drivers!$L20 * 1000 / 1000000)</f>
        <v>19.84216045564666</v>
      </c>
      <c r="O22" s="58">
        <f xml:space="preserve"> (G22 *Drivers!$L20 * 1000 / 1000000)</f>
        <v>22.099265255874492</v>
      </c>
      <c r="P22" s="58">
        <f xml:space="preserve"> (H22 *Drivers!$L20 * 1000 / 1000000)</f>
        <v>61.567676775073672</v>
      </c>
      <c r="Q22" s="58">
        <f xml:space="preserve"> (I22 *Drivers!$L20 * 1000 / 1000000)</f>
        <v>59.99730157298513</v>
      </c>
      <c r="R22" s="58">
        <f xml:space="preserve"> (J22 *Drivers!$L20 * 1000 / 1000000)</f>
        <v>57.643665765940568</v>
      </c>
      <c r="S22" s="33"/>
      <c r="T22" s="58">
        <f t="shared" si="1"/>
        <v>40.08727466917945</v>
      </c>
      <c r="U22" s="58">
        <f t="shared" si="2"/>
        <v>20.970712855760574</v>
      </c>
      <c r="V22" s="48">
        <f t="shared" si="3"/>
        <v>59.736214704666452</v>
      </c>
      <c r="W22" s="33"/>
      <c r="X22" s="48">
        <f t="shared" si="4"/>
        <v>61.057987524940025</v>
      </c>
      <c r="Y22" s="48">
        <f t="shared" si="5"/>
        <v>59.736214704666452</v>
      </c>
      <c r="Z22" s="48">
        <f t="shared" si="6"/>
        <v>60.066657909734843</v>
      </c>
      <c r="AA22" s="33"/>
      <c r="AB22" s="48">
        <f>Controls!$F$17*Z22</f>
        <v>50.79856033046736</v>
      </c>
      <c r="AC22" s="48">
        <f>-(INDEX(Controls!$G$20:$G$24,MATCH($C22,Controls!$C$20:$C$24,0),0))*$Z22</f>
        <v>0</v>
      </c>
      <c r="AD22" s="59">
        <f t="shared" si="7"/>
        <v>50.79856033046736</v>
      </c>
      <c r="AE22" s="33"/>
      <c r="AG22" s="89" t="s">
        <v>32</v>
      </c>
      <c r="AH22" s="90">
        <f>SUMIF('BP costs'!$B$7:$B$91,$AG22,'BP costs'!D$7:D$91)</f>
        <v>81.468999999999994</v>
      </c>
      <c r="AI22" s="90">
        <f t="shared" si="8"/>
        <v>104.28561522708253</v>
      </c>
      <c r="AJ22" s="15">
        <f t="shared" si="9"/>
        <v>0.78121033109504867</v>
      </c>
    </row>
    <row r="23" spans="1:36" x14ac:dyDescent="0.3">
      <c r="A23" s="12" t="s">
        <v>72</v>
      </c>
      <c r="B23" s="12" t="str">
        <f t="shared" si="0"/>
        <v>SRN</v>
      </c>
      <c r="C23" s="12">
        <v>2022</v>
      </c>
      <c r="D23" s="99">
        <f>EXP(Coeffs!$D$13+(Coeffs!$D$6*Drivers!F21)+(Coeffs!$D$7*Drivers!G21))</f>
        <v>20.69683568810979</v>
      </c>
      <c r="E23" s="58">
        <f>EXP(Coeffs!$E$13+(Coeffs!$E$6*Drivers!F21)+(Coeffs!$E$7*Drivers!G21)+(Coeffs!$E$8*Drivers!D21))</f>
        <v>20.219748015445585</v>
      </c>
      <c r="F23" s="58">
        <f>EXP(Coeffs!$F$13+(Coeffs!$F$9*Drivers!E21)+(Coeffs!$F$10*Drivers!H21))</f>
        <v>10.061860486695959</v>
      </c>
      <c r="G23" s="58">
        <f>EXP(Coeffs!$G$13+(Coeffs!$G$9*Drivers!E21)+(Coeffs!$G$11*Drivers!I21)+(Coeffs!$G$12*Drivers!J21))</f>
        <v>11.206433119363428</v>
      </c>
      <c r="H23" s="58">
        <f>EXP(Coeffs!$H$13+(Coeffs!$H$7*Drivers!G21)+(Coeffs!$H$9*Drivers!E21)+(Coeffs!$H$10*Drivers!H21))</f>
        <v>31.332592723433265</v>
      </c>
      <c r="I23" s="58">
        <f>EXP(Coeffs!$I$13+(Coeffs!$I$7*Drivers!G21)+(Coeffs!$I$8*Drivers!D21)+(Coeffs!$I$9*Drivers!E21)+(Coeffs!$I$10*Drivers!H21))</f>
        <v>30.530119287374784</v>
      </c>
      <c r="J23" s="58">
        <f>EXP(Coeffs!$J$13+(Coeffs!$J$7*Drivers!G21)+(Coeffs!$J$8*Drivers!D21)+(Coeffs!$J$9*Drivers!E21)+(Coeffs!$J$11*Drivers!I21)+(Coeffs!$J$12*Drivers!J21))</f>
        <v>29.239813907579638</v>
      </c>
      <c r="K23" s="33"/>
      <c r="L23" s="58">
        <f xml:space="preserve"> (D23 *Drivers!$L21 * 1000 / 1000000)</f>
        <v>41.345903079451418</v>
      </c>
      <c r="M23" s="58">
        <f xml:space="preserve"> (E23 *Drivers!$L21 * 1000 / 1000000)</f>
        <v>40.392828852471517</v>
      </c>
      <c r="N23" s="58">
        <f xml:space="preserve"> (F23 *Drivers!$L21 * 1000 / 1000000)</f>
        <v>20.100498199388621</v>
      </c>
      <c r="O23" s="58">
        <f xml:space="preserve"> (G23 *Drivers!$L21 * 1000 / 1000000)</f>
        <v>22.387001791087364</v>
      </c>
      <c r="P23" s="58">
        <f xml:space="preserve"> (H23 *Drivers!$L21 * 1000 / 1000000)</f>
        <v>62.592869822860841</v>
      </c>
      <c r="Q23" s="58">
        <f xml:space="preserve"> (I23 *Drivers!$L21 * 1000 / 1000000)</f>
        <v>60.989775059434301</v>
      </c>
      <c r="R23" s="58">
        <f xml:space="preserve"> (J23 *Drivers!$L21 * 1000 / 1000000)</f>
        <v>58.412142324660579</v>
      </c>
      <c r="S23" s="33"/>
      <c r="T23" s="58">
        <f t="shared" si="1"/>
        <v>40.869365965961464</v>
      </c>
      <c r="U23" s="58">
        <f t="shared" si="2"/>
        <v>21.243749995237991</v>
      </c>
      <c r="V23" s="48">
        <f t="shared" si="3"/>
        <v>60.664929068985238</v>
      </c>
      <c r="W23" s="33"/>
      <c r="X23" s="48">
        <f t="shared" si="4"/>
        <v>62.113115961199455</v>
      </c>
      <c r="Y23" s="48">
        <f t="shared" si="5"/>
        <v>60.664929068985238</v>
      </c>
      <c r="Z23" s="48">
        <f t="shared" si="6"/>
        <v>61.026975792038797</v>
      </c>
      <c r="AA23" s="33"/>
      <c r="AB23" s="48">
        <f>Controls!$F$17*Z23</f>
        <v>51.610704164971224</v>
      </c>
      <c r="AC23" s="48">
        <f>-(INDEX(Controls!$G$20:$G$24,MATCH($C23,Controls!$C$20:$C$24,0),0))*$Z23</f>
        <v>0</v>
      </c>
      <c r="AD23" s="59">
        <f t="shared" si="7"/>
        <v>51.610704164971224</v>
      </c>
      <c r="AE23" s="33"/>
      <c r="AG23" s="89" t="s">
        <v>33</v>
      </c>
      <c r="AH23" s="90">
        <f>SUMIF('BP costs'!$B$7:$B$91,$AG23,'BP costs'!D$7:D$91)</f>
        <v>59.494005573527403</v>
      </c>
      <c r="AI23" s="90">
        <f t="shared" si="8"/>
        <v>73.68076720533449</v>
      </c>
      <c r="AJ23" s="81">
        <f t="shared" si="9"/>
        <v>0.80745638013959276</v>
      </c>
    </row>
    <row r="24" spans="1:36" x14ac:dyDescent="0.3">
      <c r="A24" s="12" t="s">
        <v>73</v>
      </c>
      <c r="B24" s="12" t="str">
        <f t="shared" si="0"/>
        <v>SRN</v>
      </c>
      <c r="C24" s="12">
        <v>2023</v>
      </c>
      <c r="D24" s="99">
        <f>EXP(Coeffs!$D$13+(Coeffs!$D$6*Drivers!F22)+(Coeffs!$D$7*Drivers!G22))</f>
        <v>20.830980066672549</v>
      </c>
      <c r="E24" s="58">
        <f>EXP(Coeffs!$E$13+(Coeffs!$E$6*Drivers!F22)+(Coeffs!$E$7*Drivers!G22)+(Coeffs!$E$8*Drivers!D22))</f>
        <v>20.339849237355317</v>
      </c>
      <c r="F24" s="58">
        <f>EXP(Coeffs!$F$13+(Coeffs!$F$9*Drivers!E22)+(Coeffs!$F$10*Drivers!H22))</f>
        <v>10.057944894901215</v>
      </c>
      <c r="G24" s="58">
        <f>EXP(Coeffs!$G$13+(Coeffs!$G$9*Drivers!E22)+(Coeffs!$G$11*Drivers!I22)+(Coeffs!$G$12*Drivers!J22))</f>
        <v>11.202188187714645</v>
      </c>
      <c r="H24" s="58">
        <f>EXP(Coeffs!$H$13+(Coeffs!$H$7*Drivers!G22)+(Coeffs!$H$9*Drivers!E22)+(Coeffs!$H$10*Drivers!H22))</f>
        <v>31.436545848267439</v>
      </c>
      <c r="I24" s="58">
        <f>EXP(Coeffs!$I$13+(Coeffs!$I$7*Drivers!G22)+(Coeffs!$I$8*Drivers!D22)+(Coeffs!$I$9*Drivers!E22)+(Coeffs!$I$10*Drivers!H22))</f>
        <v>30.628927239965844</v>
      </c>
      <c r="J24" s="58">
        <f>EXP(Coeffs!$J$13+(Coeffs!$J$7*Drivers!G22)+(Coeffs!$J$8*Drivers!D22)+(Coeffs!$J$9*Drivers!E22)+(Coeffs!$J$11*Drivers!I22)+(Coeffs!$J$12*Drivers!J22))</f>
        <v>29.245066755974719</v>
      </c>
      <c r="K24" s="33"/>
      <c r="L24" s="58">
        <f xml:space="preserve"> (D24 *Drivers!$L22 * 1000 / 1000000)</f>
        <v>42.108763824795162</v>
      </c>
      <c r="M24" s="58">
        <f xml:space="preserve"> (E24 *Drivers!$L22 * 1000 / 1000000)</f>
        <v>41.115967901002669</v>
      </c>
      <c r="N24" s="58">
        <f xml:space="preserve"> (F24 *Drivers!$L22 * 1000 / 1000000)</f>
        <v>20.33162264985317</v>
      </c>
      <c r="O24" s="58">
        <f xml:space="preserve"> (G24 *Drivers!$L22 * 1000 / 1000000)</f>
        <v>22.644652109867582</v>
      </c>
      <c r="P24" s="58">
        <f xml:space="preserve"> (H24 *Drivers!$L22 * 1000 / 1000000)</f>
        <v>63.547374168434366</v>
      </c>
      <c r="Q24" s="58">
        <f xml:space="preserve"> (I24 *Drivers!$L22 * 1000 / 1000000)</f>
        <v>61.914814340301717</v>
      </c>
      <c r="R24" s="58">
        <f xml:space="preserve"> (J24 *Drivers!$L22 * 1000 / 1000000)</f>
        <v>59.117410948798344</v>
      </c>
      <c r="S24" s="33"/>
      <c r="T24" s="58">
        <f t="shared" si="1"/>
        <v>41.612365862898912</v>
      </c>
      <c r="U24" s="58">
        <f t="shared" si="2"/>
        <v>21.488137379860376</v>
      </c>
      <c r="V24" s="48">
        <f t="shared" si="3"/>
        <v>61.526533152511476</v>
      </c>
      <c r="W24" s="33"/>
      <c r="X24" s="48">
        <f t="shared" si="4"/>
        <v>63.100503242759288</v>
      </c>
      <c r="Y24" s="48">
        <f t="shared" si="5"/>
        <v>61.526533152511476</v>
      </c>
      <c r="Z24" s="48">
        <f t="shared" si="6"/>
        <v>61.920025675073425</v>
      </c>
      <c r="AA24" s="33"/>
      <c r="AB24" s="48">
        <f>Controls!$F$17*Z24</f>
        <v>52.365959242249282</v>
      </c>
      <c r="AC24" s="48">
        <f>-(INDEX(Controls!$G$20:$G$24,MATCH($C24,Controls!$C$20:$C$24,0),0))*$Z24</f>
        <v>0</v>
      </c>
      <c r="AD24" s="59">
        <f t="shared" si="7"/>
        <v>52.365959242249282</v>
      </c>
      <c r="AE24" s="33"/>
      <c r="AG24" s="115" t="s">
        <v>141</v>
      </c>
      <c r="AH24" s="87">
        <f>SUM(AH7:AH23)</f>
        <v>4028.7618744291794</v>
      </c>
      <c r="AI24" s="87">
        <f>SUM(AI7:AI23)</f>
        <v>4554.4306165458511</v>
      </c>
      <c r="AJ24" s="116">
        <f>AH24/AI24</f>
        <v>0.88458079914381338</v>
      </c>
    </row>
    <row r="25" spans="1:36" x14ac:dyDescent="0.3">
      <c r="A25" s="12" t="s">
        <v>74</v>
      </c>
      <c r="B25" s="12" t="str">
        <f t="shared" si="0"/>
        <v>SRN</v>
      </c>
      <c r="C25" s="12">
        <v>2024</v>
      </c>
      <c r="D25" s="99">
        <f>EXP(Coeffs!$D$13+(Coeffs!$D$6*Drivers!F23)+(Coeffs!$D$7*Drivers!G23))</f>
        <v>20.963166615151206</v>
      </c>
      <c r="E25" s="58">
        <f>EXP(Coeffs!$E$13+(Coeffs!$E$6*Drivers!F23)+(Coeffs!$E$7*Drivers!G23)+(Coeffs!$E$8*Drivers!D23))</f>
        <v>20.458362178041792</v>
      </c>
      <c r="F25" s="58">
        <f>EXP(Coeffs!$F$13+(Coeffs!$F$9*Drivers!E23)+(Coeffs!$F$10*Drivers!H23))</f>
        <v>10.054961500964215</v>
      </c>
      <c r="G25" s="58">
        <f>EXP(Coeffs!$G$13+(Coeffs!$G$9*Drivers!E23)+(Coeffs!$G$11*Drivers!I23)+(Coeffs!$G$12*Drivers!J23))</f>
        <v>11.198953831420583</v>
      </c>
      <c r="H25" s="58">
        <f>EXP(Coeffs!$H$13+(Coeffs!$H$7*Drivers!G23)+(Coeffs!$H$9*Drivers!E23)+(Coeffs!$H$10*Drivers!H23))</f>
        <v>31.539688496308909</v>
      </c>
      <c r="I25" s="58">
        <f>EXP(Coeffs!$I$13+(Coeffs!$I$7*Drivers!G23)+(Coeffs!$I$8*Drivers!D23)+(Coeffs!$I$9*Drivers!E23)+(Coeffs!$I$10*Drivers!H23))</f>
        <v>30.727651532839555</v>
      </c>
      <c r="J25" s="58">
        <f>EXP(Coeffs!$J$13+(Coeffs!$J$7*Drivers!G23)+(Coeffs!$J$8*Drivers!D23)+(Coeffs!$J$9*Drivers!E23)+(Coeffs!$J$11*Drivers!I23)+(Coeffs!$J$12*Drivers!J23))</f>
        <v>29.252440227695555</v>
      </c>
      <c r="K25" s="33"/>
      <c r="L25" s="58">
        <f xml:space="preserve"> (D25 *Drivers!$L23 * 1000 / 1000000)</f>
        <v>42.857034938515284</v>
      </c>
      <c r="M25" s="58">
        <f xml:space="preserve"> (E25 *Drivers!$L23 * 1000 / 1000000)</f>
        <v>41.825014261702108</v>
      </c>
      <c r="N25" s="58">
        <f xml:space="preserve"> (F25 *Drivers!$L23 * 1000 / 1000000)</f>
        <v>20.556333127686734</v>
      </c>
      <c r="O25" s="58">
        <f xml:space="preserve"> (G25 *Drivers!$L23 * 1000 / 1000000)</f>
        <v>22.895107616094744</v>
      </c>
      <c r="P25" s="58">
        <f xml:space="preserve"> (H25 *Drivers!$L23 * 1000 / 1000000)</f>
        <v>64.479644542788435</v>
      </c>
      <c r="Q25" s="58">
        <f xml:space="preserve"> (I25 *Drivers!$L23 * 1000 / 1000000)</f>
        <v>62.819518610782588</v>
      </c>
      <c r="R25" s="58">
        <f xml:space="preserve"> (J25 *Drivers!$L23 * 1000 / 1000000)</f>
        <v>59.803601044180105</v>
      </c>
      <c r="S25" s="33"/>
      <c r="T25" s="58">
        <f t="shared" si="1"/>
        <v>42.341024600108696</v>
      </c>
      <c r="U25" s="58">
        <f t="shared" si="2"/>
        <v>21.725720371890738</v>
      </c>
      <c r="V25" s="48">
        <f t="shared" si="3"/>
        <v>62.36758806591704</v>
      </c>
      <c r="W25" s="33"/>
      <c r="X25" s="48">
        <f t="shared" si="4"/>
        <v>64.066744971999441</v>
      </c>
      <c r="Y25" s="48">
        <f t="shared" si="5"/>
        <v>62.36758806591704</v>
      </c>
      <c r="Z25" s="48">
        <f t="shared" si="6"/>
        <v>62.792377292437642</v>
      </c>
      <c r="AA25" s="33"/>
      <c r="AB25" s="48">
        <f>Controls!$F$17*Z25</f>
        <v>53.103709731558176</v>
      </c>
      <c r="AC25" s="48">
        <f>-(INDEX(Controls!$G$20:$G$24,MATCH($C25,Controls!$C$20:$C$24,0),0))*$Z25</f>
        <v>0</v>
      </c>
      <c r="AD25" s="59">
        <f t="shared" si="7"/>
        <v>53.103709731558176</v>
      </c>
      <c r="AE25" s="33"/>
    </row>
    <row r="26" spans="1:36" x14ac:dyDescent="0.3">
      <c r="A26" s="12" t="s">
        <v>75</v>
      </c>
      <c r="B26" s="12" t="str">
        <f t="shared" si="0"/>
        <v>SRN</v>
      </c>
      <c r="C26" s="12">
        <v>2025</v>
      </c>
      <c r="D26" s="99">
        <f>EXP(Coeffs!$D$13+(Coeffs!$D$6*Drivers!F24)+(Coeffs!$D$7*Drivers!G24))</f>
        <v>21.093729092616019</v>
      </c>
      <c r="E26" s="58">
        <f>EXP(Coeffs!$E$13+(Coeffs!$E$6*Drivers!F24)+(Coeffs!$E$7*Drivers!G24)+(Coeffs!$E$8*Drivers!D24))</f>
        <v>20.575796829389432</v>
      </c>
      <c r="F26" s="58">
        <f>EXP(Coeffs!$F$13+(Coeffs!$F$9*Drivers!E24)+(Coeffs!$F$10*Drivers!H24))</f>
        <v>10.052058207004492</v>
      </c>
      <c r="G26" s="58">
        <f>EXP(Coeffs!$G$13+(Coeffs!$G$9*Drivers!E24)+(Coeffs!$G$11*Drivers!I24)+(Coeffs!$G$12*Drivers!J24))</f>
        <v>11.195806288566379</v>
      </c>
      <c r="H26" s="58">
        <f>EXP(Coeffs!$H$13+(Coeffs!$H$7*Drivers!G24)+(Coeffs!$H$9*Drivers!E24)+(Coeffs!$H$10*Drivers!H24))</f>
        <v>31.641285826142223</v>
      </c>
      <c r="I26" s="58">
        <f>EXP(Coeffs!$I$13+(Coeffs!$I$7*Drivers!G24)+(Coeffs!$I$8*Drivers!D24)+(Coeffs!$I$9*Drivers!E24)+(Coeffs!$I$10*Drivers!H24))</f>
        <v>30.825896166422016</v>
      </c>
      <c r="J26" s="58">
        <f>EXP(Coeffs!$J$13+(Coeffs!$J$7*Drivers!G24)+(Coeffs!$J$8*Drivers!D24)+(Coeffs!$J$9*Drivers!E24)+(Coeffs!$J$11*Drivers!I24)+(Coeffs!$J$12*Drivers!J24))</f>
        <v>29.261583133453058</v>
      </c>
      <c r="K26" s="33"/>
      <c r="L26" s="58">
        <f xml:space="preserve"> (D26 *Drivers!$L24 * 1000 / 1000000)</f>
        <v>43.580509148237496</v>
      </c>
      <c r="M26" s="58">
        <f xml:space="preserve"> (E26 *Drivers!$L24 * 1000 / 1000000)</f>
        <v>42.510439857188572</v>
      </c>
      <c r="N26" s="58">
        <f xml:space="preserve"> (F26 *Drivers!$L24 * 1000 / 1000000)</f>
        <v>20.76796439005777</v>
      </c>
      <c r="O26" s="58">
        <f xml:space="preserve"> (G26 *Drivers!$L24 * 1000 / 1000000)</f>
        <v>23.130994820235976</v>
      </c>
      <c r="P26" s="58">
        <f xml:space="preserve"> (H26 *Drivers!$L24 * 1000 / 1000000)</f>
        <v>65.37219380952871</v>
      </c>
      <c r="Q26" s="58">
        <f xml:space="preserve"> (I26 *Drivers!$L24 * 1000 / 1000000)</f>
        <v>63.687565341570711</v>
      </c>
      <c r="R26" s="58">
        <f xml:space="preserve"> (J26 *Drivers!$L24 * 1000 / 1000000)</f>
        <v>60.455630478622496</v>
      </c>
      <c r="S26" s="33"/>
      <c r="T26" s="58">
        <f t="shared" si="1"/>
        <v>43.045474502713034</v>
      </c>
      <c r="U26" s="58">
        <f t="shared" si="2"/>
        <v>21.949479605146873</v>
      </c>
      <c r="V26" s="48">
        <f t="shared" si="3"/>
        <v>63.171796543240632</v>
      </c>
      <c r="W26" s="33"/>
      <c r="X26" s="48">
        <f t="shared" si="4"/>
        <v>64.994954107859911</v>
      </c>
      <c r="Y26" s="48">
        <f t="shared" si="5"/>
        <v>63.171796543240632</v>
      </c>
      <c r="Z26" s="48">
        <f t="shared" si="6"/>
        <v>63.627585934395448</v>
      </c>
      <c r="AA26" s="33"/>
      <c r="AB26" s="48">
        <f>Controls!$F$17*Z26</f>
        <v>53.810048290476821</v>
      </c>
      <c r="AC26" s="48">
        <f>-(INDEX(Controls!$G$20:$G$24,MATCH($C26,Controls!$C$20:$C$24,0),0))*$Z26</f>
        <v>0</v>
      </c>
      <c r="AD26" s="59">
        <f t="shared" si="7"/>
        <v>53.810048290476821</v>
      </c>
      <c r="AE26" s="33"/>
    </row>
    <row r="27" spans="1:36" x14ac:dyDescent="0.3">
      <c r="A27" s="12" t="s">
        <v>76</v>
      </c>
      <c r="B27" s="12" t="str">
        <f t="shared" si="0"/>
        <v>SVT</v>
      </c>
      <c r="C27" s="12">
        <v>2021</v>
      </c>
      <c r="D27" s="99">
        <f>EXP(Coeffs!$D$13+(Coeffs!$D$6*Drivers!F25)+(Coeffs!$D$7*Drivers!G25))</f>
        <v>17.724292700513978</v>
      </c>
      <c r="E27" s="58">
        <f>EXP(Coeffs!$E$13+(Coeffs!$E$6*Drivers!F25)+(Coeffs!$E$7*Drivers!G25)+(Coeffs!$E$8*Drivers!D25))</f>
        <v>17.219654700003019</v>
      </c>
      <c r="F27" s="58">
        <f>EXP(Coeffs!$F$13+(Coeffs!$F$9*Drivers!E25)+(Coeffs!$F$10*Drivers!H25))</f>
        <v>10.85113175470161</v>
      </c>
      <c r="G27" s="58">
        <f>EXP(Coeffs!$G$13+(Coeffs!$G$9*Drivers!E25)+(Coeffs!$G$11*Drivers!I25)+(Coeffs!$G$12*Drivers!J25))</f>
        <v>11.923395308776247</v>
      </c>
      <c r="H27" s="58">
        <f>EXP(Coeffs!$H$13+(Coeffs!$H$7*Drivers!G25)+(Coeffs!$H$9*Drivers!E25)+(Coeffs!$H$10*Drivers!H25))</f>
        <v>28.81726293004602</v>
      </c>
      <c r="I27" s="58">
        <f>EXP(Coeffs!$I$13+(Coeffs!$I$7*Drivers!G25)+(Coeffs!$I$8*Drivers!D25)+(Coeffs!$I$9*Drivers!E25)+(Coeffs!$I$10*Drivers!H25))</f>
        <v>26.740954597927871</v>
      </c>
      <c r="J27" s="58">
        <f>EXP(Coeffs!$J$13+(Coeffs!$J$7*Drivers!G25)+(Coeffs!$J$8*Drivers!D25)+(Coeffs!$J$9*Drivers!E25)+(Coeffs!$J$11*Drivers!I25)+(Coeffs!$J$12*Drivers!J25))</f>
        <v>27.420530731028272</v>
      </c>
      <c r="K27" s="33"/>
      <c r="L27" s="58">
        <f xml:space="preserve"> (D27 *Drivers!$L25 * 1000 / 1000000)</f>
        <v>72.563333737615835</v>
      </c>
      <c r="M27" s="58">
        <f xml:space="preserve"> (E27 *Drivers!$L25 * 1000 / 1000000)</f>
        <v>70.497343502265124</v>
      </c>
      <c r="N27" s="58">
        <f xml:space="preserve"> (F27 *Drivers!$L25 * 1000 / 1000000)</f>
        <v>44.424582027153093</v>
      </c>
      <c r="O27" s="58">
        <f xml:space="preserve"> (G27 *Drivers!$L25 * 1000 / 1000000)</f>
        <v>48.814433822296586</v>
      </c>
      <c r="P27" s="58">
        <f xml:space="preserve"> (H27 *Drivers!$L25 * 1000 / 1000000)</f>
        <v>117.97800356439141</v>
      </c>
      <c r="Q27" s="58">
        <f xml:space="preserve"> (I27 *Drivers!$L25 * 1000 / 1000000)</f>
        <v>109.47758794886094</v>
      </c>
      <c r="R27" s="58">
        <f xml:space="preserve"> (J27 *Drivers!$L25 * 1000 / 1000000)</f>
        <v>112.25977568292227</v>
      </c>
      <c r="S27" s="33"/>
      <c r="T27" s="58">
        <f t="shared" si="1"/>
        <v>71.53033861994048</v>
      </c>
      <c r="U27" s="58">
        <f t="shared" si="2"/>
        <v>46.619507924724843</v>
      </c>
      <c r="V27" s="48">
        <f t="shared" si="3"/>
        <v>113.23845573205821</v>
      </c>
      <c r="W27" s="33"/>
      <c r="X27" s="48">
        <f t="shared" si="4"/>
        <v>118.14984654466532</v>
      </c>
      <c r="Y27" s="48">
        <f t="shared" si="5"/>
        <v>113.23845573205821</v>
      </c>
      <c r="Z27" s="48">
        <f t="shared" si="6"/>
        <v>114.46630343520998</v>
      </c>
      <c r="AA27" s="33"/>
      <c r="AB27" s="48">
        <f>Controls!$F$17*Z27</f>
        <v>96.804510575520482</v>
      </c>
      <c r="AC27" s="48">
        <f>-(INDEX(Controls!$G$20:$G$24,MATCH($C27,Controls!$C$20:$C$24,0),0))*$Z27</f>
        <v>0</v>
      </c>
      <c r="AD27" s="59">
        <f t="shared" si="7"/>
        <v>96.804510575520482</v>
      </c>
      <c r="AE27" s="33"/>
      <c r="AH27" s="91" t="s">
        <v>215</v>
      </c>
      <c r="AI27" s="63"/>
      <c r="AJ27" s="159">
        <f>PERCENTILE($AJ$7:$AJ$23,0.25)</f>
        <v>0.79368869868689451</v>
      </c>
    </row>
    <row r="28" spans="1:36" x14ac:dyDescent="0.3">
      <c r="A28" s="12" t="s">
        <v>77</v>
      </c>
      <c r="B28" s="12" t="str">
        <f t="shared" si="0"/>
        <v>SVT</v>
      </c>
      <c r="C28" s="12">
        <v>2022</v>
      </c>
      <c r="D28" s="99">
        <f>EXP(Coeffs!$D$13+(Coeffs!$D$6*Drivers!F26)+(Coeffs!$D$7*Drivers!G26))</f>
        <v>18.155369458448</v>
      </c>
      <c r="E28" s="58">
        <f>EXP(Coeffs!$E$13+(Coeffs!$E$6*Drivers!F26)+(Coeffs!$E$7*Drivers!G26)+(Coeffs!$E$8*Drivers!D26))</f>
        <v>17.627588070430573</v>
      </c>
      <c r="F28" s="58">
        <f>EXP(Coeffs!$F$13+(Coeffs!$F$9*Drivers!E26)+(Coeffs!$F$10*Drivers!H26))</f>
        <v>10.652543330621416</v>
      </c>
      <c r="G28" s="58">
        <f>EXP(Coeffs!$G$13+(Coeffs!$G$9*Drivers!E26)+(Coeffs!$G$11*Drivers!I26)+(Coeffs!$G$12*Drivers!J26))</f>
        <v>11.710940182480094</v>
      </c>
      <c r="H28" s="58">
        <f>EXP(Coeffs!$H$13+(Coeffs!$H$7*Drivers!G26)+(Coeffs!$H$9*Drivers!E26)+(Coeffs!$H$10*Drivers!H26))</f>
        <v>28.983902760017763</v>
      </c>
      <c r="I28" s="58">
        <f>EXP(Coeffs!$I$13+(Coeffs!$I$7*Drivers!G26)+(Coeffs!$I$8*Drivers!D26)+(Coeffs!$I$9*Drivers!E26)+(Coeffs!$I$10*Drivers!H26))</f>
        <v>26.918129902423715</v>
      </c>
      <c r="J28" s="58">
        <f>EXP(Coeffs!$J$13+(Coeffs!$J$7*Drivers!G26)+(Coeffs!$J$8*Drivers!D26)+(Coeffs!$J$9*Drivers!E26)+(Coeffs!$J$11*Drivers!I26)+(Coeffs!$J$12*Drivers!J26))</f>
        <v>27.316400057023507</v>
      </c>
      <c r="K28" s="33"/>
      <c r="L28" s="58">
        <f xml:space="preserve"> (D28 *Drivers!$L26 * 1000 / 1000000)</f>
        <v>74.942432945851706</v>
      </c>
      <c r="M28" s="58">
        <f xml:space="preserve"> (E28 *Drivers!$L26 * 1000 / 1000000)</f>
        <v>72.763836615323186</v>
      </c>
      <c r="N28" s="58">
        <f xml:space="preserve"> (F28 *Drivers!$L26 * 1000 / 1000000)</f>
        <v>43.97197843233095</v>
      </c>
      <c r="O28" s="58">
        <f xml:space="preserve"> (G28 *Drivers!$L26 * 1000 / 1000000)</f>
        <v>48.340869700672009</v>
      </c>
      <c r="P28" s="58">
        <f xml:space="preserve"> (H28 *Drivers!$L26 * 1000 / 1000000)</f>
        <v>119.64086955503907</v>
      </c>
      <c r="Q28" s="58">
        <f xml:space="preserve"> (I28 *Drivers!$L26 * 1000 / 1000000)</f>
        <v>111.11369283104436</v>
      </c>
      <c r="R28" s="58">
        <f xml:space="preserve"> (J28 *Drivers!$L26 * 1000 / 1000000)</f>
        <v>112.75768770670582</v>
      </c>
      <c r="S28" s="33"/>
      <c r="T28" s="58">
        <f t="shared" si="1"/>
        <v>73.853134780587453</v>
      </c>
      <c r="U28" s="58">
        <f t="shared" si="2"/>
        <v>46.156424066501479</v>
      </c>
      <c r="V28" s="48">
        <f t="shared" si="3"/>
        <v>114.5040833642631</v>
      </c>
      <c r="W28" s="33"/>
      <c r="X28" s="48">
        <f t="shared" si="4"/>
        <v>120.00955884708893</v>
      </c>
      <c r="Y28" s="48">
        <f t="shared" si="5"/>
        <v>114.5040833642631</v>
      </c>
      <c r="Z28" s="48">
        <f t="shared" si="6"/>
        <v>115.88045223496954</v>
      </c>
      <c r="AA28" s="33"/>
      <c r="AB28" s="48">
        <f>Controls!$F$17*Z28</f>
        <v>98.000460635348958</v>
      </c>
      <c r="AC28" s="48">
        <f>-(INDEX(Controls!$G$20:$G$24,MATCH($C28,Controls!$C$20:$C$24,0),0))*$Z28</f>
        <v>0</v>
      </c>
      <c r="AD28" s="59">
        <f t="shared" si="7"/>
        <v>98.000460635348958</v>
      </c>
      <c r="AE28" s="33"/>
    </row>
    <row r="29" spans="1:36" x14ac:dyDescent="0.3">
      <c r="A29" s="12" t="s">
        <v>78</v>
      </c>
      <c r="B29" s="12" t="str">
        <f t="shared" si="0"/>
        <v>SVT</v>
      </c>
      <c r="C29" s="12">
        <v>2023</v>
      </c>
      <c r="D29" s="99">
        <f>EXP(Coeffs!$D$13+(Coeffs!$D$6*Drivers!F27)+(Coeffs!$D$7*Drivers!G27))</f>
        <v>18.58148301275094</v>
      </c>
      <c r="E29" s="58">
        <f>EXP(Coeffs!$E$13+(Coeffs!$E$6*Drivers!F27)+(Coeffs!$E$7*Drivers!G27)+(Coeffs!$E$8*Drivers!D27))</f>
        <v>18.03042854804692</v>
      </c>
      <c r="F29" s="58">
        <f>EXP(Coeffs!$F$13+(Coeffs!$F$9*Drivers!E27)+(Coeffs!$F$10*Drivers!H27))</f>
        <v>10.454543554759566</v>
      </c>
      <c r="G29" s="58">
        <f>EXP(Coeffs!$G$13+(Coeffs!$G$9*Drivers!E27)+(Coeffs!$G$11*Drivers!I27)+(Coeffs!$G$12*Drivers!J27))</f>
        <v>11.499009808501418</v>
      </c>
      <c r="H29" s="58">
        <f>EXP(Coeffs!$H$13+(Coeffs!$H$7*Drivers!G27)+(Coeffs!$H$9*Drivers!E27)+(Coeffs!$H$10*Drivers!H27))</f>
        <v>29.135259590057803</v>
      </c>
      <c r="I29" s="58">
        <f>EXP(Coeffs!$I$13+(Coeffs!$I$7*Drivers!G27)+(Coeffs!$I$8*Drivers!D27)+(Coeffs!$I$9*Drivers!E27)+(Coeffs!$I$10*Drivers!H27))</f>
        <v>27.078802748598999</v>
      </c>
      <c r="J29" s="58">
        <f>EXP(Coeffs!$J$13+(Coeffs!$J$7*Drivers!G27)+(Coeffs!$J$8*Drivers!D27)+(Coeffs!$J$9*Drivers!E27)+(Coeffs!$J$11*Drivers!I27)+(Coeffs!$J$12*Drivers!J27))</f>
        <v>27.202724770848402</v>
      </c>
      <c r="K29" s="33"/>
      <c r="L29" s="58">
        <f xml:space="preserve"> (D29 *Drivers!$L27 * 1000 / 1000000)</f>
        <v>77.330047040349285</v>
      </c>
      <c r="M29" s="58">
        <f xml:space="preserve"> (E29 *Drivers!$L27 * 1000 / 1000000)</f>
        <v>75.036738823340215</v>
      </c>
      <c r="N29" s="58">
        <f xml:space="preserve"> (F29 *Drivers!$L27 * 1000 / 1000000)</f>
        <v>43.508386511462241</v>
      </c>
      <c r="O29" s="58">
        <f xml:space="preserve"> (G29 *Drivers!$L27 * 1000 / 1000000)</f>
        <v>47.855113006785032</v>
      </c>
      <c r="P29" s="58">
        <f xml:space="preserve"> (H29 *Drivers!$L27 * 1000 / 1000000)</f>
        <v>121.25140889378356</v>
      </c>
      <c r="Q29" s="58">
        <f xml:space="preserve"> (I29 *Drivers!$L27 * 1000 / 1000000)</f>
        <v>112.69310898966232</v>
      </c>
      <c r="R29" s="58">
        <f xml:space="preserve"> (J29 *Drivers!$L27 * 1000 / 1000000)</f>
        <v>113.20883186298224</v>
      </c>
      <c r="S29" s="33"/>
      <c r="T29" s="58">
        <f t="shared" si="1"/>
        <v>76.18339293184475</v>
      </c>
      <c r="U29" s="58">
        <f t="shared" si="2"/>
        <v>45.681749759123633</v>
      </c>
      <c r="V29" s="48">
        <f t="shared" si="3"/>
        <v>115.71778324880937</v>
      </c>
      <c r="W29" s="33"/>
      <c r="X29" s="48">
        <f t="shared" si="4"/>
        <v>121.86514269096838</v>
      </c>
      <c r="Y29" s="48">
        <f t="shared" si="5"/>
        <v>115.71778324880937</v>
      </c>
      <c r="Z29" s="48">
        <f t="shared" si="6"/>
        <v>117.25462310934913</v>
      </c>
      <c r="AA29" s="33"/>
      <c r="AB29" s="48">
        <f>Controls!$F$17*Z29</f>
        <v>99.162601238733998</v>
      </c>
      <c r="AC29" s="48">
        <f>-(INDEX(Controls!$G$20:$G$24,MATCH($C29,Controls!$C$20:$C$24,0),0))*$Z29</f>
        <v>0</v>
      </c>
      <c r="AD29" s="59">
        <f t="shared" si="7"/>
        <v>99.162601238733998</v>
      </c>
      <c r="AE29" s="33"/>
    </row>
    <row r="30" spans="1:36" x14ac:dyDescent="0.3">
      <c r="A30" s="12" t="s">
        <v>79</v>
      </c>
      <c r="B30" s="12" t="str">
        <f t="shared" si="0"/>
        <v>SVT</v>
      </c>
      <c r="C30" s="12">
        <v>2024</v>
      </c>
      <c r="D30" s="99">
        <f>EXP(Coeffs!$D$13+(Coeffs!$D$6*Drivers!F28)+(Coeffs!$D$7*Drivers!G28))</f>
        <v>19.003588007181651</v>
      </c>
      <c r="E30" s="58">
        <f>EXP(Coeffs!$E$13+(Coeffs!$E$6*Drivers!F28)+(Coeffs!$E$7*Drivers!G28)+(Coeffs!$E$8*Drivers!D28))</f>
        <v>18.429104436779607</v>
      </c>
      <c r="F30" s="58">
        <f>EXP(Coeffs!$F$13+(Coeffs!$F$9*Drivers!E28)+(Coeffs!$F$10*Drivers!H28))</f>
        <v>10.257139997789837</v>
      </c>
      <c r="G30" s="58">
        <f>EXP(Coeffs!$G$13+(Coeffs!$G$9*Drivers!E28)+(Coeffs!$G$11*Drivers!I28)+(Coeffs!$G$12*Drivers!J28))</f>
        <v>11.287611201303081</v>
      </c>
      <c r="H30" s="58">
        <f>EXP(Coeffs!$H$13+(Coeffs!$H$7*Drivers!G28)+(Coeffs!$H$9*Drivers!E28)+(Coeffs!$H$10*Drivers!H28))</f>
        <v>29.272454677615478</v>
      </c>
      <c r="I30" s="58">
        <f>EXP(Coeffs!$I$13+(Coeffs!$I$7*Drivers!G28)+(Coeffs!$I$8*Drivers!D28)+(Coeffs!$I$9*Drivers!E28)+(Coeffs!$I$10*Drivers!H28))</f>
        <v>27.224176253946283</v>
      </c>
      <c r="J30" s="58">
        <f>EXP(Coeffs!$J$13+(Coeffs!$J$7*Drivers!G28)+(Coeffs!$J$8*Drivers!D28)+(Coeffs!$J$9*Drivers!E28)+(Coeffs!$J$11*Drivers!I28)+(Coeffs!$J$12*Drivers!J28))</f>
        <v>27.080186859353585</v>
      </c>
      <c r="K30" s="33"/>
      <c r="L30" s="58">
        <f xml:space="preserve"> (D30 *Drivers!$L28 * 1000 / 1000000)</f>
        <v>79.729677459919117</v>
      </c>
      <c r="M30" s="58">
        <f xml:space="preserve"> (E30 *Drivers!$L28 * 1000 / 1000000)</f>
        <v>77.319427892475957</v>
      </c>
      <c r="N30" s="58">
        <f xml:space="preserve"> (F30 *Drivers!$L28 * 1000 / 1000000)</f>
        <v>43.033897776354898</v>
      </c>
      <c r="O30" s="58">
        <f xml:space="preserve"> (G30 *Drivers!$L28 * 1000 / 1000000)</f>
        <v>47.357246433292573</v>
      </c>
      <c r="P30" s="58">
        <f xml:space="preserve"> (H30 *Drivers!$L28 * 1000 / 1000000)</f>
        <v>122.81277456785446</v>
      </c>
      <c r="Q30" s="58">
        <f xml:space="preserve"> (I30 *Drivers!$L28 * 1000 / 1000000)</f>
        <v>114.21920907877205</v>
      </c>
      <c r="R30" s="58">
        <f xml:space="preserve"> (J30 *Drivers!$L28 * 1000 / 1000000)</f>
        <v>113.61510063439901</v>
      </c>
      <c r="S30" s="33"/>
      <c r="T30" s="58">
        <f t="shared" si="1"/>
        <v>78.524552676197544</v>
      </c>
      <c r="U30" s="58">
        <f t="shared" si="2"/>
        <v>45.195572104823739</v>
      </c>
      <c r="V30" s="48">
        <f t="shared" si="3"/>
        <v>116.8823614270085</v>
      </c>
      <c r="W30" s="33"/>
      <c r="X30" s="48">
        <f t="shared" si="4"/>
        <v>123.72012478102128</v>
      </c>
      <c r="Y30" s="48">
        <f t="shared" si="5"/>
        <v>116.8823614270085</v>
      </c>
      <c r="Z30" s="48">
        <f t="shared" si="6"/>
        <v>118.5918022655117</v>
      </c>
      <c r="AA30" s="33"/>
      <c r="AB30" s="48">
        <f>Controls!$F$17*Z30</f>
        <v>100.29345783040662</v>
      </c>
      <c r="AC30" s="48">
        <f>-(INDEX(Controls!$G$20:$G$24,MATCH($C30,Controls!$C$20:$C$24,0),0))*$Z30</f>
        <v>0</v>
      </c>
      <c r="AD30" s="59">
        <f t="shared" si="7"/>
        <v>100.29345783040662</v>
      </c>
      <c r="AE30" s="33"/>
    </row>
    <row r="31" spans="1:36" x14ac:dyDescent="0.3">
      <c r="A31" s="12" t="s">
        <v>80</v>
      </c>
      <c r="B31" s="12" t="str">
        <f t="shared" si="0"/>
        <v>SVT</v>
      </c>
      <c r="C31" s="12">
        <v>2025</v>
      </c>
      <c r="D31" s="99">
        <f>EXP(Coeffs!$D$13+(Coeffs!$D$6*Drivers!F29)+(Coeffs!$D$7*Drivers!G29))</f>
        <v>19.424951656127426</v>
      </c>
      <c r="E31" s="58">
        <f>EXP(Coeffs!$E$13+(Coeffs!$E$6*Drivers!F29)+(Coeffs!$E$7*Drivers!G29)+(Coeffs!$E$8*Drivers!D29))</f>
        <v>18.826755042762809</v>
      </c>
      <c r="F31" s="58">
        <f>EXP(Coeffs!$F$13+(Coeffs!$F$9*Drivers!E29)+(Coeffs!$F$10*Drivers!H29))</f>
        <v>10.060340451437526</v>
      </c>
      <c r="G31" s="58">
        <f>EXP(Coeffs!$G$13+(Coeffs!$G$9*Drivers!E29)+(Coeffs!$G$11*Drivers!I29)+(Coeffs!$G$12*Drivers!J29))</f>
        <v>11.076751583795421</v>
      </c>
      <c r="H31" s="58">
        <f>EXP(Coeffs!$H$13+(Coeffs!$H$7*Drivers!G29)+(Coeffs!$H$9*Drivers!E29)+(Coeffs!$H$10*Drivers!H29))</f>
        <v>29.398404045816729</v>
      </c>
      <c r="I31" s="58">
        <f>EXP(Coeffs!$I$13+(Coeffs!$I$7*Drivers!G29)+(Coeffs!$I$8*Drivers!D29)+(Coeffs!$I$9*Drivers!E29)+(Coeffs!$I$10*Drivers!H29))</f>
        <v>27.357440234117401</v>
      </c>
      <c r="J31" s="58">
        <f>EXP(Coeffs!$J$13+(Coeffs!$J$7*Drivers!G29)+(Coeffs!$J$8*Drivers!D29)+(Coeffs!$J$9*Drivers!E29)+(Coeffs!$J$11*Drivers!I29)+(Coeffs!$J$12*Drivers!J29))</f>
        <v>26.95027429201463</v>
      </c>
      <c r="K31" s="33"/>
      <c r="L31" s="58">
        <f xml:space="preserve"> (D31 *Drivers!$L29 * 1000 / 1000000)</f>
        <v>82.154735489800046</v>
      </c>
      <c r="M31" s="58">
        <f xml:space="preserve"> (E31 *Drivers!$L29 * 1000 / 1000000)</f>
        <v>79.624758303145782</v>
      </c>
      <c r="N31" s="58">
        <f xml:space="preserve"> (F31 *Drivers!$L29 * 1000 / 1000000)</f>
        <v>42.548605698304115</v>
      </c>
      <c r="O31" s="58">
        <f xml:space="preserve"> (G31 *Drivers!$L29 * 1000 / 1000000)</f>
        <v>46.847354503756655</v>
      </c>
      <c r="P31" s="58">
        <f xml:space="preserve"> (H31 *Drivers!$L29 * 1000 / 1000000)</f>
        <v>124.33586198627589</v>
      </c>
      <c r="Q31" s="58">
        <f xml:space="preserve"> (I31 *Drivers!$L29 * 1000 / 1000000)</f>
        <v>115.70393100067054</v>
      </c>
      <c r="R31" s="58">
        <f xml:space="preserve"> (J31 *Drivers!$L29 * 1000 / 1000000)</f>
        <v>113.98188757600356</v>
      </c>
      <c r="S31" s="33"/>
      <c r="T31" s="58">
        <f t="shared" si="1"/>
        <v>80.889746896472914</v>
      </c>
      <c r="U31" s="58">
        <f t="shared" si="2"/>
        <v>44.697980101030382</v>
      </c>
      <c r="V31" s="48">
        <f t="shared" si="3"/>
        <v>118.00722685431666</v>
      </c>
      <c r="W31" s="33"/>
      <c r="X31" s="48">
        <f t="shared" si="4"/>
        <v>125.5877269975033</v>
      </c>
      <c r="Y31" s="48">
        <f t="shared" si="5"/>
        <v>118.00722685431666</v>
      </c>
      <c r="Z31" s="48">
        <f t="shared" si="6"/>
        <v>119.90235189011332</v>
      </c>
      <c r="AA31" s="33"/>
      <c r="AB31" s="48">
        <f>Controls!$F$17*Z31</f>
        <v>101.40179374400849</v>
      </c>
      <c r="AC31" s="48">
        <f>-(INDEX(Controls!$G$20:$G$24,MATCH($C31,Controls!$C$20:$C$24,0),0))*$Z31</f>
        <v>0</v>
      </c>
      <c r="AD31" s="59">
        <f t="shared" si="7"/>
        <v>101.40179374400849</v>
      </c>
      <c r="AE31" s="33"/>
      <c r="AG31" s="73"/>
    </row>
    <row r="32" spans="1:36" x14ac:dyDescent="0.3">
      <c r="A32" s="12" t="s">
        <v>81</v>
      </c>
      <c r="B32" s="12" t="str">
        <f t="shared" si="0"/>
        <v>SWB</v>
      </c>
      <c r="C32" s="12">
        <v>2021</v>
      </c>
      <c r="D32" s="99">
        <f>EXP(Coeffs!$D$13+(Coeffs!$D$6*Drivers!F30)+(Coeffs!$D$7*Drivers!G30))</f>
        <v>21.67067720637251</v>
      </c>
      <c r="E32" s="58">
        <f>EXP(Coeffs!$E$13+(Coeffs!$E$6*Drivers!F30)+(Coeffs!$E$7*Drivers!G30)+(Coeffs!$E$8*Drivers!D30))</f>
        <v>22.167682087092228</v>
      </c>
      <c r="F32" s="58">
        <f>EXP(Coeffs!$F$13+(Coeffs!$F$9*Drivers!E30)+(Coeffs!$F$10*Drivers!H30))</f>
        <v>11.51002135074091</v>
      </c>
      <c r="G32" s="58">
        <f>EXP(Coeffs!$G$13+(Coeffs!$G$9*Drivers!E30)+(Coeffs!$G$11*Drivers!I30)+(Coeffs!$G$12*Drivers!J30))</f>
        <v>14.037476305387997</v>
      </c>
      <c r="H32" s="58">
        <f>EXP(Coeffs!$H$13+(Coeffs!$H$7*Drivers!G30)+(Coeffs!$H$9*Drivers!E30)+(Coeffs!$H$10*Drivers!H30))</f>
        <v>33.306720834967486</v>
      </c>
      <c r="I32" s="58">
        <f>EXP(Coeffs!$I$13+(Coeffs!$I$7*Drivers!G30)+(Coeffs!$I$8*Drivers!D30)+(Coeffs!$I$9*Drivers!E30)+(Coeffs!$I$10*Drivers!H30))</f>
        <v>33.928460305066466</v>
      </c>
      <c r="J32" s="58">
        <f>EXP(Coeffs!$J$13+(Coeffs!$J$7*Drivers!G30)+(Coeffs!$J$8*Drivers!D30)+(Coeffs!$J$9*Drivers!E30)+(Coeffs!$J$11*Drivers!I30)+(Coeffs!$J$12*Drivers!J30))</f>
        <v>34.196308215794282</v>
      </c>
      <c r="K32" s="33"/>
      <c r="L32" s="58">
        <f xml:space="preserve"> (D32 *Drivers!$L30 * 1000 / 1000000)</f>
        <v>21.046106618607649</v>
      </c>
      <c r="M32" s="58">
        <f xml:space="preserve"> (E32 *Drivers!$L30 * 1000 / 1000000)</f>
        <v>21.528787321660143</v>
      </c>
      <c r="N32" s="58">
        <f xml:space="preserve"> (F32 *Drivers!$L30 * 1000 / 1000000)</f>
        <v>11.178291025391205</v>
      </c>
      <c r="O32" s="58">
        <f xml:space="preserve"> (G32 *Drivers!$L30 * 1000 / 1000000)</f>
        <v>13.632902200790411</v>
      </c>
      <c r="P32" s="58">
        <f xml:space="preserve"> (H32 *Drivers!$L30 * 1000 / 1000000)</f>
        <v>32.346787833782891</v>
      </c>
      <c r="Q32" s="58">
        <f xml:space="preserve"> (I32 *Drivers!$L30 * 1000 / 1000000)</f>
        <v>32.950608150614151</v>
      </c>
      <c r="R32" s="58">
        <f xml:space="preserve"> (J32 *Drivers!$L30 * 1000 / 1000000)</f>
        <v>33.210736416706879</v>
      </c>
      <c r="S32" s="33"/>
      <c r="T32" s="58">
        <f t="shared" si="1"/>
        <v>21.287446970133896</v>
      </c>
      <c r="U32" s="58">
        <f t="shared" si="2"/>
        <v>12.405596613090808</v>
      </c>
      <c r="V32" s="48">
        <f t="shared" si="3"/>
        <v>32.836044133701307</v>
      </c>
      <c r="W32" s="33"/>
      <c r="X32" s="48">
        <f t="shared" si="4"/>
        <v>33.693043583224707</v>
      </c>
      <c r="Y32" s="48">
        <f t="shared" si="5"/>
        <v>32.836044133701307</v>
      </c>
      <c r="Z32" s="48">
        <f t="shared" si="6"/>
        <v>33.050293996082161</v>
      </c>
      <c r="AA32" s="33"/>
      <c r="AB32" s="48">
        <f>Controls!$F$17*Z32</f>
        <v>27.950736930006002</v>
      </c>
      <c r="AC32" s="48">
        <f>-(INDEX(Controls!$G$20:$G$24,MATCH($C32,Controls!$C$20:$C$24,0),0))*$Z32</f>
        <v>0</v>
      </c>
      <c r="AD32" s="59">
        <f t="shared" si="7"/>
        <v>27.950736930006002</v>
      </c>
      <c r="AE32" s="33"/>
      <c r="AG32" s="73"/>
    </row>
    <row r="33" spans="1:33" x14ac:dyDescent="0.3">
      <c r="A33" s="12" t="s">
        <v>82</v>
      </c>
      <c r="B33" s="12" t="str">
        <f t="shared" si="0"/>
        <v>SWB</v>
      </c>
      <c r="C33" s="12">
        <v>2022</v>
      </c>
      <c r="D33" s="99">
        <f>EXP(Coeffs!$D$13+(Coeffs!$D$6*Drivers!F31)+(Coeffs!$D$7*Drivers!G31))</f>
        <v>21.800514201198908</v>
      </c>
      <c r="E33" s="58">
        <f>EXP(Coeffs!$E$13+(Coeffs!$E$6*Drivers!F31)+(Coeffs!$E$7*Drivers!G31)+(Coeffs!$E$8*Drivers!D31))</f>
        <v>22.288173501643367</v>
      </c>
      <c r="F33" s="58">
        <f>EXP(Coeffs!$F$13+(Coeffs!$F$9*Drivers!E31)+(Coeffs!$F$10*Drivers!H31))</f>
        <v>11.351677369221177</v>
      </c>
      <c r="G33" s="58">
        <f>EXP(Coeffs!$G$13+(Coeffs!$G$9*Drivers!E31)+(Coeffs!$G$11*Drivers!I31)+(Coeffs!$G$12*Drivers!J31))</f>
        <v>13.849468321286711</v>
      </c>
      <c r="H33" s="58">
        <f>EXP(Coeffs!$H$13+(Coeffs!$H$7*Drivers!G31)+(Coeffs!$H$9*Drivers!E31)+(Coeffs!$H$10*Drivers!H31))</f>
        <v>33.235775503203143</v>
      </c>
      <c r="I33" s="58">
        <f>EXP(Coeffs!$I$13+(Coeffs!$I$7*Drivers!G31)+(Coeffs!$I$8*Drivers!D31)+(Coeffs!$I$9*Drivers!E31)+(Coeffs!$I$10*Drivers!H31))</f>
        <v>33.824663957971516</v>
      </c>
      <c r="J33" s="58">
        <f>EXP(Coeffs!$J$13+(Coeffs!$J$7*Drivers!G31)+(Coeffs!$J$8*Drivers!D31)+(Coeffs!$J$9*Drivers!E31)+(Coeffs!$J$11*Drivers!I31)+(Coeffs!$J$12*Drivers!J31))</f>
        <v>33.963160639258867</v>
      </c>
      <c r="K33" s="33"/>
      <c r="L33" s="58">
        <f xml:space="preserve"> (D33 *Drivers!$L31 * 1000 / 1000000)</f>
        <v>21.435333787814628</v>
      </c>
      <c r="M33" s="58">
        <f xml:space="preserve"> (E33 *Drivers!$L31 * 1000 / 1000000)</f>
        <v>21.914824307317339</v>
      </c>
      <c r="N33" s="58">
        <f xml:space="preserve"> (F33 *Drivers!$L31 * 1000 / 1000000)</f>
        <v>11.161525421609353</v>
      </c>
      <c r="O33" s="58">
        <f xml:space="preserve"> (G33 *Drivers!$L31 * 1000 / 1000000)</f>
        <v>13.617475877436839</v>
      </c>
      <c r="P33" s="58">
        <f xml:space="preserve"> (H33 *Drivers!$L31 * 1000 / 1000000)</f>
        <v>32.679043027748989</v>
      </c>
      <c r="Q33" s="58">
        <f xml:space="preserve"> (I33 *Drivers!$L31 * 1000 / 1000000)</f>
        <v>33.258067012011537</v>
      </c>
      <c r="R33" s="58">
        <f xml:space="preserve"> (J33 *Drivers!$L31 * 1000 / 1000000)</f>
        <v>33.394243735390639</v>
      </c>
      <c r="S33" s="33"/>
      <c r="T33" s="58">
        <f t="shared" si="1"/>
        <v>21.675079047565983</v>
      </c>
      <c r="U33" s="58">
        <f t="shared" si="2"/>
        <v>12.389500649523097</v>
      </c>
      <c r="V33" s="48">
        <f t="shared" si="3"/>
        <v>33.110451258383719</v>
      </c>
      <c r="W33" s="33"/>
      <c r="X33" s="48">
        <f t="shared" si="4"/>
        <v>34.06457969708908</v>
      </c>
      <c r="Y33" s="48">
        <f t="shared" si="5"/>
        <v>33.110451258383719</v>
      </c>
      <c r="Z33" s="48">
        <f t="shared" si="6"/>
        <v>33.348983368060061</v>
      </c>
      <c r="AA33" s="33"/>
      <c r="AB33" s="48">
        <f>Controls!$F$17*Z33</f>
        <v>28.20333946543073</v>
      </c>
      <c r="AC33" s="48">
        <f>-(INDEX(Controls!$G$20:$G$24,MATCH($C33,Controls!$C$20:$C$24,0),0))*$Z33</f>
        <v>0</v>
      </c>
      <c r="AD33" s="59">
        <f t="shared" si="7"/>
        <v>28.20333946543073</v>
      </c>
      <c r="AE33" s="33"/>
      <c r="AG33" s="73"/>
    </row>
    <row r="34" spans="1:33" x14ac:dyDescent="0.3">
      <c r="A34" s="12" t="s">
        <v>83</v>
      </c>
      <c r="B34" s="12" t="str">
        <f t="shared" si="0"/>
        <v>SWB</v>
      </c>
      <c r="C34" s="12">
        <v>2023</v>
      </c>
      <c r="D34" s="99">
        <f>EXP(Coeffs!$D$13+(Coeffs!$D$6*Drivers!F32)+(Coeffs!$D$7*Drivers!G32))</f>
        <v>21.926544207346339</v>
      </c>
      <c r="E34" s="58">
        <f>EXP(Coeffs!$E$13+(Coeffs!$E$6*Drivers!F32)+(Coeffs!$E$7*Drivers!G32)+(Coeffs!$E$8*Drivers!D32))</f>
        <v>22.407669134256007</v>
      </c>
      <c r="F34" s="58">
        <f>EXP(Coeffs!$F$13+(Coeffs!$F$9*Drivers!E32)+(Coeffs!$F$10*Drivers!H32))</f>
        <v>11.075653813413398</v>
      </c>
      <c r="G34" s="58">
        <f>EXP(Coeffs!$G$13+(Coeffs!$G$9*Drivers!E32)+(Coeffs!$G$11*Drivers!I32)+(Coeffs!$G$12*Drivers!J32))</f>
        <v>13.521567231143255</v>
      </c>
      <c r="H34" s="58">
        <f>EXP(Coeffs!$H$13+(Coeffs!$H$7*Drivers!G32)+(Coeffs!$H$9*Drivers!E32)+(Coeffs!$H$10*Drivers!H32))</f>
        <v>33.024124226752932</v>
      </c>
      <c r="I34" s="58">
        <f>EXP(Coeffs!$I$13+(Coeffs!$I$7*Drivers!G32)+(Coeffs!$I$8*Drivers!D32)+(Coeffs!$I$9*Drivers!E32)+(Coeffs!$I$10*Drivers!H32))</f>
        <v>33.56338136798464</v>
      </c>
      <c r="J34" s="58">
        <f>EXP(Coeffs!$J$13+(Coeffs!$J$7*Drivers!G32)+(Coeffs!$J$8*Drivers!D32)+(Coeffs!$J$9*Drivers!E32)+(Coeffs!$J$11*Drivers!I32)+(Coeffs!$J$12*Drivers!J32))</f>
        <v>33.559467360487744</v>
      </c>
      <c r="K34" s="33"/>
      <c r="L34" s="58">
        <f xml:space="preserve"> (D34 *Drivers!$L32 * 1000 / 1000000)</f>
        <v>21.752535152516842</v>
      </c>
      <c r="M34" s="58">
        <f xml:space="preserve"> (E34 *Drivers!$L32 * 1000 / 1000000)</f>
        <v>22.229841872006553</v>
      </c>
      <c r="N34" s="58">
        <f xml:space="preserve"> (F34 *Drivers!$L32 * 1000 / 1000000)</f>
        <v>10.987757424750152</v>
      </c>
      <c r="O34" s="58">
        <f xml:space="preserve"> (G34 *Drivers!$L32 * 1000 / 1000000)</f>
        <v>13.414260073596902</v>
      </c>
      <c r="P34" s="58">
        <f xml:space="preserve"> (H34 *Drivers!$L32 * 1000 / 1000000)</f>
        <v>32.762044776889418</v>
      </c>
      <c r="Q34" s="58">
        <f xml:space="preserve"> (I34 *Drivers!$L32 * 1000 / 1000000)</f>
        <v>33.297022373448314</v>
      </c>
      <c r="R34" s="58">
        <f xml:space="preserve"> (J34 *Drivers!$L32 * 1000 / 1000000)</f>
        <v>33.293139427514916</v>
      </c>
      <c r="S34" s="33"/>
      <c r="T34" s="58">
        <f t="shared" si="1"/>
        <v>21.991188512261697</v>
      </c>
      <c r="U34" s="58">
        <f t="shared" si="2"/>
        <v>12.201008749173527</v>
      </c>
      <c r="V34" s="48">
        <f t="shared" si="3"/>
        <v>33.117402192617547</v>
      </c>
      <c r="W34" s="33"/>
      <c r="X34" s="48">
        <f t="shared" si="4"/>
        <v>34.192197261435226</v>
      </c>
      <c r="Y34" s="48">
        <f t="shared" si="5"/>
        <v>33.117402192617547</v>
      </c>
      <c r="Z34" s="48">
        <f t="shared" si="6"/>
        <v>33.386100959821967</v>
      </c>
      <c r="AA34" s="33"/>
      <c r="AB34" s="48">
        <f>Controls!$F$17*Z34</f>
        <v>28.234729928793488</v>
      </c>
      <c r="AC34" s="48">
        <f>-(INDEX(Controls!$G$20:$G$24,MATCH($C34,Controls!$C$20:$C$24,0),0))*$Z34</f>
        <v>0</v>
      </c>
      <c r="AD34" s="59">
        <f t="shared" si="7"/>
        <v>28.234729928793488</v>
      </c>
      <c r="AE34" s="33"/>
      <c r="AG34" s="73"/>
    </row>
    <row r="35" spans="1:33" x14ac:dyDescent="0.3">
      <c r="A35" s="12" t="s">
        <v>84</v>
      </c>
      <c r="B35" s="12" t="str">
        <f t="shared" si="0"/>
        <v>SWB</v>
      </c>
      <c r="C35" s="12">
        <v>2024</v>
      </c>
      <c r="D35" s="99">
        <f>EXP(Coeffs!$D$13+(Coeffs!$D$6*Drivers!F33)+(Coeffs!$D$7*Drivers!G33))</f>
        <v>22.040228163582228</v>
      </c>
      <c r="E35" s="58">
        <f>EXP(Coeffs!$E$13+(Coeffs!$E$6*Drivers!F33)+(Coeffs!$E$7*Drivers!G33)+(Coeffs!$E$8*Drivers!D33))</f>
        <v>22.514558067811368</v>
      </c>
      <c r="F35" s="58">
        <f>EXP(Coeffs!$F$13+(Coeffs!$F$9*Drivers!E33)+(Coeffs!$F$10*Drivers!H33))</f>
        <v>10.84522711067353</v>
      </c>
      <c r="G35" s="58">
        <f>EXP(Coeffs!$G$13+(Coeffs!$G$9*Drivers!E33)+(Coeffs!$G$11*Drivers!I33)+(Coeffs!$G$12*Drivers!J33))</f>
        <v>13.2476662997703</v>
      </c>
      <c r="H35" s="58">
        <f>EXP(Coeffs!$H$13+(Coeffs!$H$7*Drivers!G33)+(Coeffs!$H$9*Drivers!E33)+(Coeffs!$H$10*Drivers!H33))</f>
        <v>32.848790639183491</v>
      </c>
      <c r="I35" s="58">
        <f>EXP(Coeffs!$I$13+(Coeffs!$I$7*Drivers!G33)+(Coeffs!$I$8*Drivers!D33)+(Coeffs!$I$9*Drivers!E33)+(Coeffs!$I$10*Drivers!H33))</f>
        <v>33.344379256226304</v>
      </c>
      <c r="J35" s="58">
        <f>EXP(Coeffs!$J$13+(Coeffs!$J$7*Drivers!G33)+(Coeffs!$J$8*Drivers!D33)+(Coeffs!$J$9*Drivers!E33)+(Coeffs!$J$11*Drivers!I33)+(Coeffs!$J$12*Drivers!J33))</f>
        <v>33.215431729975712</v>
      </c>
      <c r="K35" s="33"/>
      <c r="L35" s="58">
        <f xml:space="preserve"> (D35 *Drivers!$L33 * 1000 / 1000000)</f>
        <v>22.062775316993573</v>
      </c>
      <c r="M35" s="58">
        <f xml:space="preserve"> (E35 *Drivers!$L33 * 1000 / 1000000)</f>
        <v>22.537590460714739</v>
      </c>
      <c r="N35" s="58">
        <f xml:space="preserve"> (F35 *Drivers!$L33 * 1000 / 1000000)</f>
        <v>10.856321778007748</v>
      </c>
      <c r="O35" s="58">
        <f xml:space="preserve"> (G35 *Drivers!$L33 * 1000 / 1000000)</f>
        <v>13.261218662394963</v>
      </c>
      <c r="P35" s="58">
        <f xml:space="preserve"> (H35 *Drivers!$L33 * 1000 / 1000000)</f>
        <v>32.882394952007374</v>
      </c>
      <c r="Q35" s="58">
        <f xml:space="preserve"> (I35 *Drivers!$L33 * 1000 / 1000000)</f>
        <v>33.378490556205421</v>
      </c>
      <c r="R35" s="58">
        <f xml:space="preserve"> (J35 *Drivers!$L33 * 1000 / 1000000)</f>
        <v>33.249411116635478</v>
      </c>
      <c r="S35" s="33"/>
      <c r="T35" s="58">
        <f t="shared" si="1"/>
        <v>22.300182888854156</v>
      </c>
      <c r="U35" s="58">
        <f t="shared" si="2"/>
        <v>12.058770220201357</v>
      </c>
      <c r="V35" s="48">
        <f t="shared" si="3"/>
        <v>33.170098874949424</v>
      </c>
      <c r="W35" s="33"/>
      <c r="X35" s="48">
        <f t="shared" si="4"/>
        <v>34.358953109055513</v>
      </c>
      <c r="Y35" s="48">
        <f t="shared" si="5"/>
        <v>33.170098874949424</v>
      </c>
      <c r="Z35" s="48">
        <f t="shared" si="6"/>
        <v>33.467312433475946</v>
      </c>
      <c r="AA35" s="33"/>
      <c r="AB35" s="48">
        <f>Controls!$F$17*Z35</f>
        <v>28.303410725886231</v>
      </c>
      <c r="AC35" s="48">
        <f>-(INDEX(Controls!$G$20:$G$24,MATCH($C35,Controls!$C$20:$C$24,0),0))*$Z35</f>
        <v>0</v>
      </c>
      <c r="AD35" s="59">
        <f t="shared" si="7"/>
        <v>28.303410725886231</v>
      </c>
      <c r="AE35" s="33"/>
      <c r="AG35" s="73"/>
    </row>
    <row r="36" spans="1:33" x14ac:dyDescent="0.3">
      <c r="A36" s="12" t="s">
        <v>85</v>
      </c>
      <c r="B36" s="12" t="str">
        <f t="shared" si="0"/>
        <v>SWB</v>
      </c>
      <c r="C36" s="12">
        <v>2025</v>
      </c>
      <c r="D36" s="99">
        <f>EXP(Coeffs!$D$13+(Coeffs!$D$6*Drivers!F34)+(Coeffs!$D$7*Drivers!G34))</f>
        <v>22.14203239853995</v>
      </c>
      <c r="E36" s="58">
        <f>EXP(Coeffs!$E$13+(Coeffs!$E$6*Drivers!F34)+(Coeffs!$E$7*Drivers!G34)+(Coeffs!$E$8*Drivers!D34))</f>
        <v>22.609641585663095</v>
      </c>
      <c r="F36" s="58">
        <f>EXP(Coeffs!$F$13+(Coeffs!$F$9*Drivers!E34)+(Coeffs!$F$10*Drivers!H34))</f>
        <v>10.585489601871469</v>
      </c>
      <c r="G36" s="58">
        <f>EXP(Coeffs!$G$13+(Coeffs!$G$9*Drivers!E34)+(Coeffs!$G$11*Drivers!I34)+(Coeffs!$G$12*Drivers!J34))</f>
        <v>12.938738564668331</v>
      </c>
      <c r="H36" s="58">
        <f>EXP(Coeffs!$H$13+(Coeffs!$H$7*Drivers!G34)+(Coeffs!$H$9*Drivers!E34)+(Coeffs!$H$10*Drivers!H34))</f>
        <v>32.624102733858805</v>
      </c>
      <c r="I36" s="58">
        <f>EXP(Coeffs!$I$13+(Coeffs!$I$7*Drivers!G34)+(Coeffs!$I$8*Drivers!D34)+(Coeffs!$I$9*Drivers!E34)+(Coeffs!$I$10*Drivers!H34))</f>
        <v>33.068465856740787</v>
      </c>
      <c r="J36" s="58">
        <f>EXP(Coeffs!$J$13+(Coeffs!$J$7*Drivers!G34)+(Coeffs!$J$8*Drivers!D34)+(Coeffs!$J$9*Drivers!E34)+(Coeffs!$J$11*Drivers!I34)+(Coeffs!$J$12*Drivers!J34))</f>
        <v>32.817460509052275</v>
      </c>
      <c r="K36" s="33"/>
      <c r="L36" s="58">
        <f xml:space="preserve"> (D36 *Drivers!$L34 * 1000 / 1000000)</f>
        <v>22.358227202879295</v>
      </c>
      <c r="M36" s="58">
        <f xml:space="preserve"> (E36 *Drivers!$L34 * 1000 / 1000000)</f>
        <v>22.830402126105511</v>
      </c>
      <c r="N36" s="58">
        <f xml:space="preserve"> (F36 *Drivers!$L34 * 1000 / 1000000)</f>
        <v>10.688846322344141</v>
      </c>
      <c r="O36" s="58">
        <f xml:space="preserve"> (G36 *Drivers!$L34 * 1000 / 1000000)</f>
        <v>13.065072408013751</v>
      </c>
      <c r="P36" s="58">
        <f xml:space="preserve"> (H36 *Drivers!$L34 * 1000 / 1000000)</f>
        <v>32.942644472952203</v>
      </c>
      <c r="Q36" s="58">
        <f xml:space="preserve"> (I36 *Drivers!$L34 * 1000 / 1000000)</f>
        <v>33.391346357366004</v>
      </c>
      <c r="R36" s="58">
        <f xml:space="preserve"> (J36 *Drivers!$L34 * 1000 / 1000000)</f>
        <v>33.13789019346266</v>
      </c>
      <c r="S36" s="33"/>
      <c r="T36" s="58">
        <f t="shared" si="1"/>
        <v>22.594314664492401</v>
      </c>
      <c r="U36" s="58">
        <f t="shared" si="2"/>
        <v>11.876959365178946</v>
      </c>
      <c r="V36" s="48">
        <f t="shared" si="3"/>
        <v>33.157293674593618</v>
      </c>
      <c r="W36" s="33"/>
      <c r="X36" s="48">
        <f t="shared" si="4"/>
        <v>34.471274029671349</v>
      </c>
      <c r="Y36" s="48">
        <f t="shared" si="5"/>
        <v>33.157293674593618</v>
      </c>
      <c r="Z36" s="48">
        <f t="shared" si="6"/>
        <v>33.485788763363047</v>
      </c>
      <c r="AA36" s="33"/>
      <c r="AB36" s="48">
        <f>Controls!$F$17*Z36</f>
        <v>28.319036215818866</v>
      </c>
      <c r="AC36" s="48">
        <f>-(INDEX(Controls!$G$20:$G$24,MATCH($C36,Controls!$C$20:$C$24,0),0))*$Z36</f>
        <v>0</v>
      </c>
      <c r="AD36" s="59">
        <f t="shared" si="7"/>
        <v>28.319036215818866</v>
      </c>
      <c r="AE36" s="33"/>
      <c r="AG36" s="73"/>
    </row>
    <row r="37" spans="1:33" x14ac:dyDescent="0.3">
      <c r="A37" s="12" t="s">
        <v>86</v>
      </c>
      <c r="B37" s="12" t="str">
        <f t="shared" si="0"/>
        <v>TMS</v>
      </c>
      <c r="C37" s="12">
        <v>2021</v>
      </c>
      <c r="D37" s="99">
        <f>EXP(Coeffs!$D$13+(Coeffs!$D$6*Drivers!F35)+(Coeffs!$D$7*Drivers!G35))</f>
        <v>17.759706801255906</v>
      </c>
      <c r="E37" s="58">
        <f>EXP(Coeffs!$E$13+(Coeffs!$E$6*Drivers!F35)+(Coeffs!$E$7*Drivers!G35)+(Coeffs!$E$8*Drivers!D35))</f>
        <v>16.897281595713935</v>
      </c>
      <c r="F37" s="58">
        <f>EXP(Coeffs!$F$13+(Coeffs!$F$9*Drivers!E35)+(Coeffs!$F$10*Drivers!H35))</f>
        <v>12.963140346625623</v>
      </c>
      <c r="G37" s="58">
        <f>EXP(Coeffs!$G$13+(Coeffs!$G$9*Drivers!E35)+(Coeffs!$G$11*Drivers!I35)+(Coeffs!$G$12*Drivers!J35))</f>
        <v>13.765366834856609</v>
      </c>
      <c r="H37" s="58">
        <f>EXP(Coeffs!$H$13+(Coeffs!$H$7*Drivers!G35)+(Coeffs!$H$9*Drivers!E35)+(Coeffs!$H$10*Drivers!H35))</f>
        <v>31.053071671811374</v>
      </c>
      <c r="I37" s="58">
        <f>EXP(Coeffs!$I$13+(Coeffs!$I$7*Drivers!G35)+(Coeffs!$I$8*Drivers!D35)+(Coeffs!$I$9*Drivers!E35)+(Coeffs!$I$10*Drivers!H35))</f>
        <v>28.811042706363061</v>
      </c>
      <c r="J37" s="58">
        <f>EXP(Coeffs!$J$13+(Coeffs!$J$7*Drivers!G35)+(Coeffs!$J$8*Drivers!D35)+(Coeffs!$J$9*Drivers!E35)+(Coeffs!$J$11*Drivers!I35)+(Coeffs!$J$12*Drivers!J35))</f>
        <v>31.369898990612224</v>
      </c>
      <c r="K37" s="33"/>
      <c r="L37" s="58">
        <f xml:space="preserve"> (D37 *Drivers!$L35 * 1000 / 1000000)</f>
        <v>98.975609670791627</v>
      </c>
      <c r="M37" s="58">
        <f xml:space="preserve"> (E37 *Drivers!$L35 * 1000 / 1000000)</f>
        <v>94.169276916022383</v>
      </c>
      <c r="N37" s="58">
        <f xml:space="preserve"> (F37 *Drivers!$L35 * 1000 / 1000000)</f>
        <v>72.244138566779512</v>
      </c>
      <c r="O37" s="58">
        <f xml:space="preserve"> (G37 *Drivers!$L35 * 1000 / 1000000)</f>
        <v>76.7149812814298</v>
      </c>
      <c r="P37" s="58">
        <f xml:space="preserve"> (H37 *Drivers!$L35 * 1000 / 1000000)</f>
        <v>173.06010370908669</v>
      </c>
      <c r="Q37" s="58">
        <f xml:space="preserve"> (I37 *Drivers!$L35 * 1000 / 1000000)</f>
        <v>160.56517987739772</v>
      </c>
      <c r="R37" s="58">
        <f xml:space="preserve"> (J37 *Drivers!$L35 * 1000 / 1000000)</f>
        <v>174.82579598033854</v>
      </c>
      <c r="S37" s="33"/>
      <c r="T37" s="58">
        <f t="shared" si="1"/>
        <v>96.572443293407005</v>
      </c>
      <c r="U37" s="58">
        <f t="shared" si="2"/>
        <v>74.479559924104649</v>
      </c>
      <c r="V37" s="48">
        <f t="shared" si="3"/>
        <v>169.48369318894098</v>
      </c>
      <c r="W37" s="33"/>
      <c r="X37" s="48">
        <f t="shared" si="4"/>
        <v>171.05200321751164</v>
      </c>
      <c r="Y37" s="48">
        <f t="shared" si="5"/>
        <v>169.48369318894098</v>
      </c>
      <c r="Z37" s="48">
        <f t="shared" si="6"/>
        <v>169.87577069608363</v>
      </c>
      <c r="AA37" s="33"/>
      <c r="AB37" s="48">
        <f>Controls!$F$17*Z37</f>
        <v>143.66447021836206</v>
      </c>
      <c r="AC37" s="48">
        <f>-(INDEX(Controls!$G$20:$G$24,MATCH($C37,Controls!$C$20:$C$24,0),0))*$Z37</f>
        <v>0</v>
      </c>
      <c r="AD37" s="59">
        <f t="shared" si="7"/>
        <v>143.66447021836206</v>
      </c>
      <c r="AE37" s="33"/>
      <c r="AG37" s="73"/>
    </row>
    <row r="38" spans="1:33" x14ac:dyDescent="0.3">
      <c r="A38" s="12" t="s">
        <v>87</v>
      </c>
      <c r="B38" s="12" t="str">
        <f t="shared" si="0"/>
        <v>TMS</v>
      </c>
      <c r="C38" s="12">
        <v>2022</v>
      </c>
      <c r="D38" s="99">
        <f>EXP(Coeffs!$D$13+(Coeffs!$D$6*Drivers!F36)+(Coeffs!$D$7*Drivers!G36))</f>
        <v>17.962697197437652</v>
      </c>
      <c r="E38" s="58">
        <f>EXP(Coeffs!$E$13+(Coeffs!$E$6*Drivers!F36)+(Coeffs!$E$7*Drivers!G36)+(Coeffs!$E$8*Drivers!D36))</f>
        <v>17.07939044514038</v>
      </c>
      <c r="F38" s="58">
        <f>EXP(Coeffs!$F$13+(Coeffs!$F$9*Drivers!E36)+(Coeffs!$F$10*Drivers!H36))</f>
        <v>13.21541977623983</v>
      </c>
      <c r="G38" s="58">
        <f>EXP(Coeffs!$G$13+(Coeffs!$G$9*Drivers!E36)+(Coeffs!$G$11*Drivers!I36)+(Coeffs!$G$12*Drivers!J36))</f>
        <v>14.026059951620784</v>
      </c>
      <c r="H38" s="58">
        <f>EXP(Coeffs!$H$13+(Coeffs!$H$7*Drivers!G36)+(Coeffs!$H$9*Drivers!E36)+(Coeffs!$H$10*Drivers!H36))</f>
        <v>31.475486499921697</v>
      </c>
      <c r="I38" s="58">
        <f>EXP(Coeffs!$I$13+(Coeffs!$I$7*Drivers!G36)+(Coeffs!$I$8*Drivers!D36)+(Coeffs!$I$9*Drivers!E36)+(Coeffs!$I$10*Drivers!H36))</f>
        <v>29.245642482917297</v>
      </c>
      <c r="J38" s="58">
        <f>EXP(Coeffs!$J$13+(Coeffs!$J$7*Drivers!G36)+(Coeffs!$J$8*Drivers!D36)+(Coeffs!$J$9*Drivers!E36)+(Coeffs!$J$11*Drivers!I36)+(Coeffs!$J$12*Drivers!J36))</f>
        <v>31.727736539724322</v>
      </c>
      <c r="K38" s="33"/>
      <c r="L38" s="58">
        <f xml:space="preserve"> (D38 *Drivers!$L36 * 1000 / 1000000)</f>
        <v>101.41844817586765</v>
      </c>
      <c r="M38" s="58">
        <f xml:space="preserve"> (E38 *Drivers!$L36 * 1000 / 1000000)</f>
        <v>96.431246137298857</v>
      </c>
      <c r="N38" s="58">
        <f xml:space="preserve"> (F38 *Drivers!$L36 * 1000 / 1000000)</f>
        <v>74.615039766416871</v>
      </c>
      <c r="O38" s="58">
        <f xml:space="preserve"> (G38 *Drivers!$L36 * 1000 / 1000000)</f>
        <v>79.19196202438809</v>
      </c>
      <c r="P38" s="58">
        <f xml:space="preserve"> (H38 *Drivers!$L36 * 1000 / 1000000)</f>
        <v>177.71245383226142</v>
      </c>
      <c r="Q38" s="58">
        <f xml:space="preserve"> (I38 *Drivers!$L36 * 1000 / 1000000)</f>
        <v>165.12262295145757</v>
      </c>
      <c r="R38" s="58">
        <f xml:space="preserve"> (J38 *Drivers!$L36 * 1000 / 1000000)</f>
        <v>179.13667243973939</v>
      </c>
      <c r="S38" s="33"/>
      <c r="T38" s="58">
        <f t="shared" si="1"/>
        <v>98.924847156583255</v>
      </c>
      <c r="U38" s="58">
        <f t="shared" si="2"/>
        <v>76.903500895402487</v>
      </c>
      <c r="V38" s="48">
        <f t="shared" si="3"/>
        <v>173.99058307448612</v>
      </c>
      <c r="W38" s="33"/>
      <c r="X38" s="48">
        <f t="shared" si="4"/>
        <v>175.82834805198576</v>
      </c>
      <c r="Y38" s="48">
        <f t="shared" si="5"/>
        <v>173.99058307448612</v>
      </c>
      <c r="Z38" s="48">
        <f t="shared" si="6"/>
        <v>174.45002431886104</v>
      </c>
      <c r="AA38" s="33"/>
      <c r="AB38" s="48">
        <f>Controls!$F$17*Z38</f>
        <v>147.53293080381206</v>
      </c>
      <c r="AC38" s="48">
        <f>-(INDEX(Controls!$G$20:$G$24,MATCH($C38,Controls!$C$20:$C$24,0),0))*$Z38</f>
        <v>0</v>
      </c>
      <c r="AD38" s="59">
        <f t="shared" si="7"/>
        <v>147.53293080381206</v>
      </c>
      <c r="AE38" s="33"/>
      <c r="AG38" s="73"/>
    </row>
    <row r="39" spans="1:33" x14ac:dyDescent="0.3">
      <c r="A39" s="12" t="s">
        <v>88</v>
      </c>
      <c r="B39" s="12" t="str">
        <f t="shared" ref="B39:B70" si="10">LEFT(A39,3)</f>
        <v>TMS</v>
      </c>
      <c r="C39" s="12">
        <v>2023</v>
      </c>
      <c r="D39" s="99">
        <f>EXP(Coeffs!$D$13+(Coeffs!$D$6*Drivers!F37)+(Coeffs!$D$7*Drivers!G37))</f>
        <v>18.288927017365978</v>
      </c>
      <c r="E39" s="58">
        <f>EXP(Coeffs!$E$13+(Coeffs!$E$6*Drivers!F37)+(Coeffs!$E$7*Drivers!G37)+(Coeffs!$E$8*Drivers!D37))</f>
        <v>17.377610710988808</v>
      </c>
      <c r="F39" s="58">
        <f>EXP(Coeffs!$F$13+(Coeffs!$F$9*Drivers!E37)+(Coeffs!$F$10*Drivers!H37))</f>
        <v>13.323833480535152</v>
      </c>
      <c r="G39" s="58">
        <f>EXP(Coeffs!$G$13+(Coeffs!$G$9*Drivers!E37)+(Coeffs!$G$11*Drivers!I37)+(Coeffs!$G$12*Drivers!J37))</f>
        <v>14.138048482996437</v>
      </c>
      <c r="H39" s="58">
        <f>EXP(Coeffs!$H$13+(Coeffs!$H$7*Drivers!G37)+(Coeffs!$H$9*Drivers!E37)+(Coeffs!$H$10*Drivers!H37))</f>
        <v>31.880670556084045</v>
      </c>
      <c r="I39" s="58">
        <f>EXP(Coeffs!$I$13+(Coeffs!$I$7*Drivers!G37)+(Coeffs!$I$8*Drivers!D37)+(Coeffs!$I$9*Drivers!E37)+(Coeffs!$I$10*Drivers!H37))</f>
        <v>29.66782506201417</v>
      </c>
      <c r="J39" s="58">
        <f>EXP(Coeffs!$J$13+(Coeffs!$J$7*Drivers!G37)+(Coeffs!$J$8*Drivers!D37)+(Coeffs!$J$9*Drivers!E37)+(Coeffs!$J$11*Drivers!I37)+(Coeffs!$J$12*Drivers!J37))</f>
        <v>31.970684577428855</v>
      </c>
      <c r="K39" s="33"/>
      <c r="L39" s="58">
        <f xml:space="preserve"> (D39 *Drivers!$L37 * 1000 / 1000000)</f>
        <v>104.50825105499126</v>
      </c>
      <c r="M39" s="58">
        <f xml:space="preserve"> (E39 *Drivers!$L37 * 1000 / 1000000)</f>
        <v>99.300724487306937</v>
      </c>
      <c r="N39" s="58">
        <f xml:space="preserve"> (F39 *Drivers!$L37 * 1000 / 1000000)</f>
        <v>76.136261743320688</v>
      </c>
      <c r="O39" s="58">
        <f xml:space="preserve"> (G39 *Drivers!$L37 * 1000 / 1000000)</f>
        <v>80.788923203950191</v>
      </c>
      <c r="P39" s="58">
        <f xml:space="preserve"> (H39 *Drivers!$L37 * 1000 / 1000000)</f>
        <v>182.17542883259605</v>
      </c>
      <c r="Q39" s="58">
        <f xml:space="preserve"> (I39 *Drivers!$L37 * 1000 / 1000000)</f>
        <v>169.53058574144202</v>
      </c>
      <c r="R39" s="58">
        <f xml:space="preserve"> (J39 *Drivers!$L37 * 1000 / 1000000)</f>
        <v>182.68979514464053</v>
      </c>
      <c r="S39" s="33"/>
      <c r="T39" s="58">
        <f t="shared" ref="T39:T70" si="11">$L$3*L39+$M$3*M39</f>
        <v>101.90448777114909</v>
      </c>
      <c r="U39" s="58">
        <f t="shared" si="2"/>
        <v>78.462592473635439</v>
      </c>
      <c r="V39" s="48">
        <f t="shared" si="3"/>
        <v>178.13193657289287</v>
      </c>
      <c r="W39" s="33"/>
      <c r="X39" s="48">
        <f t="shared" ref="X39:X70" si="12">SUM(T39:U39)</f>
        <v>180.36708024478452</v>
      </c>
      <c r="Y39" s="48">
        <f t="shared" ref="Y39:Y70" si="13">V39</f>
        <v>178.13193657289287</v>
      </c>
      <c r="Z39" s="48">
        <f t="shared" ref="Z39:Z70" si="14">$X$3*X39+$Y$3*Y39</f>
        <v>178.69072249086577</v>
      </c>
      <c r="AA39" s="33"/>
      <c r="AB39" s="48">
        <f>Controls!$F$17*Z39</f>
        <v>151.11930250202789</v>
      </c>
      <c r="AC39" s="48">
        <f>-(INDEX(Controls!$G$20:$G$24,MATCH($C39,Controls!$C$20:$C$24,0),0))*$Z39</f>
        <v>0</v>
      </c>
      <c r="AD39" s="59">
        <f t="shared" ref="AD39:AD70" si="15">AB39+AC39</f>
        <v>151.11930250202789</v>
      </c>
      <c r="AE39" s="33"/>
      <c r="AG39" s="73"/>
    </row>
    <row r="40" spans="1:33" x14ac:dyDescent="0.3">
      <c r="A40" s="12" t="s">
        <v>89</v>
      </c>
      <c r="B40" s="12" t="str">
        <f t="shared" si="10"/>
        <v>TMS</v>
      </c>
      <c r="C40" s="12">
        <v>2024</v>
      </c>
      <c r="D40" s="99">
        <f>EXP(Coeffs!$D$13+(Coeffs!$D$6*Drivers!F38)+(Coeffs!$D$7*Drivers!G38))</f>
        <v>18.622729049510987</v>
      </c>
      <c r="E40" s="58">
        <f>EXP(Coeffs!$E$13+(Coeffs!$E$6*Drivers!F38)+(Coeffs!$E$7*Drivers!G38)+(Coeffs!$E$8*Drivers!D38))</f>
        <v>17.682542186307803</v>
      </c>
      <c r="F40" s="58">
        <f>EXP(Coeffs!$F$13+(Coeffs!$F$9*Drivers!E38)+(Coeffs!$F$10*Drivers!H38))</f>
        <v>13.328080548752071</v>
      </c>
      <c r="G40" s="58">
        <f>EXP(Coeffs!$G$13+(Coeffs!$G$9*Drivers!E38)+(Coeffs!$G$11*Drivers!I38)+(Coeffs!$G$12*Drivers!J38))</f>
        <v>14.142435098754641</v>
      </c>
      <c r="H40" s="58">
        <f>EXP(Coeffs!$H$13+(Coeffs!$H$7*Drivers!G38)+(Coeffs!$H$9*Drivers!E38)+(Coeffs!$H$10*Drivers!H38))</f>
        <v>32.195130968568314</v>
      </c>
      <c r="I40" s="58">
        <f>EXP(Coeffs!$I$13+(Coeffs!$I$7*Drivers!G38)+(Coeffs!$I$8*Drivers!D38)+(Coeffs!$I$9*Drivers!E38)+(Coeffs!$I$10*Drivers!H38))</f>
        <v>29.993353242135104</v>
      </c>
      <c r="J40" s="58">
        <f>EXP(Coeffs!$J$13+(Coeffs!$J$7*Drivers!G38)+(Coeffs!$J$8*Drivers!D38)+(Coeffs!$J$9*Drivers!E38)+(Coeffs!$J$11*Drivers!I38)+(Coeffs!$J$12*Drivers!J38))</f>
        <v>32.08803327235762</v>
      </c>
      <c r="K40" s="33"/>
      <c r="L40" s="58">
        <f xml:space="preserve"> (D40 *Drivers!$L38 * 1000 / 1000000)</f>
        <v>107.70812902182429</v>
      </c>
      <c r="M40" s="58">
        <f xml:space="preserve"> (E40 *Drivers!$L38 * 1000 / 1000000)</f>
        <v>102.27037778261092</v>
      </c>
      <c r="N40" s="58">
        <f xml:space="preserve"> (F40 *Drivers!$L38 * 1000 / 1000000)</f>
        <v>77.085512845172957</v>
      </c>
      <c r="O40" s="58">
        <f xml:space="preserve"> (G40 *Drivers!$L38 * 1000 / 1000000)</f>
        <v>81.795488741186432</v>
      </c>
      <c r="P40" s="58">
        <f xml:space="preserve"> (H40 *Drivers!$L38 * 1000 / 1000000)</f>
        <v>186.20672142186078</v>
      </c>
      <c r="Q40" s="58">
        <f xml:space="preserve"> (I40 *Drivers!$L38 * 1000 / 1000000)</f>
        <v>173.47231719971086</v>
      </c>
      <c r="R40" s="58">
        <f xml:space="preserve"> (J40 *Drivers!$L38 * 1000 / 1000000)</f>
        <v>185.58730133306855</v>
      </c>
      <c r="S40" s="33"/>
      <c r="T40" s="58">
        <f t="shared" si="11"/>
        <v>104.9892534022176</v>
      </c>
      <c r="U40" s="58">
        <f t="shared" si="2"/>
        <v>79.440500793179694</v>
      </c>
      <c r="V40" s="48">
        <f t="shared" si="3"/>
        <v>181.75544665154672</v>
      </c>
      <c r="W40" s="33"/>
      <c r="X40" s="48">
        <f t="shared" si="12"/>
        <v>184.42975419539729</v>
      </c>
      <c r="Y40" s="48">
        <f t="shared" si="13"/>
        <v>181.75544665154672</v>
      </c>
      <c r="Z40" s="48">
        <f t="shared" si="14"/>
        <v>182.42402353750938</v>
      </c>
      <c r="AA40" s="33"/>
      <c r="AB40" s="48">
        <f>Controls!$F$17*Z40</f>
        <v>154.27656686547414</v>
      </c>
      <c r="AC40" s="48">
        <f>-(INDEX(Controls!$G$20:$G$24,MATCH($C40,Controls!$C$20:$C$24,0),0))*$Z40</f>
        <v>0</v>
      </c>
      <c r="AD40" s="59">
        <f t="shared" si="15"/>
        <v>154.27656686547414</v>
      </c>
      <c r="AE40" s="33"/>
      <c r="AG40" s="73"/>
    </row>
    <row r="41" spans="1:33" x14ac:dyDescent="0.3">
      <c r="A41" s="12" t="s">
        <v>90</v>
      </c>
      <c r="B41" s="12" t="str">
        <f t="shared" si="10"/>
        <v>TMS</v>
      </c>
      <c r="C41" s="12">
        <v>2025</v>
      </c>
      <c r="D41" s="99">
        <f>EXP(Coeffs!$D$13+(Coeffs!$D$6*Drivers!F39)+(Coeffs!$D$7*Drivers!G39))</f>
        <v>19.007516518284447</v>
      </c>
      <c r="E41" s="58">
        <f>EXP(Coeffs!$E$13+(Coeffs!$E$6*Drivers!F39)+(Coeffs!$E$7*Drivers!G39)+(Coeffs!$E$8*Drivers!D39))</f>
        <v>18.036326956221345</v>
      </c>
      <c r="F41" s="58">
        <f>EXP(Coeffs!$F$13+(Coeffs!$F$9*Drivers!E39)+(Coeffs!$F$10*Drivers!H39))</f>
        <v>13.338652796927951</v>
      </c>
      <c r="G41" s="58">
        <f>EXP(Coeffs!$G$13+(Coeffs!$G$9*Drivers!E39)+(Coeffs!$G$11*Drivers!I39)+(Coeffs!$G$12*Drivers!J39))</f>
        <v>14.153354561742132</v>
      </c>
      <c r="H41" s="58">
        <f>EXP(Coeffs!$H$13+(Coeffs!$H$7*Drivers!G39)+(Coeffs!$H$9*Drivers!E39)+(Coeffs!$H$10*Drivers!H39))</f>
        <v>32.559863143806318</v>
      </c>
      <c r="I41" s="58">
        <f>EXP(Coeffs!$I$13+(Coeffs!$I$7*Drivers!G39)+(Coeffs!$I$8*Drivers!D39)+(Coeffs!$I$9*Drivers!E39)+(Coeffs!$I$10*Drivers!H39))</f>
        <v>30.378073053302419</v>
      </c>
      <c r="J41" s="58">
        <f>EXP(Coeffs!$J$13+(Coeffs!$J$7*Drivers!G39)+(Coeffs!$J$8*Drivers!D39)+(Coeffs!$J$9*Drivers!E39)+(Coeffs!$J$11*Drivers!I39)+(Coeffs!$J$12*Drivers!J39))</f>
        <v>32.241920774721628</v>
      </c>
      <c r="K41" s="33"/>
      <c r="L41" s="58">
        <f xml:space="preserve"> (D41 *Drivers!$L39 * 1000 / 1000000)</f>
        <v>111.04092310895879</v>
      </c>
      <c r="M41" s="58">
        <f xml:space="preserve"> (E41 *Drivers!$L39 * 1000 / 1000000)</f>
        <v>105.36728418924338</v>
      </c>
      <c r="N41" s="58">
        <f xml:space="preserve"> (F41 *Drivers!$L39 * 1000 / 1000000)</f>
        <v>77.923716029707649</v>
      </c>
      <c r="O41" s="58">
        <f xml:space="preserve"> (G41 *Drivers!$L39 * 1000 / 1000000)</f>
        <v>82.683161375260326</v>
      </c>
      <c r="P41" s="58">
        <f xml:space="preserve"> (H41 *Drivers!$L39 * 1000 / 1000000)</f>
        <v>190.21302737323305</v>
      </c>
      <c r="Q41" s="58">
        <f xml:space="preserve"> (I41 *Drivers!$L39 * 1000 / 1000000)</f>
        <v>177.46712311759399</v>
      </c>
      <c r="R41" s="58">
        <f xml:space="preserve"> (J41 *Drivers!$L39 * 1000 / 1000000)</f>
        <v>188.35562458604349</v>
      </c>
      <c r="S41" s="33"/>
      <c r="T41" s="58">
        <f t="shared" si="11"/>
        <v>108.20410364910109</v>
      </c>
      <c r="U41" s="58">
        <f t="shared" si="2"/>
        <v>80.303438702483987</v>
      </c>
      <c r="V41" s="48">
        <f t="shared" si="3"/>
        <v>185.34525835895684</v>
      </c>
      <c r="W41" s="33"/>
      <c r="X41" s="48">
        <f t="shared" si="12"/>
        <v>188.50754235158507</v>
      </c>
      <c r="Y41" s="48">
        <f t="shared" si="13"/>
        <v>185.34525835895684</v>
      </c>
      <c r="Z41" s="48">
        <f t="shared" si="14"/>
        <v>186.13582935711389</v>
      </c>
      <c r="AA41" s="33"/>
      <c r="AB41" s="48">
        <f>Controls!$F$17*Z41</f>
        <v>157.41565264823083</v>
      </c>
      <c r="AC41" s="48">
        <f>-(INDEX(Controls!$G$20:$G$24,MATCH($C41,Controls!$C$20:$C$24,0),0))*$Z41</f>
        <v>0</v>
      </c>
      <c r="AD41" s="59">
        <f t="shared" si="15"/>
        <v>157.41565264823083</v>
      </c>
      <c r="AE41" s="33"/>
      <c r="AG41" s="73"/>
    </row>
    <row r="42" spans="1:33" x14ac:dyDescent="0.3">
      <c r="A42" s="12" t="s">
        <v>91</v>
      </c>
      <c r="B42" s="12" t="str">
        <f t="shared" si="10"/>
        <v>WSH</v>
      </c>
      <c r="C42" s="12">
        <v>2021</v>
      </c>
      <c r="D42" s="99">
        <f>EXP(Coeffs!$D$13+(Coeffs!$D$6*Drivers!F40)+(Coeffs!$D$7*Drivers!G40))</f>
        <v>17.549204017899818</v>
      </c>
      <c r="E42" s="58">
        <f>EXP(Coeffs!$E$13+(Coeffs!$E$6*Drivers!F40)+(Coeffs!$E$7*Drivers!G40)+(Coeffs!$E$8*Drivers!D40))</f>
        <v>17.900209582709312</v>
      </c>
      <c r="F42" s="58">
        <f>EXP(Coeffs!$F$13+(Coeffs!$F$9*Drivers!E40)+(Coeffs!$F$10*Drivers!H40))</f>
        <v>14.849318305876837</v>
      </c>
      <c r="G42" s="58">
        <f>EXP(Coeffs!$G$13+(Coeffs!$G$9*Drivers!E40)+(Coeffs!$G$11*Drivers!I40)+(Coeffs!$G$12*Drivers!J40))</f>
        <v>15.931913526114414</v>
      </c>
      <c r="H42" s="58">
        <f>EXP(Coeffs!$H$13+(Coeffs!$H$7*Drivers!G40)+(Coeffs!$H$9*Drivers!E40)+(Coeffs!$H$10*Drivers!H40))</f>
        <v>32.1430489013159</v>
      </c>
      <c r="I42" s="58">
        <f>EXP(Coeffs!$I$13+(Coeffs!$I$7*Drivers!G40)+(Coeffs!$I$8*Drivers!D40)+(Coeffs!$I$9*Drivers!E40)+(Coeffs!$I$10*Drivers!H40))</f>
        <v>32.150358034987924</v>
      </c>
      <c r="J42" s="58">
        <f>EXP(Coeffs!$J$13+(Coeffs!$J$7*Drivers!G40)+(Coeffs!$J$8*Drivers!D40)+(Coeffs!$J$9*Drivers!E40)+(Coeffs!$J$11*Drivers!I40)+(Coeffs!$J$12*Drivers!J40))</f>
        <v>34.143466036544943</v>
      </c>
      <c r="K42" s="33"/>
      <c r="L42" s="58">
        <f xml:space="preserve"> (D42 *Drivers!$L40 * 1000 / 1000000)</f>
        <v>25.008072004811705</v>
      </c>
      <c r="M42" s="58">
        <f xml:space="preserve"> (E42 *Drivers!$L40 * 1000 / 1000000)</f>
        <v>25.508264060809918</v>
      </c>
      <c r="N42" s="58">
        <f xml:space="preserve"> (F42 *Drivers!$L40 * 1000 / 1000000)</f>
        <v>21.160664668150442</v>
      </c>
      <c r="O42" s="58">
        <f xml:space="preserve"> (G42 *Drivers!$L40 * 1000 / 1000000)</f>
        <v>22.703391004464716</v>
      </c>
      <c r="P42" s="58">
        <f xml:space="preserve"> (H42 *Drivers!$L40 * 1000 / 1000000)</f>
        <v>45.804680403646579</v>
      </c>
      <c r="Q42" s="58">
        <f xml:space="preserve"> (I42 *Drivers!$L40 * 1000 / 1000000)</f>
        <v>45.815096109166696</v>
      </c>
      <c r="R42" s="58">
        <f xml:space="preserve"> (J42 *Drivers!$L40 * 1000 / 1000000)</f>
        <v>48.655326832193488</v>
      </c>
      <c r="S42" s="33"/>
      <c r="T42" s="58">
        <f t="shared" si="11"/>
        <v>25.258168032810811</v>
      </c>
      <c r="U42" s="58">
        <f t="shared" si="2"/>
        <v>21.932027836307579</v>
      </c>
      <c r="V42" s="48">
        <f t="shared" si="3"/>
        <v>46.758367781668916</v>
      </c>
      <c r="W42" s="33"/>
      <c r="X42" s="48">
        <f t="shared" si="12"/>
        <v>47.190195869118391</v>
      </c>
      <c r="Y42" s="48">
        <f t="shared" si="13"/>
        <v>46.758367781668916</v>
      </c>
      <c r="Z42" s="48">
        <f t="shared" si="14"/>
        <v>46.866324803531285</v>
      </c>
      <c r="AA42" s="33"/>
      <c r="AB42" s="48">
        <f>Controls!$F$17*Z42</f>
        <v>39.634997365379007</v>
      </c>
      <c r="AC42" s="48">
        <f>-(INDEX(Controls!$G$20:$G$24,MATCH($C42,Controls!$C$20:$C$24,0),0))*$Z42</f>
        <v>0</v>
      </c>
      <c r="AD42" s="59">
        <f t="shared" si="15"/>
        <v>39.634997365379007</v>
      </c>
      <c r="AE42" s="33"/>
      <c r="AG42" s="73"/>
    </row>
    <row r="43" spans="1:33" x14ac:dyDescent="0.3">
      <c r="A43" s="12" t="s">
        <v>92</v>
      </c>
      <c r="B43" s="12" t="str">
        <f t="shared" si="10"/>
        <v>WSH</v>
      </c>
      <c r="C43" s="12">
        <v>2022</v>
      </c>
      <c r="D43" s="99">
        <f>EXP(Coeffs!$D$13+(Coeffs!$D$6*Drivers!F41)+(Coeffs!$D$7*Drivers!G41))</f>
        <v>17.702916018721126</v>
      </c>
      <c r="E43" s="58">
        <f>EXP(Coeffs!$E$13+(Coeffs!$E$6*Drivers!F41)+(Coeffs!$E$7*Drivers!G41)+(Coeffs!$E$8*Drivers!D41))</f>
        <v>18.049555831726266</v>
      </c>
      <c r="F43" s="58">
        <f>EXP(Coeffs!$F$13+(Coeffs!$F$9*Drivers!E41)+(Coeffs!$F$10*Drivers!H41))</f>
        <v>14.836981098839166</v>
      </c>
      <c r="G43" s="58">
        <f>EXP(Coeffs!$G$13+(Coeffs!$G$9*Drivers!E41)+(Coeffs!$G$11*Drivers!I41)+(Coeffs!$G$12*Drivers!J41))</f>
        <v>15.919029102041588</v>
      </c>
      <c r="H43" s="58">
        <f>EXP(Coeffs!$H$13+(Coeffs!$H$7*Drivers!G41)+(Coeffs!$H$9*Drivers!E41)+(Coeffs!$H$10*Drivers!H41))</f>
        <v>32.283283928839673</v>
      </c>
      <c r="I43" s="58">
        <f>EXP(Coeffs!$I$13+(Coeffs!$I$7*Drivers!G41)+(Coeffs!$I$8*Drivers!D41)+(Coeffs!$I$9*Drivers!E41)+(Coeffs!$I$10*Drivers!H41))</f>
        <v>32.302020334663723</v>
      </c>
      <c r="J43" s="58">
        <f>EXP(Coeffs!$J$13+(Coeffs!$J$7*Drivers!G41)+(Coeffs!$J$8*Drivers!D41)+(Coeffs!$J$9*Drivers!E41)+(Coeffs!$J$11*Drivers!I41)+(Coeffs!$J$12*Drivers!J41))</f>
        <v>34.17869706854809</v>
      </c>
      <c r="K43" s="33"/>
      <c r="L43" s="58">
        <f xml:space="preserve"> (D43 *Drivers!$L41 * 1000 / 1000000)</f>
        <v>25.425848537720253</v>
      </c>
      <c r="M43" s="58">
        <f xml:space="preserve"> (E43 *Drivers!$L41 * 1000 / 1000000)</f>
        <v>25.923710662428512</v>
      </c>
      <c r="N43" s="58">
        <f xml:space="preserve"> (F43 *Drivers!$L41 * 1000 / 1000000)</f>
        <v>21.309643777169949</v>
      </c>
      <c r="O43" s="58">
        <f xml:space="preserve"> (G43 *Drivers!$L41 * 1000 / 1000000)</f>
        <v>22.863737385865434</v>
      </c>
      <c r="P43" s="58">
        <f xml:space="preserve"> (H43 *Drivers!$L41 * 1000 / 1000000)</f>
        <v>46.36693110936384</v>
      </c>
      <c r="Q43" s="58">
        <f xml:space="preserve"> (I43 *Drivers!$L41 * 1000 / 1000000)</f>
        <v>46.393841309701443</v>
      </c>
      <c r="R43" s="58">
        <f xml:space="preserve"> (J43 *Drivers!$L41 * 1000 / 1000000)</f>
        <v>49.08922202209633</v>
      </c>
      <c r="S43" s="33"/>
      <c r="T43" s="58">
        <f t="shared" si="11"/>
        <v>25.67477960007438</v>
      </c>
      <c r="U43" s="58">
        <f t="shared" si="2"/>
        <v>22.086690581517693</v>
      </c>
      <c r="V43" s="48">
        <f t="shared" si="3"/>
        <v>47.283331480387204</v>
      </c>
      <c r="W43" s="33"/>
      <c r="X43" s="48">
        <f t="shared" si="12"/>
        <v>47.761470181592074</v>
      </c>
      <c r="Y43" s="48">
        <f t="shared" si="13"/>
        <v>47.283331480387204</v>
      </c>
      <c r="Z43" s="48">
        <f t="shared" si="14"/>
        <v>47.402866155688422</v>
      </c>
      <c r="AA43" s="33"/>
      <c r="AB43" s="48">
        <f>Controls!$F$17*Z43</f>
        <v>40.08875206383923</v>
      </c>
      <c r="AC43" s="48">
        <f>-(INDEX(Controls!$G$20:$G$24,MATCH($C43,Controls!$C$20:$C$24,0),0))*$Z43</f>
        <v>0</v>
      </c>
      <c r="AD43" s="59">
        <f t="shared" si="15"/>
        <v>40.08875206383923</v>
      </c>
      <c r="AE43" s="33"/>
      <c r="AG43" s="73"/>
    </row>
    <row r="44" spans="1:33" x14ac:dyDescent="0.3">
      <c r="A44" s="12" t="s">
        <v>93</v>
      </c>
      <c r="B44" s="12" t="str">
        <f t="shared" si="10"/>
        <v>WSH</v>
      </c>
      <c r="C44" s="12">
        <v>2023</v>
      </c>
      <c r="D44" s="99">
        <f>EXP(Coeffs!$D$13+(Coeffs!$D$6*Drivers!F42)+(Coeffs!$D$7*Drivers!G42))</f>
        <v>17.853659895979764</v>
      </c>
      <c r="E44" s="58">
        <f>EXP(Coeffs!$E$13+(Coeffs!$E$6*Drivers!F42)+(Coeffs!$E$7*Drivers!G42)+(Coeffs!$E$8*Drivers!D42))</f>
        <v>18.195759793783285</v>
      </c>
      <c r="F44" s="58">
        <f>EXP(Coeffs!$F$13+(Coeffs!$F$9*Drivers!E42)+(Coeffs!$F$10*Drivers!H42))</f>
        <v>14.826990800093332</v>
      </c>
      <c r="G44" s="58">
        <f>EXP(Coeffs!$G$13+(Coeffs!$G$9*Drivers!E42)+(Coeffs!$G$11*Drivers!I42)+(Coeffs!$G$12*Drivers!J42))</f>
        <v>15.908595474442139</v>
      </c>
      <c r="H44" s="58">
        <f>EXP(Coeffs!$H$13+(Coeffs!$H$7*Drivers!G42)+(Coeffs!$H$9*Drivers!E42)+(Coeffs!$H$10*Drivers!H42))</f>
        <v>32.421899926861045</v>
      </c>
      <c r="I44" s="58">
        <f>EXP(Coeffs!$I$13+(Coeffs!$I$7*Drivers!G42)+(Coeffs!$I$8*Drivers!D42)+(Coeffs!$I$9*Drivers!E42)+(Coeffs!$I$10*Drivers!H42))</f>
        <v>32.451556592214111</v>
      </c>
      <c r="J44" s="58">
        <f>EXP(Coeffs!$J$13+(Coeffs!$J$7*Drivers!G42)+(Coeffs!$J$8*Drivers!D42)+(Coeffs!$J$9*Drivers!E42)+(Coeffs!$J$11*Drivers!I42)+(Coeffs!$J$12*Drivers!J42))</f>
        <v>34.214198718464758</v>
      </c>
      <c r="K44" s="33"/>
      <c r="L44" s="58">
        <f xml:space="preserve"> (D44 *Drivers!$L42 * 1000 / 1000000)</f>
        <v>25.846029285014062</v>
      </c>
      <c r="M44" s="58">
        <f xml:space="preserve"> (E44 *Drivers!$L42 * 1000 / 1000000)</f>
        <v>26.341273623068311</v>
      </c>
      <c r="N44" s="58">
        <f xml:space="preserve"> (F44 *Drivers!$L42 * 1000 / 1000000)</f>
        <v>21.464441501663114</v>
      </c>
      <c r="O44" s="58">
        <f xml:space="preserve"> (G44 *Drivers!$L42 * 1000 / 1000000)</f>
        <v>23.030237324530912</v>
      </c>
      <c r="P44" s="58">
        <f xml:space="preserve"> (H44 *Drivers!$L42 * 1000 / 1000000)</f>
        <v>46.935887648119667</v>
      </c>
      <c r="Q44" s="58">
        <f xml:space="preserve"> (I44 *Drivers!$L42 * 1000 / 1000000)</f>
        <v>46.978820416284684</v>
      </c>
      <c r="R44" s="58">
        <f xml:space="preserve"> (J44 *Drivers!$L42 * 1000 / 1000000)</f>
        <v>49.530526916772693</v>
      </c>
      <c r="S44" s="33"/>
      <c r="T44" s="58">
        <f t="shared" si="11"/>
        <v>26.093651454041186</v>
      </c>
      <c r="U44" s="58">
        <f t="shared" si="2"/>
        <v>22.247339413097013</v>
      </c>
      <c r="V44" s="48">
        <f t="shared" si="3"/>
        <v>47.815078327059013</v>
      </c>
      <c r="W44" s="33"/>
      <c r="X44" s="48">
        <f t="shared" si="12"/>
        <v>48.340990867138203</v>
      </c>
      <c r="Y44" s="48">
        <f t="shared" si="13"/>
        <v>47.815078327059013</v>
      </c>
      <c r="Z44" s="48">
        <f t="shared" si="14"/>
        <v>47.94655646207881</v>
      </c>
      <c r="AA44" s="33"/>
      <c r="AB44" s="48">
        <f>Controls!$F$17*Z44</f>
        <v>40.548552655238311</v>
      </c>
      <c r="AC44" s="48">
        <f>-(INDEX(Controls!$G$20:$G$24,MATCH($C44,Controls!$C$20:$C$24,0),0))*$Z44</f>
        <v>0</v>
      </c>
      <c r="AD44" s="59">
        <f t="shared" si="15"/>
        <v>40.548552655238311</v>
      </c>
      <c r="AE44" s="33"/>
      <c r="AG44" s="73"/>
    </row>
    <row r="45" spans="1:33" x14ac:dyDescent="0.3">
      <c r="A45" s="12" t="s">
        <v>94</v>
      </c>
      <c r="B45" s="12" t="str">
        <f t="shared" si="10"/>
        <v>WSH</v>
      </c>
      <c r="C45" s="12">
        <v>2024</v>
      </c>
      <c r="D45" s="99">
        <f>EXP(Coeffs!$D$13+(Coeffs!$D$6*Drivers!F43)+(Coeffs!$D$7*Drivers!G43))</f>
        <v>18.000932514727872</v>
      </c>
      <c r="E45" s="58">
        <f>EXP(Coeffs!$E$13+(Coeffs!$E$6*Drivers!F43)+(Coeffs!$E$7*Drivers!G43)+(Coeffs!$E$8*Drivers!D43))</f>
        <v>18.338375972741684</v>
      </c>
      <c r="F45" s="58">
        <f>EXP(Coeffs!$F$13+(Coeffs!$F$9*Drivers!E43)+(Coeffs!$F$10*Drivers!H43))</f>
        <v>14.816473948595732</v>
      </c>
      <c r="G45" s="58">
        <f>EXP(Coeffs!$G$13+(Coeffs!$G$9*Drivers!E43)+(Coeffs!$G$11*Drivers!I43)+(Coeffs!$G$12*Drivers!J43))</f>
        <v>15.897611725611142</v>
      </c>
      <c r="H45" s="58">
        <f>EXP(Coeffs!$H$13+(Coeffs!$H$7*Drivers!G43)+(Coeffs!$H$9*Drivers!E43)+(Coeffs!$H$10*Drivers!H43))</f>
        <v>32.556051779462869</v>
      </c>
      <c r="I45" s="58">
        <f>EXP(Coeffs!$I$13+(Coeffs!$I$7*Drivers!G43)+(Coeffs!$I$8*Drivers!D43)+(Coeffs!$I$9*Drivers!E43)+(Coeffs!$I$10*Drivers!H43))</f>
        <v>32.595831311987645</v>
      </c>
      <c r="J45" s="58">
        <f>EXP(Coeffs!$J$13+(Coeffs!$J$7*Drivers!G43)+(Coeffs!$J$8*Drivers!D43)+(Coeffs!$J$9*Drivers!E43)+(Coeffs!$J$11*Drivers!I43)+(Coeffs!$J$12*Drivers!J43))</f>
        <v>34.246725422358828</v>
      </c>
      <c r="K45" s="33"/>
      <c r="L45" s="58">
        <f xml:space="preserve"> (D45 *Drivers!$L43 * 1000 / 1000000)</f>
        <v>26.26577266394494</v>
      </c>
      <c r="M45" s="58">
        <f xml:space="preserve"> (E45 *Drivers!$L43 * 1000 / 1000000)</f>
        <v>26.758147886610463</v>
      </c>
      <c r="N45" s="58">
        <f xml:space="preserve"> (F45 *Drivers!$L43 * 1000 / 1000000)</f>
        <v>21.619220898510285</v>
      </c>
      <c r="O45" s="58">
        <f xml:space="preserve"> (G45 *Drivers!$L43 * 1000 / 1000000)</f>
        <v>23.196745787637891</v>
      </c>
      <c r="P45" s="58">
        <f xml:space="preserve"> (H45 *Drivers!$L43 * 1000 / 1000000)</f>
        <v>47.503642057174773</v>
      </c>
      <c r="Q45" s="58">
        <f xml:space="preserve"> (I45 *Drivers!$L43 * 1000 / 1000000)</f>
        <v>47.561685725585782</v>
      </c>
      <c r="R45" s="58">
        <f xml:space="preserve"> (J45 *Drivers!$L43 * 1000 / 1000000)</f>
        <v>49.970561452428122</v>
      </c>
      <c r="S45" s="33"/>
      <c r="T45" s="58">
        <f t="shared" si="11"/>
        <v>26.511960275277701</v>
      </c>
      <c r="U45" s="58">
        <f t="shared" si="2"/>
        <v>22.407983343074086</v>
      </c>
      <c r="V45" s="48">
        <f t="shared" si="3"/>
        <v>48.345296411729556</v>
      </c>
      <c r="W45" s="33"/>
      <c r="X45" s="48">
        <f t="shared" si="12"/>
        <v>48.919943618351788</v>
      </c>
      <c r="Y45" s="48">
        <f t="shared" si="13"/>
        <v>48.345296411729556</v>
      </c>
      <c r="Z45" s="48">
        <f t="shared" si="14"/>
        <v>48.488958213385118</v>
      </c>
      <c r="AA45" s="33"/>
      <c r="AB45" s="48">
        <f>Controls!$F$17*Z45</f>
        <v>41.007263511575452</v>
      </c>
      <c r="AC45" s="48">
        <f>-(INDEX(Controls!$G$20:$G$24,MATCH($C45,Controls!$C$20:$C$24,0),0))*$Z45</f>
        <v>0</v>
      </c>
      <c r="AD45" s="59">
        <f t="shared" si="15"/>
        <v>41.007263511575452</v>
      </c>
      <c r="AE45" s="33"/>
      <c r="AG45" s="73"/>
    </row>
    <row r="46" spans="1:33" x14ac:dyDescent="0.3">
      <c r="A46" s="12" t="s">
        <v>95</v>
      </c>
      <c r="B46" s="12" t="str">
        <f t="shared" si="10"/>
        <v>WSH</v>
      </c>
      <c r="C46" s="12">
        <v>2025</v>
      </c>
      <c r="D46" s="99">
        <f>EXP(Coeffs!$D$13+(Coeffs!$D$6*Drivers!F44)+(Coeffs!$D$7*Drivers!G44))</f>
        <v>18.144736603863549</v>
      </c>
      <c r="E46" s="58">
        <f>EXP(Coeffs!$E$13+(Coeffs!$E$6*Drivers!F44)+(Coeffs!$E$7*Drivers!G44)+(Coeffs!$E$8*Drivers!D44))</f>
        <v>18.477412885778676</v>
      </c>
      <c r="F46" s="58">
        <f>EXP(Coeffs!$F$13+(Coeffs!$F$9*Drivers!E44)+(Coeffs!$F$10*Drivers!H44))</f>
        <v>14.804581550600656</v>
      </c>
      <c r="G46" s="58">
        <f>EXP(Coeffs!$G$13+(Coeffs!$G$9*Drivers!E44)+(Coeffs!$G$11*Drivers!I44)+(Coeffs!$G$12*Drivers!J44))</f>
        <v>15.885191112619927</v>
      </c>
      <c r="H46" s="58">
        <f>EXP(Coeffs!$H$13+(Coeffs!$H$7*Drivers!G44)+(Coeffs!$H$9*Drivers!E44)+(Coeffs!$H$10*Drivers!H44))</f>
        <v>32.685062298482812</v>
      </c>
      <c r="I46" s="58">
        <f>EXP(Coeffs!$I$13+(Coeffs!$I$7*Drivers!G44)+(Coeffs!$I$8*Drivers!D44)+(Coeffs!$I$9*Drivers!E44)+(Coeffs!$I$10*Drivers!H44))</f>
        <v>32.734065172718822</v>
      </c>
      <c r="J46" s="58">
        <f>EXP(Coeffs!$J$13+(Coeffs!$J$7*Drivers!G44)+(Coeffs!$J$8*Drivers!D44)+(Coeffs!$J$9*Drivers!E44)+(Coeffs!$J$11*Drivers!I44)+(Coeffs!$J$12*Drivers!J44))</f>
        <v>34.275332476308499</v>
      </c>
      <c r="K46" s="33"/>
      <c r="L46" s="58">
        <f xml:space="preserve"> (D46 *Drivers!$L44 * 1000 / 1000000)</f>
        <v>26.684956070677213</v>
      </c>
      <c r="M46" s="58">
        <f xml:space="preserve"> (E46 *Drivers!$L44 * 1000 / 1000000)</f>
        <v>27.174213763553894</v>
      </c>
      <c r="N46" s="58">
        <f xml:space="preserve"> (F46 *Drivers!$L44 * 1000 / 1000000)</f>
        <v>21.772683558184966</v>
      </c>
      <c r="O46" s="58">
        <f xml:space="preserve"> (G46 *Drivers!$L44 * 1000 / 1000000)</f>
        <v>23.361905783978976</v>
      </c>
      <c r="P46" s="58">
        <f xml:space="preserve"> (H46 *Drivers!$L44 * 1000 / 1000000)</f>
        <v>48.069005940634312</v>
      </c>
      <c r="Q46" s="58">
        <f xml:space="preserve"> (I46 *Drivers!$L44 * 1000 / 1000000)</f>
        <v>48.14107309569274</v>
      </c>
      <c r="R46" s="58">
        <f xml:space="preserve"> (J46 *Drivers!$L44 * 1000 / 1000000)</f>
        <v>50.407771763597573</v>
      </c>
      <c r="S46" s="33"/>
      <c r="T46" s="58">
        <f t="shared" si="11"/>
        <v>26.929584917115555</v>
      </c>
      <c r="U46" s="58">
        <f t="shared" si="2"/>
        <v>22.567294671081971</v>
      </c>
      <c r="V46" s="48">
        <f t="shared" si="3"/>
        <v>48.872616933308201</v>
      </c>
      <c r="W46" s="33"/>
      <c r="X46" s="48">
        <f t="shared" si="12"/>
        <v>49.49687958819753</v>
      </c>
      <c r="Y46" s="48">
        <f t="shared" si="13"/>
        <v>48.872616933308201</v>
      </c>
      <c r="Z46" s="48">
        <f t="shared" si="14"/>
        <v>49.028682597030539</v>
      </c>
      <c r="AA46" s="33"/>
      <c r="AB46" s="48">
        <f>Controls!$F$17*Z46</f>
        <v>41.463710109713766</v>
      </c>
      <c r="AC46" s="48">
        <f>-(INDEX(Controls!$G$20:$G$24,MATCH($C46,Controls!$C$20:$C$24,0),0))*$Z46</f>
        <v>0</v>
      </c>
      <c r="AD46" s="59">
        <f t="shared" si="15"/>
        <v>41.463710109713766</v>
      </c>
      <c r="AE46" s="33"/>
      <c r="AG46" s="73"/>
    </row>
    <row r="47" spans="1:33" x14ac:dyDescent="0.3">
      <c r="A47" s="12" t="s">
        <v>96</v>
      </c>
      <c r="B47" s="12" t="str">
        <f t="shared" si="10"/>
        <v>WSX</v>
      </c>
      <c r="C47" s="12">
        <v>2021</v>
      </c>
      <c r="D47" s="99">
        <f>EXP(Coeffs!$D$13+(Coeffs!$D$6*Drivers!F45)+(Coeffs!$D$7*Drivers!G45))</f>
        <v>18.550769014678313</v>
      </c>
      <c r="E47" s="58">
        <f>EXP(Coeffs!$E$13+(Coeffs!$E$6*Drivers!F45)+(Coeffs!$E$7*Drivers!G45)+(Coeffs!$E$8*Drivers!D45))</f>
        <v>18.407121173550998</v>
      </c>
      <c r="F47" s="58">
        <f>EXP(Coeffs!$F$13+(Coeffs!$F$9*Drivers!E45)+(Coeffs!$F$10*Drivers!H45))</f>
        <v>7.4136359113206085</v>
      </c>
      <c r="G47" s="58">
        <f>EXP(Coeffs!$G$13+(Coeffs!$G$9*Drivers!E45)+(Coeffs!$G$11*Drivers!I45)+(Coeffs!$G$12*Drivers!J45))</f>
        <v>8.9783519549635322</v>
      </c>
      <c r="H47" s="58">
        <f>EXP(Coeffs!$H$13+(Coeffs!$H$7*Drivers!G45)+(Coeffs!$H$9*Drivers!E45)+(Coeffs!$H$10*Drivers!H45))</f>
        <v>26.595177317808268</v>
      </c>
      <c r="I47" s="58">
        <f>EXP(Coeffs!$I$13+(Coeffs!$I$7*Drivers!G45)+(Coeffs!$I$8*Drivers!D45)+(Coeffs!$I$9*Drivers!E45)+(Coeffs!$I$10*Drivers!H45))</f>
        <v>25.707676739140435</v>
      </c>
      <c r="J47" s="58">
        <f>EXP(Coeffs!$J$13+(Coeffs!$J$7*Drivers!G45)+(Coeffs!$J$8*Drivers!D45)+(Coeffs!$J$9*Drivers!E45)+(Coeffs!$J$11*Drivers!I45)+(Coeffs!$J$12*Drivers!J45))</f>
        <v>25.652559652835119</v>
      </c>
      <c r="K47" s="33"/>
      <c r="L47" s="58">
        <f xml:space="preserve"> (D47 *Drivers!$L45 * 1000 / 1000000)</f>
        <v>22.875472693532235</v>
      </c>
      <c r="M47" s="58">
        <f xml:space="preserve"> (E47 *Drivers!$L45 * 1000 / 1000000)</f>
        <v>22.698336518498593</v>
      </c>
      <c r="N47" s="58">
        <f xml:space="preserve"> (F47 *Drivers!$L45 * 1000 / 1000000)</f>
        <v>9.1419620240549602</v>
      </c>
      <c r="O47" s="58">
        <f xml:space="preserve"> (G47 *Drivers!$L45 * 1000 / 1000000)</f>
        <v>11.07145718952027</v>
      </c>
      <c r="P47" s="58">
        <f xml:space="preserve"> (H47 *Drivers!$L45 * 1000 / 1000000)</f>
        <v>32.795257815554272</v>
      </c>
      <c r="Q47" s="58">
        <f xml:space="preserve"> (I47 *Drivers!$L45 * 1000 / 1000000)</f>
        <v>31.700856001982764</v>
      </c>
      <c r="R47" s="58">
        <f xml:space="preserve"> (J47 *Drivers!$L45 * 1000 / 1000000)</f>
        <v>31.632889579581263</v>
      </c>
      <c r="S47" s="33"/>
      <c r="T47" s="58">
        <f t="shared" si="11"/>
        <v>22.786904606015412</v>
      </c>
      <c r="U47" s="58">
        <f t="shared" si="2"/>
        <v>10.106709606787614</v>
      </c>
      <c r="V47" s="48">
        <f t="shared" si="3"/>
        <v>32.043001132372765</v>
      </c>
      <c r="W47" s="33"/>
      <c r="X47" s="48">
        <f t="shared" si="12"/>
        <v>32.89361421280303</v>
      </c>
      <c r="Y47" s="48">
        <f t="shared" si="13"/>
        <v>32.043001132372765</v>
      </c>
      <c r="Z47" s="48">
        <f t="shared" si="14"/>
        <v>32.255654402480332</v>
      </c>
      <c r="AA47" s="33"/>
      <c r="AB47" s="48">
        <f>Controls!$F$17*Z47</f>
        <v>27.278707742079124</v>
      </c>
      <c r="AC47" s="48">
        <f>-(INDEX(Controls!$G$20:$G$24,MATCH($C47,Controls!$C$20:$C$24,0),0))*$Z47</f>
        <v>0</v>
      </c>
      <c r="AD47" s="59">
        <f t="shared" si="15"/>
        <v>27.278707742079124</v>
      </c>
      <c r="AE47" s="33"/>
      <c r="AG47" s="73"/>
    </row>
    <row r="48" spans="1:33" x14ac:dyDescent="0.3">
      <c r="A48" s="12" t="s">
        <v>97</v>
      </c>
      <c r="B48" s="12" t="str">
        <f t="shared" si="10"/>
        <v>WSX</v>
      </c>
      <c r="C48" s="12">
        <v>2022</v>
      </c>
      <c r="D48" s="99">
        <f>EXP(Coeffs!$D$13+(Coeffs!$D$6*Drivers!F46)+(Coeffs!$D$7*Drivers!G46))</f>
        <v>18.770255258243331</v>
      </c>
      <c r="E48" s="58">
        <f>EXP(Coeffs!$E$13+(Coeffs!$E$6*Drivers!F46)+(Coeffs!$E$7*Drivers!G46)+(Coeffs!$E$8*Drivers!D46))</f>
        <v>18.614680247626609</v>
      </c>
      <c r="F48" s="58">
        <f>EXP(Coeffs!$F$13+(Coeffs!$F$9*Drivers!E46)+(Coeffs!$F$10*Drivers!H46))</f>
        <v>7.5629135987805762</v>
      </c>
      <c r="G48" s="58">
        <f>EXP(Coeffs!$G$13+(Coeffs!$G$9*Drivers!E46)+(Coeffs!$G$11*Drivers!I46)+(Coeffs!$G$12*Drivers!J46))</f>
        <v>9.1542765587377275</v>
      </c>
      <c r="H48" s="58">
        <f>EXP(Coeffs!$H$13+(Coeffs!$H$7*Drivers!G46)+(Coeffs!$H$9*Drivers!E46)+(Coeffs!$H$10*Drivers!H46))</f>
        <v>26.969554613120156</v>
      </c>
      <c r="I48" s="58">
        <f>EXP(Coeffs!$I$13+(Coeffs!$I$7*Drivers!G46)+(Coeffs!$I$8*Drivers!D46)+(Coeffs!$I$9*Drivers!E46)+(Coeffs!$I$10*Drivers!H46))</f>
        <v>26.113700245393524</v>
      </c>
      <c r="J48" s="58">
        <f>EXP(Coeffs!$J$13+(Coeffs!$J$7*Drivers!G46)+(Coeffs!$J$8*Drivers!D46)+(Coeffs!$J$9*Drivers!E46)+(Coeffs!$J$11*Drivers!I46)+(Coeffs!$J$12*Drivers!J46))</f>
        <v>25.964538577137418</v>
      </c>
      <c r="K48" s="33"/>
      <c r="L48" s="58">
        <f xml:space="preserve"> (D48 *Drivers!$L46 * 1000 / 1000000)</f>
        <v>23.388432551215747</v>
      </c>
      <c r="M48" s="58">
        <f xml:space="preserve"> (E48 *Drivers!$L46 * 1000 / 1000000)</f>
        <v>23.194580331711919</v>
      </c>
      <c r="N48" s="58">
        <f xml:space="preserve"> (F48 *Drivers!$L46 * 1000 / 1000000)</f>
        <v>9.4236701718837548</v>
      </c>
      <c r="O48" s="58">
        <f xml:space="preserve"> (G48 *Drivers!$L46 * 1000 / 1000000)</f>
        <v>11.406567300419882</v>
      </c>
      <c r="P48" s="58">
        <f xml:space="preserve"> (H48 *Drivers!$L46 * 1000 / 1000000)</f>
        <v>33.605062921468402</v>
      </c>
      <c r="Q48" s="58">
        <f xml:space="preserve"> (I48 *Drivers!$L46 * 1000 / 1000000)</f>
        <v>32.538636712669408</v>
      </c>
      <c r="R48" s="58">
        <f xml:space="preserve"> (J48 *Drivers!$L46 * 1000 / 1000000)</f>
        <v>32.352775755040575</v>
      </c>
      <c r="S48" s="33"/>
      <c r="T48" s="58">
        <f t="shared" si="11"/>
        <v>23.291506441463831</v>
      </c>
      <c r="U48" s="58">
        <f t="shared" si="2"/>
        <v>10.415118736151818</v>
      </c>
      <c r="V48" s="48">
        <f t="shared" si="3"/>
        <v>32.832158463059457</v>
      </c>
      <c r="W48" s="33"/>
      <c r="X48" s="48">
        <f t="shared" si="12"/>
        <v>33.706625177615649</v>
      </c>
      <c r="Y48" s="48">
        <f t="shared" si="13"/>
        <v>32.832158463059457</v>
      </c>
      <c r="Z48" s="48">
        <f t="shared" si="14"/>
        <v>33.050775141698509</v>
      </c>
      <c r="AA48" s="33"/>
      <c r="AB48" s="48">
        <f>Controls!$F$17*Z48</f>
        <v>27.951143836357552</v>
      </c>
      <c r="AC48" s="48">
        <f>-(INDEX(Controls!$G$20:$G$24,MATCH($C48,Controls!$C$20:$C$24,0),0))*$Z48</f>
        <v>0</v>
      </c>
      <c r="AD48" s="59">
        <f t="shared" si="15"/>
        <v>27.951143836357552</v>
      </c>
      <c r="AE48" s="33"/>
      <c r="AG48" s="73"/>
    </row>
    <row r="49" spans="1:33" x14ac:dyDescent="0.3">
      <c r="A49" s="12" t="s">
        <v>98</v>
      </c>
      <c r="B49" s="12" t="str">
        <f t="shared" si="10"/>
        <v>WSX</v>
      </c>
      <c r="C49" s="12">
        <v>2023</v>
      </c>
      <c r="D49" s="99">
        <f>EXP(Coeffs!$D$13+(Coeffs!$D$6*Drivers!F47)+(Coeffs!$D$7*Drivers!G47))</f>
        <v>18.980877741263235</v>
      </c>
      <c r="E49" s="58">
        <f>EXP(Coeffs!$E$13+(Coeffs!$E$6*Drivers!F47)+(Coeffs!$E$7*Drivers!G47)+(Coeffs!$E$8*Drivers!D47))</f>
        <v>18.813577643245718</v>
      </c>
      <c r="F49" s="58">
        <f>EXP(Coeffs!$F$13+(Coeffs!$F$9*Drivers!E47)+(Coeffs!$F$10*Drivers!H47))</f>
        <v>7.7405104468018626</v>
      </c>
      <c r="G49" s="58">
        <f>EXP(Coeffs!$G$13+(Coeffs!$G$9*Drivers!E47)+(Coeffs!$G$11*Drivers!I47)+(Coeffs!$G$12*Drivers!J47))</f>
        <v>9.3634552226274259</v>
      </c>
      <c r="H49" s="58">
        <f>EXP(Coeffs!$H$13+(Coeffs!$H$7*Drivers!G47)+(Coeffs!$H$9*Drivers!E47)+(Coeffs!$H$10*Drivers!H47))</f>
        <v>27.374859044611075</v>
      </c>
      <c r="I49" s="58">
        <f>EXP(Coeffs!$I$13+(Coeffs!$I$7*Drivers!G47)+(Coeffs!$I$8*Drivers!D47)+(Coeffs!$I$9*Drivers!E47)+(Coeffs!$I$10*Drivers!H47))</f>
        <v>26.554879849564301</v>
      </c>
      <c r="J49" s="58">
        <f>EXP(Coeffs!$J$13+(Coeffs!$J$7*Drivers!G47)+(Coeffs!$J$8*Drivers!D47)+(Coeffs!$J$9*Drivers!E47)+(Coeffs!$J$11*Drivers!I47)+(Coeffs!$J$12*Drivers!J47))</f>
        <v>26.320600281621736</v>
      </c>
      <c r="K49" s="33"/>
      <c r="L49" s="58">
        <f xml:space="preserve"> (D49 *Drivers!$L47 * 1000 / 1000000)</f>
        <v>23.891363679072228</v>
      </c>
      <c r="M49" s="58">
        <f xml:space="preserve"> (E49 *Drivers!$L47 * 1000 / 1000000)</f>
        <v>23.680781874596889</v>
      </c>
      <c r="N49" s="58">
        <f xml:space="preserve"> (F49 *Drivers!$L47 * 1000 / 1000000)</f>
        <v>9.743034682962632</v>
      </c>
      <c r="O49" s="58">
        <f xml:space="preserve"> (G49 *Drivers!$L47 * 1000 / 1000000)</f>
        <v>11.785846632907699</v>
      </c>
      <c r="P49" s="58">
        <f xml:space="preserve"> (H49 *Drivers!$L47 * 1000 / 1000000)</f>
        <v>34.456926703465278</v>
      </c>
      <c r="Q49" s="58">
        <f xml:space="preserve"> (I49 *Drivers!$L47 * 1000 / 1000000)</f>
        <v>33.424813150805534</v>
      </c>
      <c r="R49" s="58">
        <f xml:space="preserve"> (J49 *Drivers!$L47 * 1000 / 1000000)</f>
        <v>33.129923818679259</v>
      </c>
      <c r="S49" s="33"/>
      <c r="T49" s="58">
        <f t="shared" si="11"/>
        <v>23.786072776834558</v>
      </c>
      <c r="U49" s="58">
        <f t="shared" si="2"/>
        <v>10.764440657935165</v>
      </c>
      <c r="V49" s="48">
        <f t="shared" si="3"/>
        <v>33.670554557650021</v>
      </c>
      <c r="W49" s="33"/>
      <c r="X49" s="48">
        <f t="shared" si="12"/>
        <v>34.550513434769726</v>
      </c>
      <c r="Y49" s="48">
        <f t="shared" si="13"/>
        <v>33.670554557650021</v>
      </c>
      <c r="Z49" s="48">
        <f t="shared" si="14"/>
        <v>33.890544276929944</v>
      </c>
      <c r="AA49" s="33"/>
      <c r="AB49" s="48">
        <f>Controls!$F$17*Z49</f>
        <v>28.661339218691364</v>
      </c>
      <c r="AC49" s="48">
        <f>-(INDEX(Controls!$G$20:$G$24,MATCH($C49,Controls!$C$20:$C$24,0),0))*$Z49</f>
        <v>0</v>
      </c>
      <c r="AD49" s="59">
        <f t="shared" si="15"/>
        <v>28.661339218691364</v>
      </c>
      <c r="AE49" s="33"/>
      <c r="AG49" s="73"/>
    </row>
    <row r="50" spans="1:33" x14ac:dyDescent="0.3">
      <c r="A50" s="12" t="s">
        <v>99</v>
      </c>
      <c r="B50" s="12" t="str">
        <f t="shared" si="10"/>
        <v>WSX</v>
      </c>
      <c r="C50" s="12">
        <v>2024</v>
      </c>
      <c r="D50" s="99">
        <f>EXP(Coeffs!$D$13+(Coeffs!$D$6*Drivers!F48)+(Coeffs!$D$7*Drivers!G48))</f>
        <v>19.18399783743039</v>
      </c>
      <c r="E50" s="58">
        <f>EXP(Coeffs!$E$13+(Coeffs!$E$6*Drivers!F48)+(Coeffs!$E$7*Drivers!G48)+(Coeffs!$E$8*Drivers!D48))</f>
        <v>19.005196627519528</v>
      </c>
      <c r="F50" s="58">
        <f>EXP(Coeffs!$F$13+(Coeffs!$F$9*Drivers!E48)+(Coeffs!$F$10*Drivers!H48))</f>
        <v>7.8664339929498528</v>
      </c>
      <c r="G50" s="58">
        <f>EXP(Coeffs!$G$13+(Coeffs!$G$9*Drivers!E48)+(Coeffs!$G$11*Drivers!I48)+(Coeffs!$G$12*Drivers!J48))</f>
        <v>9.5116940190371437</v>
      </c>
      <c r="H50" s="58">
        <f>EXP(Coeffs!$H$13+(Coeffs!$H$7*Drivers!G48)+(Coeffs!$H$9*Drivers!E48)+(Coeffs!$H$10*Drivers!H48))</f>
        <v>27.703045801131267</v>
      </c>
      <c r="I50" s="58">
        <f>EXP(Coeffs!$I$13+(Coeffs!$I$7*Drivers!G48)+(Coeffs!$I$8*Drivers!D48)+(Coeffs!$I$9*Drivers!E48)+(Coeffs!$I$10*Drivers!H48))</f>
        <v>26.910911065852069</v>
      </c>
      <c r="J50" s="58">
        <f>EXP(Coeffs!$J$13+(Coeffs!$J$7*Drivers!G48)+(Coeffs!$J$8*Drivers!D48)+(Coeffs!$J$9*Drivers!E48)+(Coeffs!$J$11*Drivers!I48)+(Coeffs!$J$12*Drivers!J48))</f>
        <v>26.583343939312773</v>
      </c>
      <c r="K50" s="33"/>
      <c r="L50" s="58">
        <f xml:space="preserve"> (D50 *Drivers!$L48 * 1000 / 1000000)</f>
        <v>24.38431923520967</v>
      </c>
      <c r="M50" s="58">
        <f xml:space="preserve"> (E50 *Drivers!$L48 * 1000 / 1000000)</f>
        <v>24.15704930852101</v>
      </c>
      <c r="N50" s="58">
        <f xml:space="preserve"> (F50 *Drivers!$L48 * 1000 / 1000000)</f>
        <v>9.9988354540227267</v>
      </c>
      <c r="O50" s="58">
        <f xml:space="preserve"> (G50 *Drivers!$L48 * 1000 / 1000000)</f>
        <v>12.090085986941656</v>
      </c>
      <c r="P50" s="58">
        <f xml:space="preserve"> (H50 *Drivers!$L48 * 1000 / 1000000)</f>
        <v>35.212676644718726</v>
      </c>
      <c r="Q50" s="58">
        <f xml:space="preserve"> (I50 *Drivers!$L48 * 1000 / 1000000)</f>
        <v>34.205813193938987</v>
      </c>
      <c r="R50" s="58">
        <f xml:space="preserve"> (J50 *Drivers!$L48 * 1000 / 1000000)</f>
        <v>33.789450481005922</v>
      </c>
      <c r="S50" s="33"/>
      <c r="T50" s="58">
        <f t="shared" si="11"/>
        <v>24.270684271865342</v>
      </c>
      <c r="U50" s="58">
        <f t="shared" si="2"/>
        <v>11.044460720482192</v>
      </c>
      <c r="V50" s="48">
        <f t="shared" si="3"/>
        <v>34.402646773221207</v>
      </c>
      <c r="W50" s="33"/>
      <c r="X50" s="48">
        <f t="shared" si="12"/>
        <v>35.315144992347534</v>
      </c>
      <c r="Y50" s="48">
        <f t="shared" si="13"/>
        <v>34.402646773221207</v>
      </c>
      <c r="Z50" s="48">
        <f t="shared" si="14"/>
        <v>34.630771328002787</v>
      </c>
      <c r="AA50" s="33"/>
      <c r="AB50" s="48">
        <f>Controls!$F$17*Z50</f>
        <v>29.287351549337007</v>
      </c>
      <c r="AC50" s="48">
        <f>-(INDEX(Controls!$G$20:$G$24,MATCH($C50,Controls!$C$20:$C$24,0),0))*$Z50</f>
        <v>0</v>
      </c>
      <c r="AD50" s="59">
        <f t="shared" si="15"/>
        <v>29.287351549337007</v>
      </c>
      <c r="AE50" s="33"/>
      <c r="AG50" s="73"/>
    </row>
    <row r="51" spans="1:33" x14ac:dyDescent="0.3">
      <c r="A51" s="12" t="s">
        <v>100</v>
      </c>
      <c r="B51" s="12" t="str">
        <f t="shared" si="10"/>
        <v>WSX</v>
      </c>
      <c r="C51" s="12">
        <v>2025</v>
      </c>
      <c r="D51" s="99">
        <f>EXP(Coeffs!$D$13+(Coeffs!$D$6*Drivers!F49)+(Coeffs!$D$7*Drivers!G49))</f>
        <v>19.380268720456876</v>
      </c>
      <c r="E51" s="58">
        <f>EXP(Coeffs!$E$13+(Coeffs!$E$6*Drivers!F49)+(Coeffs!$E$7*Drivers!G49)+(Coeffs!$E$8*Drivers!D49))</f>
        <v>19.19034627778818</v>
      </c>
      <c r="F51" s="58">
        <f>EXP(Coeffs!$F$13+(Coeffs!$F$9*Drivers!E49)+(Coeffs!$F$10*Drivers!H49))</f>
        <v>8.0110369291536028</v>
      </c>
      <c r="G51" s="58">
        <f>EXP(Coeffs!$G$13+(Coeffs!$G$9*Drivers!E49)+(Coeffs!$G$11*Drivers!I49)+(Coeffs!$G$12*Drivers!J49))</f>
        <v>9.6818445844480205</v>
      </c>
      <c r="H51" s="58">
        <f>EXP(Coeffs!$H$13+(Coeffs!$H$7*Drivers!G49)+(Coeffs!$H$9*Drivers!E49)+(Coeffs!$H$10*Drivers!H49))</f>
        <v>28.050609886627583</v>
      </c>
      <c r="I51" s="58">
        <f>EXP(Coeffs!$I$13+(Coeffs!$I$7*Drivers!G49)+(Coeffs!$I$8*Drivers!D49)+(Coeffs!$I$9*Drivers!E49)+(Coeffs!$I$10*Drivers!H49))</f>
        <v>27.289599811461184</v>
      </c>
      <c r="J51" s="58">
        <f>EXP(Coeffs!$J$13+(Coeffs!$J$7*Drivers!G49)+(Coeffs!$J$8*Drivers!D49)+(Coeffs!$J$9*Drivers!E49)+(Coeffs!$J$11*Drivers!I49)+(Coeffs!$J$12*Drivers!J49))</f>
        <v>26.875317794526588</v>
      </c>
      <c r="K51" s="33"/>
      <c r="L51" s="58">
        <f xml:space="preserve"> (D51 *Drivers!$L49 * 1000 / 1000000)</f>
        <v>24.862404093949955</v>
      </c>
      <c r="M51" s="58">
        <f xml:space="preserve"> (E51 *Drivers!$L49 * 1000 / 1000000)</f>
        <v>24.618757910078678</v>
      </c>
      <c r="N51" s="58">
        <f xml:space="preserve"> (F51 *Drivers!$L49 * 1000 / 1000000)</f>
        <v>10.27713496737714</v>
      </c>
      <c r="O51" s="58">
        <f xml:space="preserve"> (G51 *Drivers!$L49 * 1000 / 1000000)</f>
        <v>12.420567325740002</v>
      </c>
      <c r="P51" s="58">
        <f xml:space="preserve"> (H51 *Drivers!$L49 * 1000 / 1000000)</f>
        <v>35.985342006477701</v>
      </c>
      <c r="Q51" s="58">
        <f xml:space="preserve"> (I51 *Drivers!$L49 * 1000 / 1000000)</f>
        <v>35.009063489328831</v>
      </c>
      <c r="R51" s="58">
        <f xml:space="preserve"> (J51 *Drivers!$L49 * 1000 / 1000000)</f>
        <v>34.477592689699918</v>
      </c>
      <c r="S51" s="33"/>
      <c r="T51" s="58">
        <f t="shared" si="11"/>
        <v>24.740581002014316</v>
      </c>
      <c r="U51" s="58">
        <f t="shared" si="2"/>
        <v>11.348851146558571</v>
      </c>
      <c r="V51" s="48">
        <f t="shared" si="3"/>
        <v>35.157332728502148</v>
      </c>
      <c r="W51" s="33"/>
      <c r="X51" s="48">
        <f t="shared" si="12"/>
        <v>36.08943214857289</v>
      </c>
      <c r="Y51" s="48">
        <f t="shared" si="13"/>
        <v>35.157332728502148</v>
      </c>
      <c r="Z51" s="48">
        <f t="shared" si="14"/>
        <v>35.39035758351983</v>
      </c>
      <c r="AA51" s="33"/>
      <c r="AB51" s="48">
        <f>Controls!$F$17*Z51</f>
        <v>29.929736019687617</v>
      </c>
      <c r="AC51" s="48">
        <f>-(INDEX(Controls!$G$20:$G$24,MATCH($C51,Controls!$C$20:$C$24,0),0))*$Z51</f>
        <v>0</v>
      </c>
      <c r="AD51" s="59">
        <f t="shared" si="15"/>
        <v>29.929736019687617</v>
      </c>
      <c r="AE51" s="33"/>
      <c r="AG51" s="73"/>
    </row>
    <row r="52" spans="1:33" x14ac:dyDescent="0.3">
      <c r="A52" s="12" t="s">
        <v>101</v>
      </c>
      <c r="B52" s="12" t="str">
        <f t="shared" si="10"/>
        <v>YKY</v>
      </c>
      <c r="C52" s="12">
        <v>2021</v>
      </c>
      <c r="D52" s="99">
        <f>EXP(Coeffs!$D$13+(Coeffs!$D$6*Drivers!F50)+(Coeffs!$D$7*Drivers!G50))</f>
        <v>19.091159489047669</v>
      </c>
      <c r="E52" s="58">
        <f>EXP(Coeffs!$E$13+(Coeffs!$E$6*Drivers!F50)+(Coeffs!$E$7*Drivers!G50)+(Coeffs!$E$8*Drivers!D50))</f>
        <v>19.19654099387364</v>
      </c>
      <c r="F52" s="58">
        <f>EXP(Coeffs!$F$13+(Coeffs!$F$9*Drivers!E50)+(Coeffs!$F$10*Drivers!H50))</f>
        <v>14.546079061916315</v>
      </c>
      <c r="G52" s="58">
        <f>EXP(Coeffs!$G$13+(Coeffs!$G$9*Drivers!E50)+(Coeffs!$G$11*Drivers!I50)+(Coeffs!$G$12*Drivers!J50))</f>
        <v>15.451483824562636</v>
      </c>
      <c r="H52" s="58">
        <f>EXP(Coeffs!$H$13+(Coeffs!$H$7*Drivers!G50)+(Coeffs!$H$9*Drivers!E50)+(Coeffs!$H$10*Drivers!H50))</f>
        <v>33.14734956151851</v>
      </c>
      <c r="I52" s="58">
        <f>EXP(Coeffs!$I$13+(Coeffs!$I$7*Drivers!G50)+(Coeffs!$I$8*Drivers!D50)+(Coeffs!$I$9*Drivers!E50)+(Coeffs!$I$10*Drivers!H50))</f>
        <v>32.588396484993311</v>
      </c>
      <c r="J52" s="58">
        <f>EXP(Coeffs!$J$13+(Coeffs!$J$7*Drivers!G50)+(Coeffs!$J$8*Drivers!D50)+(Coeffs!$J$9*Drivers!E50)+(Coeffs!$J$11*Drivers!I50)+(Coeffs!$J$12*Drivers!J50))</f>
        <v>33.278338314793643</v>
      </c>
      <c r="K52" s="33"/>
      <c r="L52" s="58">
        <f xml:space="preserve"> (D52 *Drivers!$L50 * 1000 / 1000000)</f>
        <v>42.359273762704078</v>
      </c>
      <c r="M52" s="58">
        <f xml:space="preserve"> (E52 *Drivers!$L50 * 1000 / 1000000)</f>
        <v>42.593093191796889</v>
      </c>
      <c r="N52" s="58">
        <f xml:space="preserve"> (F52 *Drivers!$L50 * 1000 / 1000000)</f>
        <v>32.274694761789299</v>
      </c>
      <c r="O52" s="58">
        <f xml:space="preserve"> (G52 *Drivers!$L50 * 1000 / 1000000)</f>
        <v>34.283597795101336</v>
      </c>
      <c r="P52" s="58">
        <f xml:space="preserve"> (H52 *Drivers!$L50 * 1000 / 1000000)</f>
        <v>73.54700773360166</v>
      </c>
      <c r="Q52" s="58">
        <f xml:space="preserve"> (I52 *Drivers!$L50 * 1000 / 1000000)</f>
        <v>72.306808236938295</v>
      </c>
      <c r="R52" s="58">
        <f xml:space="preserve"> (J52 *Drivers!$L50 * 1000 / 1000000)</f>
        <v>73.83764426948099</v>
      </c>
      <c r="S52" s="33"/>
      <c r="T52" s="58">
        <f t="shared" si="11"/>
        <v>42.476183477250487</v>
      </c>
      <c r="U52" s="58">
        <f t="shared" si="2"/>
        <v>33.279146278445317</v>
      </c>
      <c r="V52" s="48">
        <f t="shared" si="3"/>
        <v>73.230486746673648</v>
      </c>
      <c r="W52" s="33"/>
      <c r="X52" s="48">
        <f t="shared" si="12"/>
        <v>75.755329755695811</v>
      </c>
      <c r="Y52" s="48">
        <f t="shared" si="13"/>
        <v>73.230486746673648</v>
      </c>
      <c r="Z52" s="48">
        <f t="shared" si="14"/>
        <v>73.861697498929189</v>
      </c>
      <c r="AA52" s="33"/>
      <c r="AB52" s="48">
        <f>Controls!$F$17*Z52</f>
        <v>62.465068426954993</v>
      </c>
      <c r="AC52" s="48">
        <f>-(INDEX(Controls!$G$20:$G$24,MATCH($C52,Controls!$C$20:$C$24,0),0))*$Z52</f>
        <v>0</v>
      </c>
      <c r="AD52" s="59">
        <f t="shared" si="15"/>
        <v>62.465068426954993</v>
      </c>
      <c r="AE52" s="33"/>
      <c r="AG52" s="73"/>
    </row>
    <row r="53" spans="1:33" x14ac:dyDescent="0.3">
      <c r="A53" s="12" t="s">
        <v>102</v>
      </c>
      <c r="B53" s="12" t="str">
        <f t="shared" si="10"/>
        <v>YKY</v>
      </c>
      <c r="C53" s="12">
        <v>2022</v>
      </c>
      <c r="D53" s="99">
        <f>EXP(Coeffs!$D$13+(Coeffs!$D$6*Drivers!F51)+(Coeffs!$D$7*Drivers!G51))</f>
        <v>19.340827282114425</v>
      </c>
      <c r="E53" s="58">
        <f>EXP(Coeffs!$E$13+(Coeffs!$E$6*Drivers!F51)+(Coeffs!$E$7*Drivers!G51)+(Coeffs!$E$8*Drivers!D51))</f>
        <v>19.437386087743679</v>
      </c>
      <c r="F53" s="58">
        <f>EXP(Coeffs!$F$13+(Coeffs!$F$9*Drivers!E51)+(Coeffs!$F$10*Drivers!H51))</f>
        <v>14.548659561673055</v>
      </c>
      <c r="G53" s="58">
        <f>EXP(Coeffs!$G$13+(Coeffs!$G$9*Drivers!E51)+(Coeffs!$G$11*Drivers!I51)+(Coeffs!$G$12*Drivers!J51))</f>
        <v>15.45415196678009</v>
      </c>
      <c r="H53" s="58">
        <f>EXP(Coeffs!$H$13+(Coeffs!$H$7*Drivers!G51)+(Coeffs!$H$9*Drivers!E51)+(Coeffs!$H$10*Drivers!H51))</f>
        <v>33.38123112394765</v>
      </c>
      <c r="I53" s="58">
        <f>EXP(Coeffs!$I$13+(Coeffs!$I$7*Drivers!G51)+(Coeffs!$I$8*Drivers!D51)+(Coeffs!$I$9*Drivers!E51)+(Coeffs!$I$10*Drivers!H51))</f>
        <v>32.842729733201637</v>
      </c>
      <c r="J53" s="58">
        <f>EXP(Coeffs!$J$13+(Coeffs!$J$7*Drivers!G51)+(Coeffs!$J$8*Drivers!D51)+(Coeffs!$J$9*Drivers!E51)+(Coeffs!$J$11*Drivers!I51)+(Coeffs!$J$12*Drivers!J51))</f>
        <v>33.362393644031798</v>
      </c>
      <c r="K53" s="33"/>
      <c r="L53" s="58">
        <f xml:space="preserve"> (D53 *Drivers!$L51 * 1000 / 1000000)</f>
        <v>43.317921635333619</v>
      </c>
      <c r="M53" s="58">
        <f xml:space="preserve"> (E53 *Drivers!$L51 * 1000 / 1000000)</f>
        <v>43.534185744124748</v>
      </c>
      <c r="N53" s="58">
        <f xml:space="preserve"> (F53 *Drivers!$L51 * 1000 / 1000000)</f>
        <v>32.584836501513003</v>
      </c>
      <c r="O53" s="58">
        <f xml:space="preserve"> (G53 *Drivers!$L51 * 1000 / 1000000)</f>
        <v>34.612880518124911</v>
      </c>
      <c r="P53" s="58">
        <f xml:space="preserve"> (H53 *Drivers!$L51 * 1000 / 1000000)</f>
        <v>74.764410685541293</v>
      </c>
      <c r="Q53" s="58">
        <f xml:space="preserve"> (I53 *Drivers!$L51 * 1000 / 1000000)</f>
        <v>73.558321581667968</v>
      </c>
      <c r="R53" s="58">
        <f xml:space="preserve"> (J53 *Drivers!$L51 * 1000 / 1000000)</f>
        <v>74.722220118049037</v>
      </c>
      <c r="S53" s="33"/>
      <c r="T53" s="58">
        <f t="shared" si="11"/>
        <v>43.426053689729187</v>
      </c>
      <c r="U53" s="58">
        <f t="shared" si="2"/>
        <v>33.598858509818953</v>
      </c>
      <c r="V53" s="48">
        <f t="shared" si="3"/>
        <v>74.348317461752771</v>
      </c>
      <c r="W53" s="33"/>
      <c r="X53" s="48">
        <f t="shared" si="12"/>
        <v>77.02491219954814</v>
      </c>
      <c r="Y53" s="48">
        <f t="shared" si="13"/>
        <v>74.348317461752771</v>
      </c>
      <c r="Z53" s="48">
        <f t="shared" si="14"/>
        <v>75.017466146201613</v>
      </c>
      <c r="AA53" s="33"/>
      <c r="AB53" s="48">
        <f>Controls!$F$17*Z53</f>
        <v>63.442505584267117</v>
      </c>
      <c r="AC53" s="48">
        <f>-(INDEX(Controls!$G$20:$G$24,MATCH($C53,Controls!$C$20:$C$24,0),0))*$Z53</f>
        <v>0</v>
      </c>
      <c r="AD53" s="59">
        <f t="shared" si="15"/>
        <v>63.442505584267117</v>
      </c>
      <c r="AE53" s="33"/>
      <c r="AG53" s="73"/>
    </row>
    <row r="54" spans="1:33" x14ac:dyDescent="0.3">
      <c r="A54" s="12" t="s">
        <v>103</v>
      </c>
      <c r="B54" s="12" t="str">
        <f t="shared" si="10"/>
        <v>YKY</v>
      </c>
      <c r="C54" s="12">
        <v>2023</v>
      </c>
      <c r="D54" s="99">
        <f>EXP(Coeffs!$D$13+(Coeffs!$D$6*Drivers!F52)+(Coeffs!$D$7*Drivers!G52))</f>
        <v>19.573435941546364</v>
      </c>
      <c r="E54" s="58">
        <f>EXP(Coeffs!$E$13+(Coeffs!$E$6*Drivers!F52)+(Coeffs!$E$7*Drivers!G52)+(Coeffs!$E$8*Drivers!D52))</f>
        <v>19.661122926980031</v>
      </c>
      <c r="F54" s="58">
        <f>EXP(Coeffs!$F$13+(Coeffs!$F$9*Drivers!E52)+(Coeffs!$F$10*Drivers!H52))</f>
        <v>14.549561697069155</v>
      </c>
      <c r="G54" s="58">
        <f>EXP(Coeffs!$G$13+(Coeffs!$G$9*Drivers!E52)+(Coeffs!$G$11*Drivers!I52)+(Coeffs!$G$12*Drivers!J52))</f>
        <v>15.455084738759705</v>
      </c>
      <c r="H54" s="58">
        <f>EXP(Coeffs!$H$13+(Coeffs!$H$7*Drivers!G52)+(Coeffs!$H$9*Drivers!E52)+(Coeffs!$H$10*Drivers!H52))</f>
        <v>33.596579489258509</v>
      </c>
      <c r="I54" s="58">
        <f>EXP(Coeffs!$I$13+(Coeffs!$I$7*Drivers!G52)+(Coeffs!$I$8*Drivers!D52)+(Coeffs!$I$9*Drivers!E52)+(Coeffs!$I$10*Drivers!H52))</f>
        <v>33.07563688907765</v>
      </c>
      <c r="J54" s="58">
        <f>EXP(Coeffs!$J$13+(Coeffs!$J$7*Drivers!G52)+(Coeffs!$J$8*Drivers!D52)+(Coeffs!$J$9*Drivers!E52)+(Coeffs!$J$11*Drivers!I52)+(Coeffs!$J$12*Drivers!J52))</f>
        <v>33.435454921152932</v>
      </c>
      <c r="K54" s="33"/>
      <c r="L54" s="58">
        <f xml:space="preserve"> (D54 *Drivers!$L52 * 1000 / 1000000)</f>
        <v>44.250429997055591</v>
      </c>
      <c r="M54" s="58">
        <f xml:space="preserve"> (E54 *Drivers!$L52 * 1000 / 1000000)</f>
        <v>44.448667384817917</v>
      </c>
      <c r="N54" s="58">
        <f xml:space="preserve"> (F54 *Drivers!$L52 * 1000 / 1000000)</f>
        <v>32.892761561470429</v>
      </c>
      <c r="O54" s="58">
        <f xml:space="preserve"> (G54 *Drivers!$L52 * 1000 / 1000000)</f>
        <v>34.939912817218875</v>
      </c>
      <c r="P54" s="58">
        <f xml:space="preserve"> (H54 *Drivers!$L52 * 1000 / 1000000)</f>
        <v>75.953097517966796</v>
      </c>
      <c r="Q54" s="58">
        <f xml:space="preserve"> (I54 *Drivers!$L52 * 1000 / 1000000)</f>
        <v>74.775382264976514</v>
      </c>
      <c r="R54" s="58">
        <f xml:space="preserve"> (J54 *Drivers!$L52 * 1000 / 1000000)</f>
        <v>75.588836922992343</v>
      </c>
      <c r="S54" s="33"/>
      <c r="T54" s="58">
        <f t="shared" si="11"/>
        <v>44.349548690936757</v>
      </c>
      <c r="U54" s="58">
        <f t="shared" si="2"/>
        <v>33.916337189344652</v>
      </c>
      <c r="V54" s="48">
        <f t="shared" si="3"/>
        <v>75.439105568645218</v>
      </c>
      <c r="W54" s="33"/>
      <c r="X54" s="48">
        <f t="shared" si="12"/>
        <v>78.265885880281417</v>
      </c>
      <c r="Y54" s="48">
        <f t="shared" si="13"/>
        <v>75.439105568645218</v>
      </c>
      <c r="Z54" s="48">
        <f t="shared" si="14"/>
        <v>76.145800646554264</v>
      </c>
      <c r="AA54" s="33"/>
      <c r="AB54" s="48">
        <f>Controls!$F$17*Z54</f>
        <v>64.396741597784739</v>
      </c>
      <c r="AC54" s="48">
        <f>-(INDEX(Controls!$G$20:$G$24,MATCH($C54,Controls!$C$20:$C$24,0),0))*$Z54</f>
        <v>0</v>
      </c>
      <c r="AD54" s="59">
        <f t="shared" si="15"/>
        <v>64.396741597784739</v>
      </c>
      <c r="AE54" s="33"/>
      <c r="AG54" s="73"/>
    </row>
    <row r="55" spans="1:33" x14ac:dyDescent="0.3">
      <c r="A55" s="12" t="s">
        <v>104</v>
      </c>
      <c r="B55" s="12" t="str">
        <f t="shared" si="10"/>
        <v>YKY</v>
      </c>
      <c r="C55" s="12">
        <v>2024</v>
      </c>
      <c r="D55" s="99">
        <f>EXP(Coeffs!$D$13+(Coeffs!$D$6*Drivers!F53)+(Coeffs!$D$7*Drivers!G53))</f>
        <v>19.78988873035312</v>
      </c>
      <c r="E55" s="58">
        <f>EXP(Coeffs!$E$13+(Coeffs!$E$6*Drivers!F53)+(Coeffs!$E$7*Drivers!G53)+(Coeffs!$E$8*Drivers!D53))</f>
        <v>19.868720667262409</v>
      </c>
      <c r="F55" s="58">
        <f>EXP(Coeffs!$F$13+(Coeffs!$F$9*Drivers!E53)+(Coeffs!$F$10*Drivers!H53))</f>
        <v>14.550245823203218</v>
      </c>
      <c r="G55" s="58">
        <f>EXP(Coeffs!$G$13+(Coeffs!$G$9*Drivers!E53)+(Coeffs!$G$11*Drivers!I53)+(Coeffs!$G$12*Drivers!J53))</f>
        <v>15.455792096840403</v>
      </c>
      <c r="H55" s="58">
        <f>EXP(Coeffs!$H$13+(Coeffs!$H$7*Drivers!G53)+(Coeffs!$H$9*Drivers!E53)+(Coeffs!$H$10*Drivers!H53))</f>
        <v>33.795780577713209</v>
      </c>
      <c r="I55" s="58">
        <f>EXP(Coeffs!$I$13+(Coeffs!$I$7*Drivers!G53)+(Coeffs!$I$8*Drivers!D53)+(Coeffs!$I$9*Drivers!E53)+(Coeffs!$I$10*Drivers!H53))</f>
        <v>33.28993352239555</v>
      </c>
      <c r="J55" s="58">
        <f>EXP(Coeffs!$J$13+(Coeffs!$J$7*Drivers!G53)+(Coeffs!$J$8*Drivers!D53)+(Coeffs!$J$9*Drivers!E53)+(Coeffs!$J$11*Drivers!I53)+(Coeffs!$J$12*Drivers!J53))</f>
        <v>33.500119017874837</v>
      </c>
      <c r="K55" s="33"/>
      <c r="L55" s="58">
        <f xml:space="preserve"> (D55 *Drivers!$L53 * 1000 / 1000000)</f>
        <v>45.155143232931167</v>
      </c>
      <c r="M55" s="58">
        <f xml:space="preserve"> (E55 *Drivers!$L53 * 1000 / 1000000)</f>
        <v>45.335016270671325</v>
      </c>
      <c r="N55" s="58">
        <f xml:space="preserve"> (F55 *Drivers!$L53 * 1000 / 1000000)</f>
        <v>33.19970330168583</v>
      </c>
      <c r="O55" s="58">
        <f xml:space="preserve"> (G55 *Drivers!$L53 * 1000 / 1000000)</f>
        <v>35.265913589539458</v>
      </c>
      <c r="P55" s="58">
        <f xml:space="preserve"> (H55 *Drivers!$L53 * 1000 / 1000000)</f>
        <v>77.11277882602441</v>
      </c>
      <c r="Q55" s="58">
        <f xml:space="preserve"> (I55 *Drivers!$L53 * 1000 / 1000000)</f>
        <v>75.958573436188544</v>
      </c>
      <c r="R55" s="58">
        <f xml:space="preserve"> (J55 *Drivers!$L53 * 1000 / 1000000)</f>
        <v>76.438159566417525</v>
      </c>
      <c r="S55" s="33"/>
      <c r="T55" s="58">
        <f t="shared" si="11"/>
        <v>45.245079751801242</v>
      </c>
      <c r="U55" s="58">
        <f t="shared" si="2"/>
        <v>34.232808445612648</v>
      </c>
      <c r="V55" s="48">
        <f t="shared" si="3"/>
        <v>76.503170609543488</v>
      </c>
      <c r="W55" s="33"/>
      <c r="X55" s="48">
        <f t="shared" si="12"/>
        <v>79.47788819741389</v>
      </c>
      <c r="Y55" s="48">
        <f t="shared" si="13"/>
        <v>76.503170609543488</v>
      </c>
      <c r="Z55" s="48">
        <f t="shared" si="14"/>
        <v>77.246850006511096</v>
      </c>
      <c r="AA55" s="33"/>
      <c r="AB55" s="48">
        <f>Controls!$F$17*Z55</f>
        <v>65.327902482790876</v>
      </c>
      <c r="AC55" s="48">
        <f>-(INDEX(Controls!$G$20:$G$24,MATCH($C55,Controls!$C$20:$C$24,0),0))*$Z55</f>
        <v>0</v>
      </c>
      <c r="AD55" s="59">
        <f t="shared" si="15"/>
        <v>65.327902482790876</v>
      </c>
      <c r="AE55" s="33"/>
      <c r="AG55" s="73"/>
    </row>
    <row r="56" spans="1:33" x14ac:dyDescent="0.3">
      <c r="A56" s="12" t="s">
        <v>105</v>
      </c>
      <c r="B56" s="12" t="str">
        <f t="shared" si="10"/>
        <v>YKY</v>
      </c>
      <c r="C56" s="12">
        <v>2025</v>
      </c>
      <c r="D56" s="99">
        <f>EXP(Coeffs!$D$13+(Coeffs!$D$6*Drivers!F54)+(Coeffs!$D$7*Drivers!G54))</f>
        <v>19.991495230793277</v>
      </c>
      <c r="E56" s="58">
        <f>EXP(Coeffs!$E$13+(Coeffs!$E$6*Drivers!F54)+(Coeffs!$E$7*Drivers!G54)+(Coeffs!$E$8*Drivers!D54))</f>
        <v>20.061474287039232</v>
      </c>
      <c r="F56" s="58">
        <f>EXP(Coeffs!$F$13+(Coeffs!$F$9*Drivers!E54)+(Coeffs!$F$10*Drivers!H54))</f>
        <v>14.55153800065195</v>
      </c>
      <c r="G56" s="58">
        <f>EXP(Coeffs!$G$13+(Coeffs!$G$9*Drivers!E54)+(Coeffs!$G$11*Drivers!I54)+(Coeffs!$G$12*Drivers!J54))</f>
        <v>15.457128152374755</v>
      </c>
      <c r="H56" s="58">
        <f>EXP(Coeffs!$H$13+(Coeffs!$H$7*Drivers!G54)+(Coeffs!$H$9*Drivers!E54)+(Coeffs!$H$10*Drivers!H54))</f>
        <v>33.981009172774122</v>
      </c>
      <c r="I56" s="58">
        <f>EXP(Coeffs!$I$13+(Coeffs!$I$7*Drivers!G54)+(Coeffs!$I$8*Drivers!D54)+(Coeffs!$I$9*Drivers!E54)+(Coeffs!$I$10*Drivers!H54))</f>
        <v>33.488029096750218</v>
      </c>
      <c r="J56" s="58">
        <f>EXP(Coeffs!$J$13+(Coeffs!$J$7*Drivers!G54)+(Coeffs!$J$8*Drivers!D54)+(Coeffs!$J$9*Drivers!E54)+(Coeffs!$J$11*Drivers!I54)+(Coeffs!$J$12*Drivers!J54))</f>
        <v>33.558021510335067</v>
      </c>
      <c r="K56" s="33"/>
      <c r="L56" s="58">
        <f xml:space="preserve"> (D56 *Drivers!$L54 * 1000 / 1000000)</f>
        <v>46.03569552364246</v>
      </c>
      <c r="M56" s="58">
        <f xml:space="preserve"> (E56 *Drivers!$L54 * 1000 / 1000000)</f>
        <v>46.196840775119611</v>
      </c>
      <c r="N56" s="58">
        <f xml:space="preserve"> (F56 *Drivers!$L54 * 1000 / 1000000)</f>
        <v>33.508757852533286</v>
      </c>
      <c r="O56" s="58">
        <f xml:space="preserve"> (G56 *Drivers!$L54 * 1000 / 1000000)</f>
        <v>35.594118252675102</v>
      </c>
      <c r="P56" s="58">
        <f xml:space="preserve"> (H56 *Drivers!$L54 * 1000 / 1000000)</f>
        <v>78.250244606734043</v>
      </c>
      <c r="Q56" s="58">
        <f xml:space="preserve"> (I56 *Drivers!$L54 * 1000 / 1000000)</f>
        <v>77.115027834948933</v>
      </c>
      <c r="R56" s="58">
        <f xml:space="preserve"> (J56 *Drivers!$L54 * 1000 / 1000000)</f>
        <v>77.276203845225226</v>
      </c>
      <c r="S56" s="33"/>
      <c r="T56" s="58">
        <f t="shared" si="11"/>
        <v>46.116268149381035</v>
      </c>
      <c r="U56" s="58">
        <f t="shared" si="2"/>
        <v>34.551438052604198</v>
      </c>
      <c r="V56" s="48">
        <f t="shared" si="3"/>
        <v>77.547158762302729</v>
      </c>
      <c r="W56" s="33"/>
      <c r="X56" s="48">
        <f t="shared" si="12"/>
        <v>80.667706201985226</v>
      </c>
      <c r="Y56" s="48">
        <f t="shared" si="13"/>
        <v>77.547158762302729</v>
      </c>
      <c r="Z56" s="48">
        <f t="shared" si="14"/>
        <v>78.327295622223346</v>
      </c>
      <c r="AA56" s="33"/>
      <c r="AB56" s="48">
        <f>Controls!$F$17*Z56</f>
        <v>66.241638716893092</v>
      </c>
      <c r="AC56" s="48">
        <f>-(INDEX(Controls!$G$20:$G$24,MATCH($C56,Controls!$C$20:$C$24,0),0))*$Z56</f>
        <v>0</v>
      </c>
      <c r="AD56" s="59">
        <f t="shared" si="15"/>
        <v>66.241638716893092</v>
      </c>
      <c r="AE56" s="33"/>
      <c r="AG56" s="73"/>
    </row>
    <row r="57" spans="1:33" x14ac:dyDescent="0.3">
      <c r="A57" s="12" t="s">
        <v>106</v>
      </c>
      <c r="B57" s="12" t="str">
        <f t="shared" si="10"/>
        <v>AFW</v>
      </c>
      <c r="C57" s="12">
        <v>2021</v>
      </c>
      <c r="D57" s="99">
        <f>EXP(Coeffs!$D$13+(Coeffs!$D$6*Drivers!F55)+(Coeffs!$D$7*Drivers!G55))</f>
        <v>16.837404269349168</v>
      </c>
      <c r="E57" s="58">
        <f>EXP(Coeffs!$E$13+(Coeffs!$E$6*Drivers!F55)+(Coeffs!$E$7*Drivers!G55)+(Coeffs!$E$8*Drivers!D55))</f>
        <v>16.092931337836458</v>
      </c>
      <c r="F57" s="58">
        <f>EXP(Coeffs!$F$13+(Coeffs!$F$9*Drivers!E55)+(Coeffs!$F$10*Drivers!H55))</f>
        <v>5.9110991987485697</v>
      </c>
      <c r="G57" s="58">
        <f>EXP(Coeffs!$G$13+(Coeffs!$G$9*Drivers!E55)+(Coeffs!$G$11*Drivers!I55)+(Coeffs!$G$12*Drivers!J55))</f>
        <v>5.9123278206747454</v>
      </c>
      <c r="H57" s="58">
        <f>EXP(Coeffs!$H$13+(Coeffs!$H$7*Drivers!G55)+(Coeffs!$H$9*Drivers!E55)+(Coeffs!$H$10*Drivers!H55))</f>
        <v>23.694139122373919</v>
      </c>
      <c r="I57" s="58">
        <f>EXP(Coeffs!$I$13+(Coeffs!$I$7*Drivers!G55)+(Coeffs!$I$8*Drivers!D55)+(Coeffs!$I$9*Drivers!E55)+(Coeffs!$I$10*Drivers!H55))</f>
        <v>22.750558378336976</v>
      </c>
      <c r="J57" s="58">
        <f>EXP(Coeffs!$J$13+(Coeffs!$J$7*Drivers!G55)+(Coeffs!$J$8*Drivers!D55)+(Coeffs!$J$9*Drivers!E55)+(Coeffs!$J$11*Drivers!I55)+(Coeffs!$J$12*Drivers!J55))</f>
        <v>21.910691134474582</v>
      </c>
      <c r="K57" s="33"/>
      <c r="L57" s="58">
        <f xml:space="preserve"> (D57 *Drivers!$L55 * 1000 / 1000000)</f>
        <v>23.71730235303939</v>
      </c>
      <c r="M57" s="58">
        <f xml:space="preserve"> (E57 *Drivers!$L55 * 1000 / 1000000)</f>
        <v>22.668631825927136</v>
      </c>
      <c r="N57" s="58">
        <f xml:space="preserve"> (F57 *Drivers!$L55 * 1000 / 1000000)</f>
        <v>8.3264216201508248</v>
      </c>
      <c r="O57" s="58">
        <f xml:space="preserve"> (G57 *Drivers!$L55 * 1000 / 1000000)</f>
        <v>8.3281522668250112</v>
      </c>
      <c r="P57" s="58">
        <f xml:space="preserve"> (H57 *Drivers!$L55 * 1000 / 1000000)</f>
        <v>33.375753920888876</v>
      </c>
      <c r="Q57" s="58">
        <f xml:space="preserve"> (I57 *Drivers!$L55 * 1000 / 1000000)</f>
        <v>32.04661853619249</v>
      </c>
      <c r="R57" s="58">
        <f xml:space="preserve"> (J57 *Drivers!$L55 * 1000 / 1000000)</f>
        <v>30.863574817549974</v>
      </c>
      <c r="S57" s="33"/>
      <c r="T57" s="58">
        <f t="shared" si="11"/>
        <v>23.192967089483261</v>
      </c>
      <c r="U57" s="58">
        <f t="shared" si="2"/>
        <v>8.327286943487918</v>
      </c>
      <c r="V57" s="48">
        <f t="shared" si="3"/>
        <v>32.095315758210447</v>
      </c>
      <c r="W57" s="33"/>
      <c r="X57" s="48">
        <f t="shared" si="12"/>
        <v>31.520254032971181</v>
      </c>
      <c r="Y57" s="48">
        <f t="shared" si="13"/>
        <v>32.095315758210447</v>
      </c>
      <c r="Z57" s="48">
        <f t="shared" si="14"/>
        <v>31.95155032690063</v>
      </c>
      <c r="AA57" s="33"/>
      <c r="AB57" s="48">
        <f>Controls!$F$17*Z57</f>
        <v>27.021525974894892</v>
      </c>
      <c r="AC57" s="48">
        <f>-(INDEX(Controls!$G$20:$G$24,MATCH($C57,Controls!$C$20:$C$24,0),0))*$Z57</f>
        <v>0</v>
      </c>
      <c r="AD57" s="59">
        <f t="shared" si="15"/>
        <v>27.021525974894892</v>
      </c>
      <c r="AE57" s="33"/>
      <c r="AG57" s="73"/>
    </row>
    <row r="58" spans="1:33" x14ac:dyDescent="0.3">
      <c r="A58" s="12" t="s">
        <v>107</v>
      </c>
      <c r="B58" s="12" t="str">
        <f t="shared" si="10"/>
        <v>AFW</v>
      </c>
      <c r="C58" s="12">
        <v>2022</v>
      </c>
      <c r="D58" s="99">
        <f>EXP(Coeffs!$D$13+(Coeffs!$D$6*Drivers!F56)+(Coeffs!$D$7*Drivers!G56))</f>
        <v>17.245338840144001</v>
      </c>
      <c r="E58" s="58">
        <f>EXP(Coeffs!$E$13+(Coeffs!$E$6*Drivers!F56)+(Coeffs!$E$7*Drivers!G56)+(Coeffs!$E$8*Drivers!D56))</f>
        <v>16.468908321428316</v>
      </c>
      <c r="F58" s="58">
        <f>EXP(Coeffs!$F$13+(Coeffs!$F$9*Drivers!E56)+(Coeffs!$F$10*Drivers!H56))</f>
        <v>5.8876946988129211</v>
      </c>
      <c r="G58" s="58">
        <f>EXP(Coeffs!$G$13+(Coeffs!$G$9*Drivers!E56)+(Coeffs!$G$11*Drivers!I56)+(Coeffs!$G$12*Drivers!J56))</f>
        <v>5.8895404365355661</v>
      </c>
      <c r="H58" s="58">
        <f>EXP(Coeffs!$H$13+(Coeffs!$H$7*Drivers!G56)+(Coeffs!$H$9*Drivers!E56)+(Coeffs!$H$10*Drivers!H56))</f>
        <v>23.963429974874579</v>
      </c>
      <c r="I58" s="58">
        <f>EXP(Coeffs!$I$13+(Coeffs!$I$7*Drivers!G56)+(Coeffs!$I$8*Drivers!D56)+(Coeffs!$I$9*Drivers!E56)+(Coeffs!$I$10*Drivers!H56))</f>
        <v>23.039263737409765</v>
      </c>
      <c r="J58" s="58">
        <f>EXP(Coeffs!$J$13+(Coeffs!$J$7*Drivers!G56)+(Coeffs!$J$8*Drivers!D56)+(Coeffs!$J$9*Drivers!E56)+(Coeffs!$J$11*Drivers!I56)+(Coeffs!$J$12*Drivers!J56))</f>
        <v>21.972916675824333</v>
      </c>
      <c r="K58" s="33"/>
      <c r="L58" s="58">
        <f xml:space="preserve"> (D58 *Drivers!$L56 * 1000 / 1000000)</f>
        <v>24.638156920831129</v>
      </c>
      <c r="M58" s="58">
        <f xml:space="preserve"> (E58 *Drivers!$L56 * 1000 / 1000000)</f>
        <v>23.528882285199813</v>
      </c>
      <c r="N58" s="58">
        <f xml:space="preserve"> (F58 *Drivers!$L56 * 1000 / 1000000)</f>
        <v>8.4116611007735376</v>
      </c>
      <c r="O58" s="58">
        <f xml:space="preserve"> (G58 *Drivers!$L56 * 1000 / 1000000)</f>
        <v>8.4142980785718144</v>
      </c>
      <c r="P58" s="58">
        <f xml:space="preserve"> (H58 *Drivers!$L56 * 1000 / 1000000)</f>
        <v>34.236192953653685</v>
      </c>
      <c r="Q58" s="58">
        <f xml:space="preserve"> (I58 *Drivers!$L56 * 1000 / 1000000)</f>
        <v>32.915850512681267</v>
      </c>
      <c r="R58" s="58">
        <f xml:space="preserve"> (J58 *Drivers!$L56 * 1000 / 1000000)</f>
        <v>31.39237646100009</v>
      </c>
      <c r="S58" s="33"/>
      <c r="T58" s="58">
        <f t="shared" si="11"/>
        <v>24.083519603015471</v>
      </c>
      <c r="U58" s="58">
        <f t="shared" si="2"/>
        <v>8.4129795896726769</v>
      </c>
      <c r="V58" s="48">
        <f t="shared" si="3"/>
        <v>32.848139975778345</v>
      </c>
      <c r="W58" s="33"/>
      <c r="X58" s="48">
        <f t="shared" si="12"/>
        <v>32.496499192688148</v>
      </c>
      <c r="Y58" s="48">
        <f t="shared" si="13"/>
        <v>32.848139975778345</v>
      </c>
      <c r="Z58" s="48">
        <f t="shared" si="14"/>
        <v>32.760229780005801</v>
      </c>
      <c r="AA58" s="33"/>
      <c r="AB58" s="48">
        <f>Controls!$F$17*Z58</f>
        <v>27.705428715884825</v>
      </c>
      <c r="AC58" s="48">
        <f>-(INDEX(Controls!$G$20:$G$24,MATCH($C58,Controls!$C$20:$C$24,0),0))*$Z58</f>
        <v>0</v>
      </c>
      <c r="AD58" s="59">
        <f t="shared" si="15"/>
        <v>27.705428715884825</v>
      </c>
      <c r="AE58" s="33"/>
      <c r="AG58" s="73"/>
    </row>
    <row r="59" spans="1:33" x14ac:dyDescent="0.3">
      <c r="A59" s="12" t="s">
        <v>108</v>
      </c>
      <c r="B59" s="12" t="str">
        <f t="shared" si="10"/>
        <v>AFW</v>
      </c>
      <c r="C59" s="12">
        <v>2023</v>
      </c>
      <c r="D59" s="99">
        <f>EXP(Coeffs!$D$13+(Coeffs!$D$6*Drivers!F57)+(Coeffs!$D$7*Drivers!G57))</f>
        <v>17.739703418743758</v>
      </c>
      <c r="E59" s="58">
        <f>EXP(Coeffs!$E$13+(Coeffs!$E$6*Drivers!F57)+(Coeffs!$E$7*Drivers!G57)+(Coeffs!$E$8*Drivers!D57))</f>
        <v>16.927452393426055</v>
      </c>
      <c r="F59" s="58">
        <f>EXP(Coeffs!$F$13+(Coeffs!$F$9*Drivers!E57)+(Coeffs!$F$10*Drivers!H57))</f>
        <v>5.8671349325669437</v>
      </c>
      <c r="G59" s="58">
        <f>EXP(Coeffs!$G$13+(Coeffs!$G$9*Drivers!E57)+(Coeffs!$G$11*Drivers!I57)+(Coeffs!$G$12*Drivers!J57))</f>
        <v>5.869520788485036</v>
      </c>
      <c r="H59" s="58">
        <f>EXP(Coeffs!$H$13+(Coeffs!$H$7*Drivers!G57)+(Coeffs!$H$9*Drivers!E57)+(Coeffs!$H$10*Drivers!H57))</f>
        <v>24.296397972510857</v>
      </c>
      <c r="I59" s="58">
        <f>EXP(Coeffs!$I$13+(Coeffs!$I$7*Drivers!G57)+(Coeffs!$I$8*Drivers!D57)+(Coeffs!$I$9*Drivers!E57)+(Coeffs!$I$10*Drivers!H57))</f>
        <v>23.404127804841025</v>
      </c>
      <c r="J59" s="58">
        <f>EXP(Coeffs!$J$13+(Coeffs!$J$7*Drivers!G57)+(Coeffs!$J$8*Drivers!D57)+(Coeffs!$J$9*Drivers!E57)+(Coeffs!$J$11*Drivers!I57)+(Coeffs!$J$12*Drivers!J57))</f>
        <v>22.072894486448774</v>
      </c>
      <c r="K59" s="33"/>
      <c r="L59" s="58">
        <f xml:space="preserve"> (D59 *Drivers!$L57 * 1000 / 1000000)</f>
        <v>25.641109239079576</v>
      </c>
      <c r="M59" s="58">
        <f xml:space="preserve"> (E59 *Drivers!$L57 * 1000 / 1000000)</f>
        <v>24.467075109077168</v>
      </c>
      <c r="N59" s="58">
        <f xml:space="preserve"> (F59 *Drivers!$L57 * 1000 / 1000000)</f>
        <v>8.4804037686117208</v>
      </c>
      <c r="O59" s="58">
        <f xml:space="preserve"> (G59 *Drivers!$L57 * 1000 / 1000000)</f>
        <v>8.4838523038425802</v>
      </c>
      <c r="P59" s="58">
        <f xml:space="preserve"> (H59 *Drivers!$L57 * 1000 / 1000000)</f>
        <v>35.118208000650974</v>
      </c>
      <c r="Q59" s="58">
        <f xml:space="preserve"> (I59 *Drivers!$L57 * 1000 / 1000000)</f>
        <v>33.828513562139655</v>
      </c>
      <c r="R59" s="58">
        <f xml:space="preserve"> (J59 *Drivers!$L57 * 1000 / 1000000)</f>
        <v>31.904338273868948</v>
      </c>
      <c r="S59" s="33"/>
      <c r="T59" s="58">
        <f t="shared" si="11"/>
        <v>25.05409217407837</v>
      </c>
      <c r="U59" s="58">
        <f t="shared" si="2"/>
        <v>8.4821280362271505</v>
      </c>
      <c r="V59" s="48">
        <f t="shared" si="3"/>
        <v>33.617019945553189</v>
      </c>
      <c r="W59" s="33"/>
      <c r="X59" s="48">
        <f t="shared" si="12"/>
        <v>33.536220210305522</v>
      </c>
      <c r="Y59" s="48">
        <f t="shared" si="13"/>
        <v>33.617019945553189</v>
      </c>
      <c r="Z59" s="48">
        <f t="shared" si="14"/>
        <v>33.596820011741272</v>
      </c>
      <c r="AA59" s="33"/>
      <c r="AB59" s="48">
        <f>Controls!$F$17*Z59</f>
        <v>28.412935689596551</v>
      </c>
      <c r="AC59" s="48">
        <f>-(INDEX(Controls!$G$20:$G$24,MATCH($C59,Controls!$C$20:$C$24,0),0))*$Z59</f>
        <v>0</v>
      </c>
      <c r="AD59" s="59">
        <f t="shared" si="15"/>
        <v>28.412935689596551</v>
      </c>
      <c r="AE59" s="33"/>
      <c r="AG59" s="73"/>
    </row>
    <row r="60" spans="1:33" x14ac:dyDescent="0.3">
      <c r="A60" s="12" t="s">
        <v>109</v>
      </c>
      <c r="B60" s="12" t="str">
        <f t="shared" si="10"/>
        <v>AFW</v>
      </c>
      <c r="C60" s="12">
        <v>2024</v>
      </c>
      <c r="D60" s="99">
        <f>EXP(Coeffs!$D$13+(Coeffs!$D$6*Drivers!F58)+(Coeffs!$D$7*Drivers!G58))</f>
        <v>18.26717455295671</v>
      </c>
      <c r="E60" s="58">
        <f>EXP(Coeffs!$E$13+(Coeffs!$E$6*Drivers!F58)+(Coeffs!$E$7*Drivers!G58)+(Coeffs!$E$8*Drivers!D58))</f>
        <v>17.416683483713228</v>
      </c>
      <c r="F60" s="58">
        <f>EXP(Coeffs!$F$13+(Coeffs!$F$9*Drivers!E58)+(Coeffs!$F$10*Drivers!H58))</f>
        <v>5.848403376535332</v>
      </c>
      <c r="G60" s="58">
        <f>EXP(Coeffs!$G$13+(Coeffs!$G$9*Drivers!E58)+(Coeffs!$G$11*Drivers!I58)+(Coeffs!$G$12*Drivers!J58))</f>
        <v>5.8512796966498559</v>
      </c>
      <c r="H60" s="58">
        <f>EXP(Coeffs!$H$13+(Coeffs!$H$7*Drivers!G58)+(Coeffs!$H$9*Drivers!E58)+(Coeffs!$H$10*Drivers!H58))</f>
        <v>24.65053756657214</v>
      </c>
      <c r="I60" s="58">
        <f>EXP(Coeffs!$I$13+(Coeffs!$I$7*Drivers!G58)+(Coeffs!$I$8*Drivers!D58)+(Coeffs!$I$9*Drivers!E58)+(Coeffs!$I$10*Drivers!H58))</f>
        <v>23.793780911447346</v>
      </c>
      <c r="J60" s="58">
        <f>EXP(Coeffs!$J$13+(Coeffs!$J$7*Drivers!G58)+(Coeffs!$J$8*Drivers!D58)+(Coeffs!$J$9*Drivers!E58)+(Coeffs!$J$11*Drivers!I58)+(Coeffs!$J$12*Drivers!J58))</f>
        <v>22.183289084176462</v>
      </c>
      <c r="K60" s="33"/>
      <c r="L60" s="58">
        <f xml:space="preserve"> (D60 *Drivers!$L58 * 1000 / 1000000)</f>
        <v>26.709020463463702</v>
      </c>
      <c r="M60" s="58">
        <f xml:space="preserve"> (E60 *Drivers!$L58 * 1000 / 1000000)</f>
        <v>25.465490255408593</v>
      </c>
      <c r="N60" s="58">
        <f xml:space="preserve"> (F60 *Drivers!$L58 * 1000 / 1000000)</f>
        <v>8.5511377257403574</v>
      </c>
      <c r="O60" s="58">
        <f xml:space="preserve"> (G60 *Drivers!$L58 * 1000 / 1000000)</f>
        <v>8.5553432854220475</v>
      </c>
      <c r="P60" s="58">
        <f xml:space="preserve"> (H60 *Drivers!$L58 * 1000 / 1000000)</f>
        <v>36.042339793287262</v>
      </c>
      <c r="Q60" s="58">
        <f xml:space="preserve"> (I60 *Drivers!$L58 * 1000 / 1000000)</f>
        <v>34.789648471616339</v>
      </c>
      <c r="R60" s="58">
        <f xml:space="preserve"> (J60 *Drivers!$L58 * 1000 / 1000000)</f>
        <v>32.434896835225096</v>
      </c>
      <c r="S60" s="33"/>
      <c r="T60" s="58">
        <f t="shared" si="11"/>
        <v>26.087255359436149</v>
      </c>
      <c r="U60" s="58">
        <f t="shared" si="2"/>
        <v>8.5532405055812024</v>
      </c>
      <c r="V60" s="48">
        <f t="shared" si="3"/>
        <v>34.42229503337623</v>
      </c>
      <c r="W60" s="33"/>
      <c r="X60" s="48">
        <f t="shared" si="12"/>
        <v>34.64049586501735</v>
      </c>
      <c r="Y60" s="48">
        <f t="shared" si="13"/>
        <v>34.42229503337623</v>
      </c>
      <c r="Z60" s="48">
        <f t="shared" si="14"/>
        <v>34.476845241286512</v>
      </c>
      <c r="AA60" s="33"/>
      <c r="AB60" s="48">
        <f>Controls!$F$17*Z60</f>
        <v>29.157175776710542</v>
      </c>
      <c r="AC60" s="48">
        <f>-(INDEX(Controls!$G$20:$G$24,MATCH($C60,Controls!$C$20:$C$24,0),0))*$Z60</f>
        <v>0</v>
      </c>
      <c r="AD60" s="59">
        <f t="shared" si="15"/>
        <v>29.157175776710542</v>
      </c>
      <c r="AE60" s="33"/>
      <c r="AG60" s="73"/>
    </row>
    <row r="61" spans="1:33" x14ac:dyDescent="0.3">
      <c r="A61" s="12" t="s">
        <v>110</v>
      </c>
      <c r="B61" s="12" t="str">
        <f t="shared" si="10"/>
        <v>AFW</v>
      </c>
      <c r="C61" s="12">
        <v>2025</v>
      </c>
      <c r="D61" s="99">
        <f>EXP(Coeffs!$D$13+(Coeffs!$D$6*Drivers!F59)+(Coeffs!$D$7*Drivers!G59))</f>
        <v>18.808584882879799</v>
      </c>
      <c r="E61" s="58">
        <f>EXP(Coeffs!$E$13+(Coeffs!$E$6*Drivers!F59)+(Coeffs!$E$7*Drivers!G59)+(Coeffs!$E$8*Drivers!D59))</f>
        <v>17.918503581744343</v>
      </c>
      <c r="F61" s="58">
        <f>EXP(Coeffs!$F$13+(Coeffs!$F$9*Drivers!E59)+(Coeffs!$F$10*Drivers!H59))</f>
        <v>5.8249350974750014</v>
      </c>
      <c r="G61" s="58">
        <f>EXP(Coeffs!$G$13+(Coeffs!$G$9*Drivers!E59)+(Coeffs!$G$11*Drivers!I59)+(Coeffs!$G$12*Drivers!J59))</f>
        <v>5.8284237117449234</v>
      </c>
      <c r="H61" s="58">
        <f>EXP(Coeffs!$H$13+(Coeffs!$H$7*Drivers!G59)+(Coeffs!$H$9*Drivers!E59)+(Coeffs!$H$10*Drivers!H59))</f>
        <v>25.00067175149405</v>
      </c>
      <c r="I61" s="58">
        <f>EXP(Coeffs!$I$13+(Coeffs!$I$7*Drivers!G59)+(Coeffs!$I$8*Drivers!D59)+(Coeffs!$I$9*Drivers!E59)+(Coeffs!$I$10*Drivers!H59))</f>
        <v>24.179879615382596</v>
      </c>
      <c r="J61" s="58">
        <f>EXP(Coeffs!$J$13+(Coeffs!$J$7*Drivers!G59)+(Coeffs!$J$8*Drivers!D59)+(Coeffs!$J$9*Drivers!E59)+(Coeffs!$J$11*Drivers!I59)+(Coeffs!$J$12*Drivers!J59))</f>
        <v>22.284710848469366</v>
      </c>
      <c r="K61" s="33"/>
      <c r="L61" s="58">
        <f xml:space="preserve"> (D61 *Drivers!$L59 * 1000 / 1000000)</f>
        <v>27.815188605556081</v>
      </c>
      <c r="M61" s="58">
        <f xml:space="preserve"> (E61 *Drivers!$L59 * 1000 / 1000000)</f>
        <v>26.498886532884111</v>
      </c>
      <c r="N61" s="58">
        <f xml:space="preserve"> (F61 *Drivers!$L59 * 1000 / 1000000)</f>
        <v>8.6142402185114904</v>
      </c>
      <c r="O61" s="58">
        <f xml:space="preserve"> (G61 *Drivers!$L59 * 1000 / 1000000)</f>
        <v>8.6193993766562489</v>
      </c>
      <c r="P61" s="58">
        <f xml:space="preserve"> (H61 *Drivers!$L59 * 1000 / 1000000)</f>
        <v>36.972393423727482</v>
      </c>
      <c r="Q61" s="58">
        <f xml:space="preserve"> (I61 *Drivers!$L59 * 1000 / 1000000)</f>
        <v>35.758560048486238</v>
      </c>
      <c r="R61" s="58">
        <f xml:space="preserve"> (J61 *Drivers!$L59 * 1000 / 1000000)</f>
        <v>32.955878346524003</v>
      </c>
      <c r="S61" s="33"/>
      <c r="T61" s="58">
        <f t="shared" si="11"/>
        <v>27.157037569220094</v>
      </c>
      <c r="U61" s="58">
        <f t="shared" si="2"/>
        <v>8.6168197975838687</v>
      </c>
      <c r="V61" s="48">
        <f t="shared" si="3"/>
        <v>35.228943939579239</v>
      </c>
      <c r="W61" s="33"/>
      <c r="X61" s="48">
        <f t="shared" si="12"/>
        <v>35.773857366803966</v>
      </c>
      <c r="Y61" s="48">
        <f t="shared" si="13"/>
        <v>35.228943939579239</v>
      </c>
      <c r="Z61" s="48">
        <f t="shared" si="14"/>
        <v>35.365172296385424</v>
      </c>
      <c r="AA61" s="33"/>
      <c r="AB61" s="48">
        <f>Controls!$F$17*Z61</f>
        <v>29.90843674364233</v>
      </c>
      <c r="AC61" s="48">
        <f>-(INDEX(Controls!$G$20:$G$24,MATCH($C61,Controls!$C$20:$C$24,0),0))*$Z61</f>
        <v>0</v>
      </c>
      <c r="AD61" s="59">
        <f t="shared" si="15"/>
        <v>29.90843674364233</v>
      </c>
      <c r="AE61" s="33"/>
      <c r="AG61" s="73"/>
    </row>
    <row r="62" spans="1:33" x14ac:dyDescent="0.3">
      <c r="A62" s="12" t="s">
        <v>111</v>
      </c>
      <c r="B62" s="12" t="str">
        <f t="shared" si="10"/>
        <v>BRL</v>
      </c>
      <c r="C62" s="12">
        <v>2021</v>
      </c>
      <c r="D62" s="99">
        <f>EXP(Coeffs!$D$13+(Coeffs!$D$6*Drivers!F60)+(Coeffs!$D$7*Drivers!G60))</f>
        <v>17.398310335163508</v>
      </c>
      <c r="E62" s="58">
        <f>EXP(Coeffs!$E$13+(Coeffs!$E$6*Drivers!F60)+(Coeffs!$E$7*Drivers!G60)+(Coeffs!$E$8*Drivers!D60))</f>
        <v>17.292564172159469</v>
      </c>
      <c r="F62" s="58">
        <f>EXP(Coeffs!$F$13+(Coeffs!$F$9*Drivers!E60)+(Coeffs!$F$10*Drivers!H60))</f>
        <v>4.5134640252224578</v>
      </c>
      <c r="G62" s="58">
        <f>EXP(Coeffs!$G$13+(Coeffs!$G$9*Drivers!E60)+(Coeffs!$G$11*Drivers!I60)+(Coeffs!$G$12*Drivers!J60))</f>
        <v>6.0943302290078698</v>
      </c>
      <c r="H62" s="58">
        <f>EXP(Coeffs!$H$13+(Coeffs!$H$7*Drivers!G60)+(Coeffs!$H$9*Drivers!E60)+(Coeffs!$H$10*Drivers!H60))</f>
        <v>21.938849333271371</v>
      </c>
      <c r="I62" s="58">
        <f>EXP(Coeffs!$I$13+(Coeffs!$I$7*Drivers!G60)+(Coeffs!$I$8*Drivers!D60)+(Coeffs!$I$9*Drivers!E60)+(Coeffs!$I$10*Drivers!H60))</f>
        <v>21.848220119527703</v>
      </c>
      <c r="J62" s="58">
        <f>EXP(Coeffs!$J$13+(Coeffs!$J$7*Drivers!G60)+(Coeffs!$J$8*Drivers!D60)+(Coeffs!$J$9*Drivers!E60)+(Coeffs!$J$11*Drivers!I60)+(Coeffs!$J$12*Drivers!J60))</f>
        <v>25.331303310219475</v>
      </c>
      <c r="K62" s="33"/>
      <c r="L62" s="58">
        <f xml:space="preserve"> (D62 *Drivers!$L60 * 1000 / 1000000)</f>
        <v>8.8395421336761881</v>
      </c>
      <c r="M62" s="58">
        <f xml:space="preserve"> (E62 *Drivers!$L60 * 1000 / 1000000)</f>
        <v>8.7858157863848891</v>
      </c>
      <c r="N62" s="58">
        <f xml:space="preserve"> (F62 *Drivers!$L60 * 1000 / 1000000)</f>
        <v>2.293151153830749</v>
      </c>
      <c r="O62" s="58">
        <f xml:space="preserve"> (G62 *Drivers!$L60 * 1000 / 1000000)</f>
        <v>3.0963402651217993</v>
      </c>
      <c r="P62" s="58">
        <f xml:space="preserve"> (H62 *Drivers!$L60 * 1000 / 1000000)</f>
        <v>11.146449241905852</v>
      </c>
      <c r="Q62" s="58">
        <f xml:space="preserve"> (I62 *Drivers!$L60 * 1000 / 1000000)</f>
        <v>11.100403347908323</v>
      </c>
      <c r="R62" s="58">
        <f xml:space="preserve"> (J62 *Drivers!$L60 * 1000 / 1000000)</f>
        <v>12.8700499415199</v>
      </c>
      <c r="S62" s="33"/>
      <c r="T62" s="58">
        <f t="shared" si="11"/>
        <v>8.8126789600305386</v>
      </c>
      <c r="U62" s="58">
        <f t="shared" si="2"/>
        <v>2.6947457094762743</v>
      </c>
      <c r="V62" s="48">
        <f t="shared" si="3"/>
        <v>11.705634177111357</v>
      </c>
      <c r="W62" s="33"/>
      <c r="X62" s="48">
        <f t="shared" si="12"/>
        <v>11.507424669506813</v>
      </c>
      <c r="Y62" s="48">
        <f t="shared" si="13"/>
        <v>11.705634177111357</v>
      </c>
      <c r="Z62" s="48">
        <f t="shared" si="14"/>
        <v>11.65608180021022</v>
      </c>
      <c r="AA62" s="33"/>
      <c r="AB62" s="48">
        <f>Controls!$F$17*Z62</f>
        <v>9.8575848091072071</v>
      </c>
      <c r="AC62" s="48">
        <f>-(INDEX(Controls!$G$20:$G$24,MATCH($C62,Controls!$C$20:$C$24,0),0))*$Z62</f>
        <v>0</v>
      </c>
      <c r="AD62" s="59">
        <f t="shared" si="15"/>
        <v>9.8575848091072071</v>
      </c>
      <c r="AE62" s="33"/>
      <c r="AG62" s="73"/>
    </row>
    <row r="63" spans="1:33" x14ac:dyDescent="0.3">
      <c r="A63" s="12" t="s">
        <v>112</v>
      </c>
      <c r="B63" s="12" t="str">
        <f t="shared" si="10"/>
        <v>BRL</v>
      </c>
      <c r="C63" s="12">
        <v>2022</v>
      </c>
      <c r="D63" s="99">
        <f>EXP(Coeffs!$D$13+(Coeffs!$D$6*Drivers!F61)+(Coeffs!$D$7*Drivers!G61))</f>
        <v>17.609629458264411</v>
      </c>
      <c r="E63" s="58">
        <f>EXP(Coeffs!$E$13+(Coeffs!$E$6*Drivers!F61)+(Coeffs!$E$7*Drivers!G61)+(Coeffs!$E$8*Drivers!D61))</f>
        <v>17.492085737279304</v>
      </c>
      <c r="F63" s="58">
        <f>EXP(Coeffs!$F$13+(Coeffs!$F$9*Drivers!E61)+(Coeffs!$F$10*Drivers!H61))</f>
        <v>4.4967561592426772</v>
      </c>
      <c r="G63" s="58">
        <f>EXP(Coeffs!$G$13+(Coeffs!$G$9*Drivers!E61)+(Coeffs!$G$11*Drivers!I61)+(Coeffs!$G$12*Drivers!J61))</f>
        <v>6.072369824456918</v>
      </c>
      <c r="H63" s="58">
        <f>EXP(Coeffs!$H$13+(Coeffs!$H$7*Drivers!G61)+(Coeffs!$H$9*Drivers!E61)+(Coeffs!$H$10*Drivers!H61))</f>
        <v>22.049739456547435</v>
      </c>
      <c r="I63" s="58">
        <f>EXP(Coeffs!$I$13+(Coeffs!$I$7*Drivers!G61)+(Coeffs!$I$8*Drivers!D61)+(Coeffs!$I$9*Drivers!E61)+(Coeffs!$I$10*Drivers!H61))</f>
        <v>21.965146898205457</v>
      </c>
      <c r="J63" s="58">
        <f>EXP(Coeffs!$J$13+(Coeffs!$J$7*Drivers!G61)+(Coeffs!$J$8*Drivers!D61)+(Coeffs!$J$9*Drivers!E61)+(Coeffs!$J$11*Drivers!I61)+(Coeffs!$J$12*Drivers!J61))</f>
        <v>25.332306335525676</v>
      </c>
      <c r="K63" s="33"/>
      <c r="L63" s="58">
        <f xml:space="preserve"> (D63 *Drivers!$L61 * 1000 / 1000000)</f>
        <v>9.0517017341370707</v>
      </c>
      <c r="M63" s="58">
        <f xml:space="preserve"> (E63 *Drivers!$L61 * 1000 / 1000000)</f>
        <v>8.9912819106763084</v>
      </c>
      <c r="N63" s="58">
        <f xml:space="preserve"> (F63 *Drivers!$L61 * 1000 / 1000000)</f>
        <v>2.3114226009739207</v>
      </c>
      <c r="O63" s="58">
        <f xml:space="preserve"> (G63 *Drivers!$L61 * 1000 / 1000000)</f>
        <v>3.121319537167345</v>
      </c>
      <c r="P63" s="58">
        <f xml:space="preserve"> (H63 *Drivers!$L61 * 1000 / 1000000)</f>
        <v>11.334007075454513</v>
      </c>
      <c r="Q63" s="58">
        <f xml:space="preserve"> (I63 *Drivers!$L61 * 1000 / 1000000)</f>
        <v>11.290524808615567</v>
      </c>
      <c r="R63" s="58">
        <f xml:space="preserve"> (J63 *Drivers!$L61 * 1000 / 1000000)</f>
        <v>13.021312102586908</v>
      </c>
      <c r="S63" s="33"/>
      <c r="T63" s="58">
        <f t="shared" si="11"/>
        <v>9.0214918224066896</v>
      </c>
      <c r="U63" s="58">
        <f t="shared" si="2"/>
        <v>2.7163710690706329</v>
      </c>
      <c r="V63" s="48">
        <f t="shared" si="3"/>
        <v>11.881947995552329</v>
      </c>
      <c r="W63" s="33"/>
      <c r="X63" s="48">
        <f t="shared" si="12"/>
        <v>11.737862891477322</v>
      </c>
      <c r="Y63" s="48">
        <f t="shared" si="13"/>
        <v>11.881947995552329</v>
      </c>
      <c r="Z63" s="48">
        <f t="shared" si="14"/>
        <v>11.845926719533576</v>
      </c>
      <c r="AA63" s="33"/>
      <c r="AB63" s="48">
        <f>Controls!$F$17*Z63</f>
        <v>10.018137250732519</v>
      </c>
      <c r="AC63" s="48">
        <f>-(INDEX(Controls!$G$20:$G$24,MATCH($C63,Controls!$C$20:$C$24,0),0))*$Z63</f>
        <v>0</v>
      </c>
      <c r="AD63" s="59">
        <f t="shared" si="15"/>
        <v>10.018137250732519</v>
      </c>
      <c r="AE63" s="33"/>
      <c r="AG63" s="73"/>
    </row>
    <row r="64" spans="1:33" x14ac:dyDescent="0.3">
      <c r="A64" s="12" t="s">
        <v>113</v>
      </c>
      <c r="B64" s="12" t="str">
        <f t="shared" si="10"/>
        <v>BRL</v>
      </c>
      <c r="C64" s="12">
        <v>2023</v>
      </c>
      <c r="D64" s="99">
        <f>EXP(Coeffs!$D$13+(Coeffs!$D$6*Drivers!F62)+(Coeffs!$D$7*Drivers!G62))</f>
        <v>17.823871501003619</v>
      </c>
      <c r="E64" s="58">
        <f>EXP(Coeffs!$E$13+(Coeffs!$E$6*Drivers!F62)+(Coeffs!$E$7*Drivers!G62)+(Coeffs!$E$8*Drivers!D62))</f>
        <v>17.694990733418862</v>
      </c>
      <c r="F64" s="58">
        <f>EXP(Coeffs!$F$13+(Coeffs!$F$9*Drivers!E62)+(Coeffs!$F$10*Drivers!H62))</f>
        <v>4.4725903423823246</v>
      </c>
      <c r="G64" s="58">
        <f>EXP(Coeffs!$G$13+(Coeffs!$G$9*Drivers!E62)+(Coeffs!$G$11*Drivers!I62)+(Coeffs!$G$12*Drivers!J62))</f>
        <v>6.0406030289823818</v>
      </c>
      <c r="H64" s="58">
        <f>EXP(Coeffs!$H$13+(Coeffs!$H$7*Drivers!G62)+(Coeffs!$H$9*Drivers!E62)+(Coeffs!$H$10*Drivers!H62))</f>
        <v>22.147098357126225</v>
      </c>
      <c r="I64" s="58">
        <f>EXP(Coeffs!$I$13+(Coeffs!$I$7*Drivers!G62)+(Coeffs!$I$8*Drivers!D62)+(Coeffs!$I$9*Drivers!E62)+(Coeffs!$I$10*Drivers!H62))</f>
        <v>22.067971457682351</v>
      </c>
      <c r="J64" s="58">
        <f>EXP(Coeffs!$J$13+(Coeffs!$J$7*Drivers!G62)+(Coeffs!$J$8*Drivers!D62)+(Coeffs!$J$9*Drivers!E62)+(Coeffs!$J$11*Drivers!I62)+(Coeffs!$J$12*Drivers!J62))</f>
        <v>25.315019030355604</v>
      </c>
      <c r="K64" s="33"/>
      <c r="L64" s="58">
        <f xml:space="preserve"> (D64 *Drivers!$L62 * 1000 / 1000000)</f>
        <v>9.2592517105703678</v>
      </c>
      <c r="M64" s="58">
        <f xml:space="preserve"> (E64 *Drivers!$L62 * 1000 / 1000000)</f>
        <v>9.1922999561408307</v>
      </c>
      <c r="N64" s="58">
        <f xml:space="preserve"> (F64 *Drivers!$L62 * 1000 / 1000000)</f>
        <v>2.3234480666028241</v>
      </c>
      <c r="O64" s="58">
        <f xml:space="preserve"> (G64 *Drivers!$L62 * 1000 / 1000000)</f>
        <v>3.1380087051139416</v>
      </c>
      <c r="P64" s="58">
        <f xml:space="preserve"> (H64 *Drivers!$L62 * 1000 / 1000000)</f>
        <v>11.505107537150074</v>
      </c>
      <c r="Q64" s="58">
        <f xml:space="preserve"> (I64 *Drivers!$L62 * 1000 / 1000000)</f>
        <v>11.464002220665574</v>
      </c>
      <c r="R64" s="58">
        <f xml:space="preserve"> (J64 *Drivers!$L62 * 1000 / 1000000)</f>
        <v>13.150797976003309</v>
      </c>
      <c r="S64" s="33"/>
      <c r="T64" s="58">
        <f t="shared" si="11"/>
        <v>9.2257758333555984</v>
      </c>
      <c r="U64" s="58">
        <f t="shared" si="2"/>
        <v>2.7307283858583826</v>
      </c>
      <c r="V64" s="48">
        <f t="shared" si="3"/>
        <v>12.039969244606318</v>
      </c>
      <c r="W64" s="33"/>
      <c r="X64" s="48">
        <f t="shared" si="12"/>
        <v>11.956504219213981</v>
      </c>
      <c r="Y64" s="48">
        <f t="shared" si="13"/>
        <v>12.039969244606318</v>
      </c>
      <c r="Z64" s="48">
        <f t="shared" si="14"/>
        <v>12.019102988258235</v>
      </c>
      <c r="AA64" s="33"/>
      <c r="AB64" s="48">
        <f>Controls!$F$17*Z64</f>
        <v>10.164592962449234</v>
      </c>
      <c r="AC64" s="48">
        <f>-(INDEX(Controls!$G$20:$G$24,MATCH($C64,Controls!$C$20:$C$24,0),0))*$Z64</f>
        <v>0</v>
      </c>
      <c r="AD64" s="59">
        <f t="shared" si="15"/>
        <v>10.164592962449234</v>
      </c>
      <c r="AE64" s="33"/>
      <c r="AG64" s="73"/>
    </row>
    <row r="65" spans="1:33" x14ac:dyDescent="0.3">
      <c r="A65" s="12" t="s">
        <v>114</v>
      </c>
      <c r="B65" s="12" t="str">
        <f t="shared" si="10"/>
        <v>BRL</v>
      </c>
      <c r="C65" s="12">
        <v>2024</v>
      </c>
      <c r="D65" s="99">
        <f>EXP(Coeffs!$D$13+(Coeffs!$D$6*Drivers!F63)+(Coeffs!$D$7*Drivers!G63))</f>
        <v>18.040959714778662</v>
      </c>
      <c r="E65" s="58">
        <f>EXP(Coeffs!$E$13+(Coeffs!$E$6*Drivers!F63)+(Coeffs!$E$7*Drivers!G63)+(Coeffs!$E$8*Drivers!D63))</f>
        <v>17.90068270239491</v>
      </c>
      <c r="F65" s="58">
        <f>EXP(Coeffs!$F$13+(Coeffs!$F$9*Drivers!E63)+(Coeffs!$F$10*Drivers!H63))</f>
        <v>4.4547535202601098</v>
      </c>
      <c r="G65" s="58">
        <f>EXP(Coeffs!$G$13+(Coeffs!$G$9*Drivers!E63)+(Coeffs!$G$11*Drivers!I63)+(Coeffs!$G$12*Drivers!J63))</f>
        <v>6.0171529845454579</v>
      </c>
      <c r="H65" s="58">
        <f>EXP(Coeffs!$H$13+(Coeffs!$H$7*Drivers!G63)+(Coeffs!$H$9*Drivers!E63)+(Coeffs!$H$10*Drivers!H63))</f>
        <v>22.256975426435513</v>
      </c>
      <c r="I65" s="58">
        <f>EXP(Coeffs!$I$13+(Coeffs!$I$7*Drivers!G63)+(Coeffs!$I$8*Drivers!D63)+(Coeffs!$I$9*Drivers!E63)+(Coeffs!$I$10*Drivers!H63))</f>
        <v>22.185499188441913</v>
      </c>
      <c r="J65" s="58">
        <f>EXP(Coeffs!$J$13+(Coeffs!$J$7*Drivers!G63)+(Coeffs!$J$8*Drivers!D63)+(Coeffs!$J$9*Drivers!E63)+(Coeffs!$J$11*Drivers!I63)+(Coeffs!$J$12*Drivers!J63))</f>
        <v>25.316547562235229</v>
      </c>
      <c r="K65" s="33"/>
      <c r="L65" s="58">
        <f xml:space="preserve"> (D65 *Drivers!$L63 * 1000 / 1000000)</f>
        <v>9.4689781158987287</v>
      </c>
      <c r="M65" s="58">
        <f xml:space="preserve"> (E65 *Drivers!$L63 * 1000 / 1000000)</f>
        <v>9.3953523231789937</v>
      </c>
      <c r="N65" s="58">
        <f xml:space="preserve"> (F65 *Drivers!$L63 * 1000 / 1000000)</f>
        <v>2.3381219326437215</v>
      </c>
      <c r="O65" s="58">
        <f xml:space="preserve"> (G65 *Drivers!$L63 * 1000 / 1000000)</f>
        <v>3.1581629154685293</v>
      </c>
      <c r="P65" s="58">
        <f xml:space="preserve"> (H65 *Drivers!$L63 * 1000 / 1000000)</f>
        <v>11.681796122318945</v>
      </c>
      <c r="Q65" s="58">
        <f xml:space="preserve"> (I65 *Drivers!$L63 * 1000 / 1000000)</f>
        <v>11.644281104045621</v>
      </c>
      <c r="R65" s="58">
        <f xml:space="preserve"> (J65 *Drivers!$L63 * 1000 / 1000000)</f>
        <v>13.287643153514782</v>
      </c>
      <c r="S65" s="33"/>
      <c r="T65" s="58">
        <f t="shared" si="11"/>
        <v>9.4321652195388612</v>
      </c>
      <c r="U65" s="58">
        <f t="shared" si="2"/>
        <v>2.7481424240561254</v>
      </c>
      <c r="V65" s="48">
        <f t="shared" si="3"/>
        <v>12.204573459959782</v>
      </c>
      <c r="W65" s="33"/>
      <c r="X65" s="48">
        <f t="shared" si="12"/>
        <v>12.180307643594986</v>
      </c>
      <c r="Y65" s="48">
        <f t="shared" si="13"/>
        <v>12.204573459959782</v>
      </c>
      <c r="Z65" s="48">
        <f t="shared" si="14"/>
        <v>12.198507005868583</v>
      </c>
      <c r="AA65" s="33"/>
      <c r="AB65" s="48">
        <f>Controls!$F$17*Z65</f>
        <v>10.316315500863189</v>
      </c>
      <c r="AC65" s="48">
        <f>-(INDEX(Controls!$G$20:$G$24,MATCH($C65,Controls!$C$20:$C$24,0),0))*$Z65</f>
        <v>0</v>
      </c>
      <c r="AD65" s="59">
        <f t="shared" si="15"/>
        <v>10.316315500863189</v>
      </c>
      <c r="AE65" s="33"/>
      <c r="AG65" s="73"/>
    </row>
    <row r="66" spans="1:33" x14ac:dyDescent="0.3">
      <c r="A66" s="12" t="s">
        <v>115</v>
      </c>
      <c r="B66" s="12" t="str">
        <f t="shared" si="10"/>
        <v>BRL</v>
      </c>
      <c r="C66" s="12">
        <v>2025</v>
      </c>
      <c r="D66" s="99">
        <f>EXP(Coeffs!$D$13+(Coeffs!$D$6*Drivers!F64)+(Coeffs!$D$7*Drivers!G64))</f>
        <v>18.267595352091302</v>
      </c>
      <c r="E66" s="58">
        <f>EXP(Coeffs!$E$13+(Coeffs!$E$6*Drivers!F64)+(Coeffs!$E$7*Drivers!G64)+(Coeffs!$E$8*Drivers!D64))</f>
        <v>18.115764772943617</v>
      </c>
      <c r="F66" s="58">
        <f>EXP(Coeffs!$F$13+(Coeffs!$F$9*Drivers!E64)+(Coeffs!$F$10*Drivers!H64))</f>
        <v>4.4263412380312266</v>
      </c>
      <c r="G66" s="58">
        <f>EXP(Coeffs!$G$13+(Coeffs!$G$9*Drivers!E64)+(Coeffs!$G$11*Drivers!I64)+(Coeffs!$G$12*Drivers!J64))</f>
        <v>5.9797942315126402</v>
      </c>
      <c r="H66" s="58">
        <f>EXP(Coeffs!$H$13+(Coeffs!$H$7*Drivers!G64)+(Coeffs!$H$9*Drivers!E64)+(Coeffs!$H$10*Drivers!H64))</f>
        <v>22.35124506999928</v>
      </c>
      <c r="I66" s="58">
        <f>EXP(Coeffs!$I$13+(Coeffs!$I$7*Drivers!G64)+(Coeffs!$I$8*Drivers!D64)+(Coeffs!$I$9*Drivers!E64)+(Coeffs!$I$10*Drivers!H64))</f>
        <v>22.285761926284639</v>
      </c>
      <c r="J66" s="58">
        <f>EXP(Coeffs!$J$13+(Coeffs!$J$7*Drivers!G64)+(Coeffs!$J$8*Drivers!D64)+(Coeffs!$J$9*Drivers!E64)+(Coeffs!$J$11*Drivers!I64)+(Coeffs!$J$12*Drivers!J64))</f>
        <v>25.29084162395948</v>
      </c>
      <c r="K66" s="33"/>
      <c r="L66" s="58">
        <f xml:space="preserve"> (D66 *Drivers!$L64 * 1000 / 1000000)</f>
        <v>9.6838349720971202</v>
      </c>
      <c r="M66" s="58">
        <f xml:space="preserve"> (E66 *Drivers!$L64 * 1000 / 1000000)</f>
        <v>9.6033480637851412</v>
      </c>
      <c r="N66" s="58">
        <f xml:space="preserve"> (F66 *Drivers!$L64 * 1000 / 1000000)</f>
        <v>2.3464477536927335</v>
      </c>
      <c r="O66" s="58">
        <f xml:space="preserve"> (G66 *Drivers!$L64 * 1000 / 1000000)</f>
        <v>3.1699487200671657</v>
      </c>
      <c r="P66" s="58">
        <f xml:space="preserve"> (H66 *Drivers!$L64 * 1000 / 1000000)</f>
        <v>11.848618524057317</v>
      </c>
      <c r="Q66" s="58">
        <f xml:space="preserve"> (I66 *Drivers!$L64 * 1000 / 1000000)</f>
        <v>11.813905254742751</v>
      </c>
      <c r="R66" s="58">
        <f xml:space="preserve"> (J66 *Drivers!$L64 * 1000 / 1000000)</f>
        <v>13.406928053277161</v>
      </c>
      <c r="S66" s="33"/>
      <c r="T66" s="58">
        <f t="shared" si="11"/>
        <v>9.6435915179411307</v>
      </c>
      <c r="U66" s="58">
        <f t="shared" si="2"/>
        <v>2.7581982368799496</v>
      </c>
      <c r="V66" s="48">
        <f t="shared" si="3"/>
        <v>12.356483944025744</v>
      </c>
      <c r="W66" s="33"/>
      <c r="X66" s="48">
        <f t="shared" si="12"/>
        <v>12.401789754821081</v>
      </c>
      <c r="Y66" s="48">
        <f t="shared" si="13"/>
        <v>12.356483944025744</v>
      </c>
      <c r="Z66" s="48">
        <f t="shared" si="14"/>
        <v>12.367810396724579</v>
      </c>
      <c r="AA66" s="33"/>
      <c r="AB66" s="48">
        <f>Controls!$F$17*Z66</f>
        <v>10.459495907661834</v>
      </c>
      <c r="AC66" s="48">
        <f>-(INDEX(Controls!$G$20:$G$24,MATCH($C66,Controls!$C$20:$C$24,0),0))*$Z66</f>
        <v>0</v>
      </c>
      <c r="AD66" s="59">
        <f t="shared" si="15"/>
        <v>10.459495907661834</v>
      </c>
      <c r="AE66" s="33"/>
      <c r="AG66" s="73"/>
    </row>
    <row r="67" spans="1:33" x14ac:dyDescent="0.3">
      <c r="A67" s="12" t="s">
        <v>116</v>
      </c>
      <c r="B67" s="12" t="str">
        <f t="shared" si="10"/>
        <v>DVW</v>
      </c>
      <c r="C67" s="12">
        <v>2021</v>
      </c>
      <c r="D67" s="99">
        <f>EXP(Coeffs!$D$13+(Coeffs!$D$6*Drivers!F65)+(Coeffs!$D$7*Drivers!G65))</f>
        <v>17.315633736570813</v>
      </c>
      <c r="E67" s="58">
        <f>EXP(Coeffs!$E$13+(Coeffs!$E$6*Drivers!F65)+(Coeffs!$E$7*Drivers!G65)+(Coeffs!$E$8*Drivers!D65))</f>
        <v>18.225703731823597</v>
      </c>
      <c r="F67" s="58">
        <f>EXP(Coeffs!$F$13+(Coeffs!$F$9*Drivers!E65)+(Coeffs!$F$10*Drivers!H65))</f>
        <v>4.3270560034410952</v>
      </c>
      <c r="G67" s="58">
        <f>EXP(Coeffs!$G$13+(Coeffs!$G$9*Drivers!E65)+(Coeffs!$G$11*Drivers!I65)+(Coeffs!$G$12*Drivers!J65))</f>
        <v>4.2715951119576765</v>
      </c>
      <c r="H67" s="58">
        <f>EXP(Coeffs!$H$13+(Coeffs!$H$7*Drivers!G65)+(Coeffs!$H$9*Drivers!E65)+(Coeffs!$H$10*Drivers!H65))</f>
        <v>21.405331230966851</v>
      </c>
      <c r="I67" s="58">
        <f>EXP(Coeffs!$I$13+(Coeffs!$I$7*Drivers!G65)+(Coeffs!$I$8*Drivers!D65)+(Coeffs!$I$9*Drivers!E65)+(Coeffs!$I$10*Drivers!H65))</f>
        <v>23.364783240135459</v>
      </c>
      <c r="J67" s="58">
        <f>EXP(Coeffs!$J$13+(Coeffs!$J$7*Drivers!G65)+(Coeffs!$J$8*Drivers!D65)+(Coeffs!$J$9*Drivers!E65)+(Coeffs!$J$11*Drivers!I65)+(Coeffs!$J$12*Drivers!J65))</f>
        <v>22.57524374776866</v>
      </c>
      <c r="K67" s="33"/>
      <c r="L67" s="58">
        <f xml:space="preserve"> (D67 *Drivers!$L65 * 1000 / 1000000)</f>
        <v>2.008538698910419</v>
      </c>
      <c r="M67" s="58">
        <f xml:space="preserve"> (E67 *Drivers!$L65 * 1000 / 1000000)</f>
        <v>2.1141028862795395</v>
      </c>
      <c r="N67" s="58">
        <f xml:space="preserve"> (F67 *Drivers!$L65 * 1000 / 1000000)</f>
        <v>0.50191980076989495</v>
      </c>
      <c r="O67" s="58">
        <f xml:space="preserve"> (G67 *Drivers!$L65 * 1000 / 1000000)</f>
        <v>0.49548657698408283</v>
      </c>
      <c r="P67" s="58">
        <f xml:space="preserve"> (H67 *Drivers!$L65 * 1000 / 1000000)</f>
        <v>2.48292593817055</v>
      </c>
      <c r="Q67" s="58">
        <f xml:space="preserve"> (I67 *Drivers!$L65 * 1000 / 1000000)</f>
        <v>2.7102139051573322</v>
      </c>
      <c r="R67" s="58">
        <f xml:space="preserve"> (J67 *Drivers!$L65 * 1000 / 1000000)</f>
        <v>2.6186307353546852</v>
      </c>
      <c r="S67" s="33"/>
      <c r="T67" s="58">
        <f t="shared" si="11"/>
        <v>2.0613207925949792</v>
      </c>
      <c r="U67" s="58">
        <f t="shared" si="2"/>
        <v>0.49870318887698889</v>
      </c>
      <c r="V67" s="48">
        <f t="shared" si="3"/>
        <v>2.6039235262275224</v>
      </c>
      <c r="W67" s="33"/>
      <c r="X67" s="48">
        <f t="shared" si="12"/>
        <v>2.5600239814719683</v>
      </c>
      <c r="Y67" s="48">
        <f t="shared" si="13"/>
        <v>2.6039235262275224</v>
      </c>
      <c r="Z67" s="48">
        <f t="shared" si="14"/>
        <v>2.5929486400386339</v>
      </c>
      <c r="AA67" s="33"/>
      <c r="AB67" s="48">
        <f>Controls!$F$17*Z67</f>
        <v>2.1928647690494971</v>
      </c>
      <c r="AC67" s="48">
        <f>-(INDEX(Controls!$G$20:$G$24,MATCH($C67,Controls!$C$20:$C$24,0),0))*$Z67</f>
        <v>0</v>
      </c>
      <c r="AD67" s="59">
        <f t="shared" si="15"/>
        <v>2.1928647690494971</v>
      </c>
      <c r="AE67" s="33"/>
      <c r="AG67" s="73"/>
    </row>
    <row r="68" spans="1:33" x14ac:dyDescent="0.3">
      <c r="A68" s="12" t="s">
        <v>117</v>
      </c>
      <c r="B68" s="12" t="str">
        <f t="shared" si="10"/>
        <v>DVW</v>
      </c>
      <c r="C68" s="12">
        <v>2022</v>
      </c>
      <c r="D68" s="99">
        <f>EXP(Coeffs!$D$13+(Coeffs!$D$6*Drivers!F66)+(Coeffs!$D$7*Drivers!G66))</f>
        <v>17.473046585856466</v>
      </c>
      <c r="E68" s="58">
        <f>EXP(Coeffs!$E$13+(Coeffs!$E$6*Drivers!F66)+(Coeffs!$E$7*Drivers!G66)+(Coeffs!$E$8*Drivers!D66))</f>
        <v>18.387262186076139</v>
      </c>
      <c r="F68" s="58">
        <f>EXP(Coeffs!$F$13+(Coeffs!$F$9*Drivers!E66)+(Coeffs!$F$10*Drivers!H66))</f>
        <v>4.2722536020587212</v>
      </c>
      <c r="G68" s="58">
        <f>EXP(Coeffs!$G$13+(Coeffs!$G$9*Drivers!E66)+(Coeffs!$G$11*Drivers!I66)+(Coeffs!$G$12*Drivers!J66))</f>
        <v>4.218926410653963</v>
      </c>
      <c r="H68" s="58">
        <f>EXP(Coeffs!$H$13+(Coeffs!$H$7*Drivers!G66)+(Coeffs!$H$9*Drivers!E66)+(Coeffs!$H$10*Drivers!H66))</f>
        <v>21.404095117183921</v>
      </c>
      <c r="I68" s="58">
        <f>EXP(Coeffs!$I$13+(Coeffs!$I$7*Drivers!G66)+(Coeffs!$I$8*Drivers!D66)+(Coeffs!$I$9*Drivers!E66)+(Coeffs!$I$10*Drivers!H66))</f>
        <v>23.363333339527401</v>
      </c>
      <c r="J68" s="58">
        <f>EXP(Coeffs!$J$13+(Coeffs!$J$7*Drivers!G66)+(Coeffs!$J$8*Drivers!D66)+(Coeffs!$J$9*Drivers!E66)+(Coeffs!$J$11*Drivers!I66)+(Coeffs!$J$12*Drivers!J66))</f>
        <v>22.477349431582926</v>
      </c>
      <c r="K68" s="33"/>
      <c r="L68" s="58">
        <f xml:space="preserve"> (D68 *Drivers!$L66 * 1000 / 1000000)</f>
        <v>2.0326861595935668</v>
      </c>
      <c r="M68" s="58">
        <f xml:space="preserve"> (E68 *Drivers!$L66 * 1000 / 1000000)</f>
        <v>2.1390393011776605</v>
      </c>
      <c r="N68" s="58">
        <f xml:space="preserve"> (F68 *Drivers!$L66 * 1000 / 1000000)</f>
        <v>0.49700266776647295</v>
      </c>
      <c r="O68" s="58">
        <f xml:space="preserve"> (G68 *Drivers!$L66 * 1000 / 1000000)</f>
        <v>0.49079897321522103</v>
      </c>
      <c r="P68" s="58">
        <f xml:space="preserve"> (H68 *Drivers!$L66 * 1000 / 1000000)</f>
        <v>2.4899955305184927</v>
      </c>
      <c r="Q68" s="58">
        <f xml:space="preserve"> (I68 *Drivers!$L66 * 1000 / 1000000)</f>
        <v>2.7179189437787734</v>
      </c>
      <c r="R68" s="58">
        <f xml:space="preserve"> (J68 *Drivers!$L66 * 1000 / 1000000)</f>
        <v>2.6148500703311903</v>
      </c>
      <c r="S68" s="33"/>
      <c r="T68" s="58">
        <f t="shared" si="11"/>
        <v>2.0858627303856139</v>
      </c>
      <c r="U68" s="58">
        <f t="shared" si="2"/>
        <v>0.49390082049084699</v>
      </c>
      <c r="V68" s="48">
        <f t="shared" si="3"/>
        <v>2.6075881815428188</v>
      </c>
      <c r="W68" s="33"/>
      <c r="X68" s="48">
        <f t="shared" si="12"/>
        <v>2.5797635508764607</v>
      </c>
      <c r="Y68" s="48">
        <f t="shared" si="13"/>
        <v>2.6075881815428188</v>
      </c>
      <c r="Z68" s="48">
        <f t="shared" si="14"/>
        <v>2.600632023876229</v>
      </c>
      <c r="AA68" s="33"/>
      <c r="AB68" s="48">
        <f>Controls!$F$17*Z68</f>
        <v>2.1993626307750942</v>
      </c>
      <c r="AC68" s="48">
        <f>-(INDEX(Controls!$G$20:$G$24,MATCH($C68,Controls!$C$20:$C$24,0),0))*$Z68</f>
        <v>0</v>
      </c>
      <c r="AD68" s="59">
        <f t="shared" si="15"/>
        <v>2.1993626307750942</v>
      </c>
      <c r="AE68" s="33"/>
      <c r="AG68" s="73"/>
    </row>
    <row r="69" spans="1:33" x14ac:dyDescent="0.3">
      <c r="A69" s="12" t="s">
        <v>118</v>
      </c>
      <c r="B69" s="12" t="str">
        <f t="shared" si="10"/>
        <v>DVW</v>
      </c>
      <c r="C69" s="12">
        <v>2023</v>
      </c>
      <c r="D69" s="99">
        <f>EXP(Coeffs!$D$13+(Coeffs!$D$6*Drivers!F67)+(Coeffs!$D$7*Drivers!G67))</f>
        <v>17.625209266516794</v>
      </c>
      <c r="E69" s="58">
        <f>EXP(Coeffs!$E$13+(Coeffs!$E$6*Drivers!F67)+(Coeffs!$E$7*Drivers!G67)+(Coeffs!$E$8*Drivers!D67))</f>
        <v>18.543316586515886</v>
      </c>
      <c r="F69" s="58">
        <f>EXP(Coeffs!$F$13+(Coeffs!$F$9*Drivers!E67)+(Coeffs!$F$10*Drivers!H67))</f>
        <v>4.2175630761717278</v>
      </c>
      <c r="G69" s="58">
        <f>EXP(Coeffs!$G$13+(Coeffs!$G$9*Drivers!E67)+(Coeffs!$G$11*Drivers!I67)+(Coeffs!$G$12*Drivers!J67))</f>
        <v>4.1663472952342326</v>
      </c>
      <c r="H69" s="58">
        <f>EXP(Coeffs!$H$13+(Coeffs!$H$7*Drivers!G67)+(Coeffs!$H$9*Drivers!E67)+(Coeffs!$H$10*Drivers!H67))</f>
        <v>21.39737539968138</v>
      </c>
      <c r="I69" s="58">
        <f>EXP(Coeffs!$I$13+(Coeffs!$I$7*Drivers!G67)+(Coeffs!$I$8*Drivers!D67)+(Coeffs!$I$9*Drivers!E67)+(Coeffs!$I$10*Drivers!H67))</f>
        <v>23.354847380046241</v>
      </c>
      <c r="J69" s="58">
        <f>EXP(Coeffs!$J$13+(Coeffs!$J$7*Drivers!G67)+(Coeffs!$J$8*Drivers!D67)+(Coeffs!$J$9*Drivers!E67)+(Coeffs!$J$11*Drivers!I67)+(Coeffs!$J$12*Drivers!J67))</f>
        <v>22.376034197316905</v>
      </c>
      <c r="K69" s="33"/>
      <c r="L69" s="58">
        <f xml:space="preserve"> (D69 *Drivers!$L67 * 1000 / 1000000)</f>
        <v>2.0563271781486678</v>
      </c>
      <c r="M69" s="58">
        <f xml:space="preserve"> (E69 *Drivers!$L67 * 1000 / 1000000)</f>
        <v>2.1634424473079359</v>
      </c>
      <c r="N69" s="58">
        <f xml:space="preserve"> (F69 *Drivers!$L67 * 1000 / 1000000)</f>
        <v>0.49206165146441833</v>
      </c>
      <c r="O69" s="58">
        <f xml:space="preserve"> (G69 *Drivers!$L67 * 1000 / 1000000)</f>
        <v>0.48608632369954735</v>
      </c>
      <c r="P69" s="58">
        <f xml:space="preserve"> (H69 *Drivers!$L67 * 1000 / 1000000)</f>
        <v>2.4964245195660073</v>
      </c>
      <c r="Q69" s="58">
        <f xml:space="preserve"> (I69 *Drivers!$L67 * 1000 / 1000000)</f>
        <v>2.7248021105961224</v>
      </c>
      <c r="R69" s="58">
        <f xml:space="preserve"> (J69 *Drivers!$L67 * 1000 / 1000000)</f>
        <v>2.6106043090528384</v>
      </c>
      <c r="S69" s="33"/>
      <c r="T69" s="58">
        <f t="shared" si="11"/>
        <v>2.1098848127283016</v>
      </c>
      <c r="U69" s="58">
        <f t="shared" si="2"/>
        <v>0.48907398758198284</v>
      </c>
      <c r="V69" s="48">
        <f t="shared" si="3"/>
        <v>2.610610313071656</v>
      </c>
      <c r="W69" s="33"/>
      <c r="X69" s="48">
        <f t="shared" si="12"/>
        <v>2.5989588003102844</v>
      </c>
      <c r="Y69" s="48">
        <f t="shared" si="13"/>
        <v>2.610610313071656</v>
      </c>
      <c r="Z69" s="48">
        <f t="shared" si="14"/>
        <v>2.6076974348813131</v>
      </c>
      <c r="AA69" s="33"/>
      <c r="AB69" s="48">
        <f>Controls!$F$17*Z69</f>
        <v>2.2053378709447848</v>
      </c>
      <c r="AC69" s="48">
        <f>-(INDEX(Controls!$G$20:$G$24,MATCH($C69,Controls!$C$20:$C$24,0),0))*$Z69</f>
        <v>0</v>
      </c>
      <c r="AD69" s="59">
        <f t="shared" si="15"/>
        <v>2.2053378709447848</v>
      </c>
      <c r="AE69" s="33"/>
      <c r="AG69" s="73"/>
    </row>
    <row r="70" spans="1:33" x14ac:dyDescent="0.3">
      <c r="A70" s="12" t="s">
        <v>119</v>
      </c>
      <c r="B70" s="12" t="str">
        <f t="shared" si="10"/>
        <v>DVW</v>
      </c>
      <c r="C70" s="12">
        <v>2024</v>
      </c>
      <c r="D70" s="99">
        <f>EXP(Coeffs!$D$13+(Coeffs!$D$6*Drivers!F68)+(Coeffs!$D$7*Drivers!G68))</f>
        <v>17.773456303956426</v>
      </c>
      <c r="E70" s="58">
        <f>EXP(Coeffs!$E$13+(Coeffs!$E$6*Drivers!F68)+(Coeffs!$E$7*Drivers!G68)+(Coeffs!$E$8*Drivers!D68))</f>
        <v>18.695257170382529</v>
      </c>
      <c r="F70" s="58">
        <f>EXP(Coeffs!$F$13+(Coeffs!$F$9*Drivers!E68)+(Coeffs!$F$10*Drivers!H68))</f>
        <v>4.1629854118236391</v>
      </c>
      <c r="G70" s="58">
        <f>EXP(Coeffs!$G$13+(Coeffs!$G$9*Drivers!E68)+(Coeffs!$G$11*Drivers!I68)+(Coeffs!$G$12*Drivers!J68))</f>
        <v>4.1138585862911814</v>
      </c>
      <c r="H70" s="58">
        <f>EXP(Coeffs!$H$13+(Coeffs!$H$7*Drivers!G68)+(Coeffs!$H$9*Drivers!E68)+(Coeffs!$H$10*Drivers!H68))</f>
        <v>21.38611706021176</v>
      </c>
      <c r="I70" s="58">
        <f>EXP(Coeffs!$I$13+(Coeffs!$I$7*Drivers!G68)+(Coeffs!$I$8*Drivers!D68)+(Coeffs!$I$9*Drivers!E68)+(Coeffs!$I$10*Drivers!H68))</f>
        <v>23.340549398812513</v>
      </c>
      <c r="J70" s="58">
        <f>EXP(Coeffs!$J$13+(Coeffs!$J$7*Drivers!G68)+(Coeffs!$J$8*Drivers!D68)+(Coeffs!$J$9*Drivers!E68)+(Coeffs!$J$11*Drivers!I68)+(Coeffs!$J$12*Drivers!J68))</f>
        <v>22.271822563850062</v>
      </c>
      <c r="K70" s="33"/>
      <c r="L70" s="58">
        <f xml:space="preserve"> (D70 *Drivers!$L68 * 1000 / 1000000)</f>
        <v>2.07961259515324</v>
      </c>
      <c r="M70" s="58">
        <f xml:space="preserve"> (E70 *Drivers!$L68 * 1000 / 1000000)</f>
        <v>2.1874694272324442</v>
      </c>
      <c r="N70" s="58">
        <f xml:space="preserve"> (F70 *Drivers!$L68 * 1000 / 1000000)</f>
        <v>0.48709698034031096</v>
      </c>
      <c r="O70" s="58">
        <f xml:space="preserve"> (G70 *Drivers!$L68 * 1000 / 1000000)</f>
        <v>0.48134881502063404</v>
      </c>
      <c r="P70" s="58">
        <f xml:space="preserve"> (H70 *Drivers!$L68 * 1000 / 1000000)</f>
        <v>2.5023179306963343</v>
      </c>
      <c r="Q70" s="58">
        <f xml:space="preserve"> (I70 *Drivers!$L68 * 1000 / 1000000)</f>
        <v>2.7309995128388107</v>
      </c>
      <c r="R70" s="58">
        <f xml:space="preserve"> (J70 *Drivers!$L68 * 1000 / 1000000)</f>
        <v>2.6059513652665558</v>
      </c>
      <c r="S70" s="33"/>
      <c r="T70" s="58">
        <f t="shared" si="11"/>
        <v>2.1335410111928423</v>
      </c>
      <c r="U70" s="58">
        <f t="shared" si="2"/>
        <v>0.4842228976804725</v>
      </c>
      <c r="V70" s="48">
        <f t="shared" si="3"/>
        <v>2.6130896029339001</v>
      </c>
      <c r="W70" s="33"/>
      <c r="X70" s="48">
        <f t="shared" si="12"/>
        <v>2.6177639088733149</v>
      </c>
      <c r="Y70" s="48">
        <f t="shared" si="13"/>
        <v>2.6130896029339001</v>
      </c>
      <c r="Z70" s="48">
        <f t="shared" si="14"/>
        <v>2.6142581794187536</v>
      </c>
      <c r="AA70" s="33"/>
      <c r="AB70" s="48">
        <f>Controls!$F$17*Z70</f>
        <v>2.2108863131054721</v>
      </c>
      <c r="AC70" s="48">
        <f>-(INDEX(Controls!$G$20:$G$24,MATCH($C70,Controls!$C$20:$C$24,0),0))*$Z70</f>
        <v>0</v>
      </c>
      <c r="AD70" s="59">
        <f t="shared" si="15"/>
        <v>2.2108863131054721</v>
      </c>
      <c r="AE70" s="33"/>
      <c r="AG70" s="73"/>
    </row>
    <row r="71" spans="1:33" x14ac:dyDescent="0.3">
      <c r="A71" s="12" t="s">
        <v>120</v>
      </c>
      <c r="B71" s="12" t="str">
        <f t="shared" ref="B71" si="16">LEFT(A71,3)</f>
        <v>DVW</v>
      </c>
      <c r="C71" s="12">
        <v>2025</v>
      </c>
      <c r="D71" s="99">
        <f>EXP(Coeffs!$D$13+(Coeffs!$D$6*Drivers!F69)+(Coeffs!$D$7*Drivers!G69))</f>
        <v>17.91606671634618</v>
      </c>
      <c r="E71" s="58">
        <f>EXP(Coeffs!$E$13+(Coeffs!$E$6*Drivers!F69)+(Coeffs!$E$7*Drivers!G69)+(Coeffs!$E$8*Drivers!D69))</f>
        <v>18.841299368235784</v>
      </c>
      <c r="F71" s="58">
        <f>EXP(Coeffs!$F$13+(Coeffs!$F$9*Drivers!E69)+(Coeffs!$F$10*Drivers!H69))</f>
        <v>4.1085216146883159</v>
      </c>
      <c r="G71" s="58">
        <f>EXP(Coeffs!$G$13+(Coeffs!$G$9*Drivers!E69)+(Coeffs!$G$11*Drivers!I69)+(Coeffs!$G$12*Drivers!J69))</f>
        <v>4.061461121042707</v>
      </c>
      <c r="H71" s="58">
        <f>EXP(Coeffs!$H$13+(Coeffs!$H$7*Drivers!G69)+(Coeffs!$H$9*Drivers!E69)+(Coeffs!$H$10*Drivers!H69))</f>
        <v>21.369278728975381</v>
      </c>
      <c r="I71" s="58">
        <f>EXP(Coeffs!$I$13+(Coeffs!$I$7*Drivers!G69)+(Coeffs!$I$8*Drivers!D69)+(Coeffs!$I$9*Drivers!E69)+(Coeffs!$I$10*Drivers!H69))</f>
        <v>23.319095134924563</v>
      </c>
      <c r="J71" s="58">
        <f>EXP(Coeffs!$J$13+(Coeffs!$J$7*Drivers!G69)+(Coeffs!$J$8*Drivers!D69)+(Coeffs!$J$9*Drivers!E69)+(Coeffs!$J$11*Drivers!I69)+(Coeffs!$J$12*Drivers!J69))</f>
        <v>22.164187021461142</v>
      </c>
      <c r="K71" s="33"/>
      <c r="L71" s="58">
        <f xml:space="preserve"> (D71 *Drivers!$L69 * 1000 / 1000000)</f>
        <v>2.1023365057294683</v>
      </c>
      <c r="M71" s="58">
        <f xml:space="preserve"> (E71 *Drivers!$L69 * 1000 / 1000000)</f>
        <v>2.210906674123946</v>
      </c>
      <c r="N71" s="58">
        <f xml:space="preserve"> (F71 *Drivers!$L69 * 1000 / 1000000)</f>
        <v>0.48210888650337463</v>
      </c>
      <c r="O71" s="58">
        <f xml:space="preserve"> (G71 *Drivers!$L69 * 1000 / 1000000)</f>
        <v>0.47658663681904262</v>
      </c>
      <c r="P71" s="58">
        <f xml:space="preserve"> (H71 *Drivers!$L69 * 1000 / 1000000)</f>
        <v>2.5075489773681356</v>
      </c>
      <c r="Q71" s="58">
        <f xml:space="preserve"> (I71 *Drivers!$L69 * 1000 / 1000000)</f>
        <v>2.7363475342498877</v>
      </c>
      <c r="R71" s="58">
        <f xml:space="preserve"> (J71 *Drivers!$L69 * 1000 / 1000000)</f>
        <v>2.6008264108840073</v>
      </c>
      <c r="S71" s="33"/>
      <c r="T71" s="58">
        <f t="shared" ref="T71:T96" si="17">$L$3*L71+$M$3*M71</f>
        <v>2.1566215899267069</v>
      </c>
      <c r="U71" s="58">
        <f t="shared" si="2"/>
        <v>0.47934776166120863</v>
      </c>
      <c r="V71" s="48">
        <f t="shared" si="3"/>
        <v>2.6149076408340104</v>
      </c>
      <c r="W71" s="33"/>
      <c r="X71" s="48">
        <f t="shared" ref="X71:X96" si="18">SUM(T71:U71)</f>
        <v>2.6359693515879155</v>
      </c>
      <c r="Y71" s="48">
        <f t="shared" ref="Y71:Y96" si="19">V71</f>
        <v>2.6149076408340104</v>
      </c>
      <c r="Z71" s="48">
        <f t="shared" ref="Z71:Z91" si="20">$X$3*X71+$Y$3*Y71</f>
        <v>2.6201730685224867</v>
      </c>
      <c r="AA71" s="33"/>
      <c r="AB71" s="48">
        <f>Controls!$F$17*Z71</f>
        <v>2.2158885533072747</v>
      </c>
      <c r="AC71" s="48">
        <f>-(INDEX(Controls!$G$20:$G$24,MATCH($C71,Controls!$C$20:$C$24,0),0))*$Z71</f>
        <v>0</v>
      </c>
      <c r="AD71" s="59">
        <f t="shared" ref="AD71" si="21">AB71+AC71</f>
        <v>2.2158885533072747</v>
      </c>
      <c r="AE71" s="33"/>
      <c r="AG71" s="73"/>
    </row>
    <row r="72" spans="1:33" x14ac:dyDescent="0.3">
      <c r="A72" s="12" t="s">
        <v>121</v>
      </c>
      <c r="B72" s="12" t="str">
        <f t="shared" ref="B72:B106" si="22">LEFT(A72,3)</f>
        <v>PRT</v>
      </c>
      <c r="C72" s="12">
        <v>2021</v>
      </c>
      <c r="D72" s="99">
        <f>EXP(Coeffs!$D$13+(Coeffs!$D$6*Drivers!F70)+(Coeffs!$D$7*Drivers!G70))</f>
        <v>14.097359380314291</v>
      </c>
      <c r="E72" s="58">
        <f>EXP(Coeffs!$E$13+(Coeffs!$E$6*Drivers!F70)+(Coeffs!$E$7*Drivers!G70)+(Coeffs!$E$8*Drivers!D70))</f>
        <v>14.337668415413551</v>
      </c>
      <c r="F72" s="58">
        <f>EXP(Coeffs!$F$13+(Coeffs!$F$9*Drivers!E70)+(Coeffs!$F$10*Drivers!H70))</f>
        <v>2.8098571975815756</v>
      </c>
      <c r="G72" s="58">
        <f>EXP(Coeffs!$G$13+(Coeffs!$G$9*Drivers!E70)+(Coeffs!$G$11*Drivers!I70)+(Coeffs!$G$12*Drivers!J70))</f>
        <v>2.7472830928548144</v>
      </c>
      <c r="H72" s="58">
        <f>EXP(Coeffs!$H$13+(Coeffs!$H$7*Drivers!G70)+(Coeffs!$H$9*Drivers!E70)+(Coeffs!$H$10*Drivers!H70))</f>
        <v>16.210551528744372</v>
      </c>
      <c r="I72" s="58">
        <f>EXP(Coeffs!$I$13+(Coeffs!$I$7*Drivers!G70)+(Coeffs!$I$8*Drivers!D70)+(Coeffs!$I$9*Drivers!E70)+(Coeffs!$I$10*Drivers!H70))</f>
        <v>16.019901165269996</v>
      </c>
      <c r="J72" s="58">
        <f>EXP(Coeffs!$J$13+(Coeffs!$J$7*Drivers!G70)+(Coeffs!$J$8*Drivers!D70)+(Coeffs!$J$9*Drivers!E70)+(Coeffs!$J$11*Drivers!I70)+(Coeffs!$J$12*Drivers!J70))</f>
        <v>16.107156641461494</v>
      </c>
      <c r="K72" s="33"/>
      <c r="L72" s="58">
        <f xml:space="preserve"> (D72 *Drivers!$L70 * 1000 / 1000000)</f>
        <v>4.232266941079815</v>
      </c>
      <c r="M72" s="58">
        <f xml:space="preserve"> (E72 *Drivers!$L70 * 1000 / 1000000)</f>
        <v>4.30441179867021</v>
      </c>
      <c r="N72" s="58">
        <f xml:space="preserve"> (F72 *Drivers!$L70 * 1000 / 1000000)</f>
        <v>0.8435668982863479</v>
      </c>
      <c r="O72" s="58">
        <f xml:space="preserve"> (G72 *Drivers!$L70 * 1000 / 1000000)</f>
        <v>0.82478108828759378</v>
      </c>
      <c r="P72" s="58">
        <f xml:space="preserve"> (H72 *Drivers!$L70 * 1000 / 1000000)</f>
        <v>4.8666831483050492</v>
      </c>
      <c r="Q72" s="58">
        <f xml:space="preserve"> (I72 *Drivers!$L70 * 1000 / 1000000)</f>
        <v>4.8094466681338615</v>
      </c>
      <c r="R72" s="58">
        <f xml:space="preserve"> (J72 *Drivers!$L70 * 1000 / 1000000)</f>
        <v>4.8356422454296455</v>
      </c>
      <c r="S72" s="33"/>
      <c r="T72" s="58">
        <f t="shared" si="17"/>
        <v>4.2683393698750125</v>
      </c>
      <c r="U72" s="58">
        <f t="shared" ref="U72:U96" si="23">$N$3*N72+$O$3*O72</f>
        <v>0.83417399328697084</v>
      </c>
      <c r="V72" s="48">
        <f t="shared" ref="V72:V96" si="24">$P$3*P72+$Q$3*Q72+$R$3*R72</f>
        <v>4.8372573539561854</v>
      </c>
      <c r="W72" s="33"/>
      <c r="X72" s="48">
        <f t="shared" si="18"/>
        <v>5.1025133631619832</v>
      </c>
      <c r="Y72" s="48">
        <f t="shared" si="19"/>
        <v>4.8372573539561854</v>
      </c>
      <c r="Z72" s="48">
        <f t="shared" si="20"/>
        <v>4.9035713562576344</v>
      </c>
      <c r="AA72" s="33"/>
      <c r="AB72" s="48">
        <f>Controls!$F$17*Z72</f>
        <v>4.146965621925089</v>
      </c>
      <c r="AC72" s="48">
        <f>-(INDEX(Controls!$G$20:$G$24,MATCH($C72,Controls!$C$20:$C$24,0),0))*$Z72</f>
        <v>0</v>
      </c>
      <c r="AD72" s="59">
        <f t="shared" ref="AD72:AD106" si="25">AB72+AC72</f>
        <v>4.146965621925089</v>
      </c>
      <c r="AE72" s="33"/>
      <c r="AG72" s="73"/>
    </row>
    <row r="73" spans="1:33" x14ac:dyDescent="0.3">
      <c r="A73" s="12" t="s">
        <v>122</v>
      </c>
      <c r="B73" s="12" t="str">
        <f t="shared" si="22"/>
        <v>PRT</v>
      </c>
      <c r="C73" s="12">
        <v>2022</v>
      </c>
      <c r="D73" s="99">
        <f>EXP(Coeffs!$D$13+(Coeffs!$D$6*Drivers!F71)+(Coeffs!$D$7*Drivers!G71))</f>
        <v>14.296818743379561</v>
      </c>
      <c r="E73" s="58">
        <f>EXP(Coeffs!$E$13+(Coeffs!$E$6*Drivers!F71)+(Coeffs!$E$7*Drivers!G71)+(Coeffs!$E$8*Drivers!D71))</f>
        <v>14.534519293742136</v>
      </c>
      <c r="F73" s="58">
        <f>EXP(Coeffs!$F$13+(Coeffs!$F$9*Drivers!E71)+(Coeffs!$F$10*Drivers!H71))</f>
        <v>2.8072444381961494</v>
      </c>
      <c r="G73" s="58">
        <f>EXP(Coeffs!$G$13+(Coeffs!$G$9*Drivers!E71)+(Coeffs!$G$11*Drivers!I71)+(Coeffs!$G$12*Drivers!J71))</f>
        <v>2.7447964930923523</v>
      </c>
      <c r="H73" s="58">
        <f>EXP(Coeffs!$H$13+(Coeffs!$H$7*Drivers!G71)+(Coeffs!$H$9*Drivers!E71)+(Coeffs!$H$10*Drivers!H71))</f>
        <v>16.327212187260443</v>
      </c>
      <c r="I73" s="58">
        <f>EXP(Coeffs!$I$13+(Coeffs!$I$7*Drivers!G71)+(Coeffs!$I$8*Drivers!D71)+(Coeffs!$I$9*Drivers!E71)+(Coeffs!$I$10*Drivers!H71))</f>
        <v>16.150917145722872</v>
      </c>
      <c r="J73" s="58">
        <f>EXP(Coeffs!$J$13+(Coeffs!$J$7*Drivers!G71)+(Coeffs!$J$8*Drivers!D71)+(Coeffs!$J$9*Drivers!E71)+(Coeffs!$J$11*Drivers!I71)+(Coeffs!$J$12*Drivers!J71))</f>
        <v>16.149430992798894</v>
      </c>
      <c r="K73" s="33"/>
      <c r="L73" s="58">
        <f xml:space="preserve"> (D73 *Drivers!$L71 * 1000 / 1000000)</f>
        <v>4.3187401155438678</v>
      </c>
      <c r="M73" s="58">
        <f xml:space="preserve"> (E73 *Drivers!$L71 * 1000 / 1000000)</f>
        <v>4.3905439846957437</v>
      </c>
      <c r="N73" s="58">
        <f xml:space="preserve"> (F73 *Drivers!$L71 * 1000 / 1000000)</f>
        <v>0.84800397815697814</v>
      </c>
      <c r="O73" s="58">
        <f xml:space="preserve"> (G73 *Drivers!$L71 * 1000 / 1000000)</f>
        <v>0.82913989024385859</v>
      </c>
      <c r="P73" s="58">
        <f xml:space="preserve"> (H73 *Drivers!$L71 * 1000 / 1000000)</f>
        <v>4.9320752758910729</v>
      </c>
      <c r="Q73" s="58">
        <f xml:space="preserve"> (I73 *Drivers!$L71 * 1000 / 1000000)</f>
        <v>4.8788205986285273</v>
      </c>
      <c r="R73" s="58">
        <f xml:space="preserve"> (J73 *Drivers!$L71 * 1000 / 1000000)</f>
        <v>4.878371666011712</v>
      </c>
      <c r="S73" s="33"/>
      <c r="T73" s="58">
        <f t="shared" si="17"/>
        <v>4.3546420501198053</v>
      </c>
      <c r="U73" s="58">
        <f t="shared" si="23"/>
        <v>0.83857193420041831</v>
      </c>
      <c r="V73" s="48">
        <f t="shared" si="24"/>
        <v>4.8964225135104371</v>
      </c>
      <c r="W73" s="33"/>
      <c r="X73" s="48">
        <f t="shared" si="18"/>
        <v>5.1932139843202236</v>
      </c>
      <c r="Y73" s="48">
        <f t="shared" si="19"/>
        <v>4.8964225135104371</v>
      </c>
      <c r="Z73" s="48">
        <f t="shared" si="20"/>
        <v>4.9706203812128837</v>
      </c>
      <c r="AA73" s="33"/>
      <c r="AB73" s="48">
        <f>Controls!$F$17*Z73</f>
        <v>4.2036691918890874</v>
      </c>
      <c r="AC73" s="48">
        <f>-(INDEX(Controls!$G$20:$G$24,MATCH($C73,Controls!$C$20:$C$24,0),0))*$Z73</f>
        <v>0</v>
      </c>
      <c r="AD73" s="59">
        <f t="shared" si="25"/>
        <v>4.2036691918890874</v>
      </c>
      <c r="AE73" s="33"/>
      <c r="AG73" s="73"/>
    </row>
    <row r="74" spans="1:33" x14ac:dyDescent="0.3">
      <c r="A74" s="12" t="s">
        <v>123</v>
      </c>
      <c r="B74" s="12" t="str">
        <f t="shared" si="22"/>
        <v>PRT</v>
      </c>
      <c r="C74" s="12">
        <v>2023</v>
      </c>
      <c r="D74" s="99">
        <f>EXP(Coeffs!$D$13+(Coeffs!$D$6*Drivers!F72)+(Coeffs!$D$7*Drivers!G72))</f>
        <v>14.496862449940057</v>
      </c>
      <c r="E74" s="58">
        <f>EXP(Coeffs!$E$13+(Coeffs!$E$6*Drivers!F72)+(Coeffs!$E$7*Drivers!G72)+(Coeffs!$E$8*Drivers!D72))</f>
        <v>14.731824215552001</v>
      </c>
      <c r="F74" s="58">
        <f>EXP(Coeffs!$F$13+(Coeffs!$F$9*Drivers!E72)+(Coeffs!$F$10*Drivers!H72))</f>
        <v>2.8087980845013432</v>
      </c>
      <c r="G74" s="58">
        <f>EXP(Coeffs!$G$13+(Coeffs!$G$9*Drivers!E72)+(Coeffs!$G$11*Drivers!I72)+(Coeffs!$G$12*Drivers!J72))</f>
        <v>2.746275127499342</v>
      </c>
      <c r="H74" s="58">
        <f>EXP(Coeffs!$H$13+(Coeffs!$H$7*Drivers!G72)+(Coeffs!$H$9*Drivers!E72)+(Coeffs!$H$10*Drivers!H72))</f>
        <v>16.452747392580253</v>
      </c>
      <c r="I74" s="58">
        <f>EXP(Coeffs!$I$13+(Coeffs!$I$7*Drivers!G72)+(Coeffs!$I$8*Drivers!D72)+(Coeffs!$I$9*Drivers!E72)+(Coeffs!$I$10*Drivers!H72))</f>
        <v>16.292090691652898</v>
      </c>
      <c r="J74" s="58">
        <f>EXP(Coeffs!$J$13+(Coeffs!$J$7*Drivers!G72)+(Coeffs!$J$8*Drivers!D72)+(Coeffs!$J$9*Drivers!E72)+(Coeffs!$J$11*Drivers!I72)+(Coeffs!$J$12*Drivers!J72))</f>
        <v>16.203314474351529</v>
      </c>
      <c r="K74" s="33"/>
      <c r="L74" s="58">
        <f xml:space="preserve"> (D74 *Drivers!$L72 * 1000 / 1000000)</f>
        <v>4.4063213416592797</v>
      </c>
      <c r="M74" s="58">
        <f xml:space="preserve"> (E74 *Drivers!$L72 * 1000 / 1000000)</f>
        <v>4.4777379703170315</v>
      </c>
      <c r="N74" s="58">
        <f xml:space="preserve"> (F74 *Drivers!$L72 * 1000 / 1000000)</f>
        <v>0.85373417778418315</v>
      </c>
      <c r="O74" s="58">
        <f xml:space="preserve"> (G74 *Drivers!$L72 * 1000 / 1000000)</f>
        <v>0.83473032500342492</v>
      </c>
      <c r="P74" s="58">
        <f xml:space="preserve"> (H74 *Drivers!$L72 * 1000 / 1000000)</f>
        <v>5.0008125699747676</v>
      </c>
      <c r="Q74" s="58">
        <f xml:space="preserve"> (I74 *Drivers!$L72 * 1000 / 1000000)</f>
        <v>4.9519809657278984</v>
      </c>
      <c r="R74" s="58">
        <f xml:space="preserve"> (J74 *Drivers!$L72 * 1000 / 1000000)</f>
        <v>4.9249974344791472</v>
      </c>
      <c r="S74" s="33"/>
      <c r="T74" s="58">
        <f t="shared" si="17"/>
        <v>4.442029655988156</v>
      </c>
      <c r="U74" s="58">
        <f t="shared" si="23"/>
        <v>0.84423225139380409</v>
      </c>
      <c r="V74" s="48">
        <f t="shared" si="24"/>
        <v>4.9592636567272708</v>
      </c>
      <c r="W74" s="33"/>
      <c r="X74" s="48">
        <f t="shared" si="18"/>
        <v>5.2862619073819603</v>
      </c>
      <c r="Y74" s="48">
        <f t="shared" si="19"/>
        <v>4.9592636567272708</v>
      </c>
      <c r="Z74" s="48">
        <f t="shared" si="20"/>
        <v>5.0410132193909432</v>
      </c>
      <c r="AA74" s="33"/>
      <c r="AB74" s="48">
        <f>Controls!$F$17*Z74</f>
        <v>4.2632006351465863</v>
      </c>
      <c r="AC74" s="48">
        <f>-(INDEX(Controls!$G$20:$G$24,MATCH($C74,Controls!$C$20:$C$24,0),0))*$Z74</f>
        <v>0</v>
      </c>
      <c r="AD74" s="59">
        <f t="shared" si="25"/>
        <v>4.2632006351465863</v>
      </c>
      <c r="AE74" s="33"/>
      <c r="AG74" s="73"/>
    </row>
    <row r="75" spans="1:33" x14ac:dyDescent="0.3">
      <c r="A75" s="12" t="s">
        <v>124</v>
      </c>
      <c r="B75" s="12" t="str">
        <f t="shared" si="22"/>
        <v>PRT</v>
      </c>
      <c r="C75" s="12">
        <v>2024</v>
      </c>
      <c r="D75" s="99">
        <f>EXP(Coeffs!$D$13+(Coeffs!$D$6*Drivers!F73)+(Coeffs!$D$7*Drivers!G73))</f>
        <v>14.697911079419235</v>
      </c>
      <c r="E75" s="58">
        <f>EXP(Coeffs!$E$13+(Coeffs!$E$6*Drivers!F73)+(Coeffs!$E$7*Drivers!G73)+(Coeffs!$E$8*Drivers!D73))</f>
        <v>14.929959593444131</v>
      </c>
      <c r="F75" s="58">
        <f>EXP(Coeffs!$F$13+(Coeffs!$F$9*Drivers!E73)+(Coeffs!$F$10*Drivers!H73))</f>
        <v>2.8121833617669956</v>
      </c>
      <c r="G75" s="58">
        <f>EXP(Coeffs!$G$13+(Coeffs!$G$9*Drivers!E73)+(Coeffs!$G$11*Drivers!I73)+(Coeffs!$G$12*Drivers!J73))</f>
        <v>2.7494968841481526</v>
      </c>
      <c r="H75" s="58">
        <f>EXP(Coeffs!$H$13+(Coeffs!$H$7*Drivers!G73)+(Coeffs!$H$9*Drivers!E73)+(Coeffs!$H$10*Drivers!H73))</f>
        <v>16.582320592271913</v>
      </c>
      <c r="I75" s="58">
        <f>EXP(Coeffs!$I$13+(Coeffs!$I$7*Drivers!G73)+(Coeffs!$I$8*Drivers!D73)+(Coeffs!$I$9*Drivers!E73)+(Coeffs!$I$10*Drivers!H73))</f>
        <v>16.437877573478787</v>
      </c>
      <c r="J75" s="58">
        <f>EXP(Coeffs!$J$13+(Coeffs!$J$7*Drivers!G73)+(Coeffs!$J$8*Drivers!D73)+(Coeffs!$J$9*Drivers!E73)+(Coeffs!$J$11*Drivers!I73)+(Coeffs!$J$12*Drivers!J73))</f>
        <v>16.262051735486658</v>
      </c>
      <c r="K75" s="33"/>
      <c r="L75" s="58">
        <f xml:space="preserve"> (D75 *Drivers!$L73 * 1000 / 1000000)</f>
        <v>4.4955030827511671</v>
      </c>
      <c r="M75" s="58">
        <f xml:space="preserve"> (E75 *Drivers!$L73 * 1000 / 1000000)</f>
        <v>4.5664774412508224</v>
      </c>
      <c r="N75" s="58">
        <f xml:space="preserve"> (F75 *Drivers!$L73 * 1000 / 1000000)</f>
        <v>0.86013440303005329</v>
      </c>
      <c r="O75" s="58">
        <f xml:space="preserve"> (G75 *Drivers!$L73 * 1000 / 1000000)</f>
        <v>0.84096111698555398</v>
      </c>
      <c r="P75" s="58">
        <f xml:space="preserve"> (H75 *Drivers!$L73 * 1000 / 1000000)</f>
        <v>5.0718685763522871</v>
      </c>
      <c r="Q75" s="58">
        <f xml:space="preserve"> (I75 *Drivers!$L73 * 1000 / 1000000)</f>
        <v>5.0276892346242219</v>
      </c>
      <c r="R75" s="58">
        <f xml:space="preserve"> (J75 *Drivers!$L73 * 1000 / 1000000)</f>
        <v>4.9739111438159496</v>
      </c>
      <c r="S75" s="33"/>
      <c r="T75" s="58">
        <f t="shared" si="17"/>
        <v>4.5309902620009943</v>
      </c>
      <c r="U75" s="58">
        <f t="shared" si="23"/>
        <v>0.85054776000780363</v>
      </c>
      <c r="V75" s="48">
        <f t="shared" si="24"/>
        <v>5.0244896515974862</v>
      </c>
      <c r="W75" s="33"/>
      <c r="X75" s="48">
        <f t="shared" si="18"/>
        <v>5.3815380220087983</v>
      </c>
      <c r="Y75" s="48">
        <f t="shared" si="19"/>
        <v>5.0244896515974862</v>
      </c>
      <c r="Z75" s="48">
        <f t="shared" si="20"/>
        <v>5.1137517442003144</v>
      </c>
      <c r="AA75" s="33"/>
      <c r="AB75" s="48">
        <f>Controls!$F$17*Z75</f>
        <v>4.3247158329195461</v>
      </c>
      <c r="AC75" s="48">
        <f>-(INDEX(Controls!$G$20:$G$24,MATCH($C75,Controls!$C$20:$C$24,0),0))*$Z75</f>
        <v>0</v>
      </c>
      <c r="AD75" s="59">
        <f t="shared" si="25"/>
        <v>4.3247158329195461</v>
      </c>
      <c r="AE75" s="33"/>
      <c r="AG75" s="73"/>
    </row>
    <row r="76" spans="1:33" x14ac:dyDescent="0.3">
      <c r="A76" s="12" t="s">
        <v>125</v>
      </c>
      <c r="B76" s="12" t="str">
        <f t="shared" si="22"/>
        <v>PRT</v>
      </c>
      <c r="C76" s="12">
        <v>2025</v>
      </c>
      <c r="D76" s="99">
        <f>EXP(Coeffs!$D$13+(Coeffs!$D$6*Drivers!F74)+(Coeffs!$D$7*Drivers!G74))</f>
        <v>14.900391195601797</v>
      </c>
      <c r="E76" s="58">
        <f>EXP(Coeffs!$E$13+(Coeffs!$E$6*Drivers!F74)+(Coeffs!$E$7*Drivers!G74)+(Coeffs!$E$8*Drivers!D74))</f>
        <v>15.129300166901304</v>
      </c>
      <c r="F76" s="58">
        <f>EXP(Coeffs!$F$13+(Coeffs!$F$9*Drivers!E74)+(Coeffs!$F$10*Drivers!H74))</f>
        <v>2.8218849348433936</v>
      </c>
      <c r="G76" s="58">
        <f>EXP(Coeffs!$G$13+(Coeffs!$G$9*Drivers!E74)+(Coeffs!$G$11*Drivers!I74)+(Coeffs!$G$12*Drivers!J74))</f>
        <v>2.7587292661808767</v>
      </c>
      <c r="H76" s="58">
        <f>EXP(Coeffs!$H$13+(Coeffs!$H$7*Drivers!G74)+(Coeffs!$H$9*Drivers!E74)+(Coeffs!$H$10*Drivers!H74))</f>
        <v>16.726514167304583</v>
      </c>
      <c r="I76" s="58">
        <f>EXP(Coeffs!$I$13+(Coeffs!$I$7*Drivers!G74)+(Coeffs!$I$8*Drivers!D74)+(Coeffs!$I$9*Drivers!E74)+(Coeffs!$I$10*Drivers!H74))</f>
        <v>16.600277782800259</v>
      </c>
      <c r="J76" s="58">
        <f>EXP(Coeffs!$J$13+(Coeffs!$J$7*Drivers!G74)+(Coeffs!$J$8*Drivers!D74)+(Coeffs!$J$9*Drivers!E74)+(Coeffs!$J$11*Drivers!I74)+(Coeffs!$J$12*Drivers!J74))</f>
        <v>16.338821379135442</v>
      </c>
      <c r="K76" s="33"/>
      <c r="L76" s="58">
        <f xml:space="preserve"> (D76 *Drivers!$L74 * 1000 / 1000000)</f>
        <v>4.5868470233068841</v>
      </c>
      <c r="M76" s="58">
        <f xml:space="preserve"> (E76 *Drivers!$L74 * 1000 / 1000000)</f>
        <v>4.657312987577896</v>
      </c>
      <c r="N76" s="58">
        <f xml:space="preserve"> (F76 *Drivers!$L74 * 1000 / 1000000)</f>
        <v>0.86867212703258123</v>
      </c>
      <c r="O76" s="58">
        <f xml:space="preserve"> (G76 *Drivers!$L74 * 1000 / 1000000)</f>
        <v>0.84923066492552401</v>
      </c>
      <c r="P76" s="58">
        <f xml:space="preserve"> (H76 *Drivers!$L74 * 1000 / 1000000)</f>
        <v>5.1489897621780392</v>
      </c>
      <c r="Q76" s="58">
        <f xml:space="preserve"> (I76 *Drivers!$L74 * 1000 / 1000000)</f>
        <v>5.1101299109905352</v>
      </c>
      <c r="R76" s="58">
        <f xml:space="preserve"> (J76 *Drivers!$L74 * 1000 / 1000000)</f>
        <v>5.0296447404247804</v>
      </c>
      <c r="S76" s="33"/>
      <c r="T76" s="58">
        <f t="shared" si="17"/>
        <v>4.6220800054423901</v>
      </c>
      <c r="U76" s="58">
        <f t="shared" si="23"/>
        <v>0.85895139597905268</v>
      </c>
      <c r="V76" s="48">
        <f t="shared" si="24"/>
        <v>5.0962548045311173</v>
      </c>
      <c r="W76" s="33"/>
      <c r="X76" s="48">
        <f t="shared" si="18"/>
        <v>5.4810314014214425</v>
      </c>
      <c r="Y76" s="48">
        <f t="shared" si="19"/>
        <v>5.0962548045311173</v>
      </c>
      <c r="Z76" s="48">
        <f t="shared" si="20"/>
        <v>5.1924489537536989</v>
      </c>
      <c r="AA76" s="33"/>
      <c r="AB76" s="48">
        <f>Controls!$F$17*Z76</f>
        <v>4.3912703090041747</v>
      </c>
      <c r="AC76" s="48">
        <f>-(INDEX(Controls!$G$20:$G$24,MATCH($C76,Controls!$C$20:$C$24,0),0))*$Z76</f>
        <v>0</v>
      </c>
      <c r="AD76" s="59">
        <f t="shared" si="25"/>
        <v>4.3912703090041747</v>
      </c>
      <c r="AE76" s="33"/>
      <c r="AG76" s="73"/>
    </row>
    <row r="77" spans="1:33" x14ac:dyDescent="0.3">
      <c r="A77" s="12" t="s">
        <v>126</v>
      </c>
      <c r="B77" s="12" t="str">
        <f t="shared" si="22"/>
        <v>SES</v>
      </c>
      <c r="C77" s="12">
        <v>2021</v>
      </c>
      <c r="D77" s="99">
        <f>EXP(Coeffs!$D$13+(Coeffs!$D$6*Drivers!F75)+(Coeffs!$D$7*Drivers!G75))</f>
        <v>17.160698599360188</v>
      </c>
      <c r="E77" s="58">
        <f>EXP(Coeffs!$E$13+(Coeffs!$E$6*Drivers!F75)+(Coeffs!$E$7*Drivers!G75)+(Coeffs!$E$8*Drivers!D75))</f>
        <v>17.4660918302549</v>
      </c>
      <c r="F77" s="58">
        <f>EXP(Coeffs!$F$13+(Coeffs!$F$9*Drivers!E75)+(Coeffs!$F$10*Drivers!H75))</f>
        <v>4.7120998081392234</v>
      </c>
      <c r="G77" s="58">
        <f>EXP(Coeffs!$G$13+(Coeffs!$G$9*Drivers!E75)+(Coeffs!$G$11*Drivers!I75)+(Coeffs!$G$12*Drivers!J75))</f>
        <v>4.8151191594162377</v>
      </c>
      <c r="H77" s="58">
        <f>EXP(Coeffs!$H$13+(Coeffs!$H$7*Drivers!G75)+(Coeffs!$H$9*Drivers!E75)+(Coeffs!$H$10*Drivers!H75))</f>
        <v>22.144231990111507</v>
      </c>
      <c r="I77" s="58">
        <f>EXP(Coeffs!$I$13+(Coeffs!$I$7*Drivers!G75)+(Coeffs!$I$8*Drivers!D75)+(Coeffs!$I$9*Drivers!E75)+(Coeffs!$I$10*Drivers!H75))</f>
        <v>22.882332842335849</v>
      </c>
      <c r="J77" s="58">
        <f>EXP(Coeffs!$J$13+(Coeffs!$J$7*Drivers!G75)+(Coeffs!$J$8*Drivers!D75)+(Coeffs!$J$9*Drivers!E75)+(Coeffs!$J$11*Drivers!I75)+(Coeffs!$J$12*Drivers!J75))</f>
        <v>21.974185807263527</v>
      </c>
      <c r="K77" s="33"/>
      <c r="L77" s="58">
        <f xml:space="preserve"> (D77 *Drivers!$L75 * 1000 / 1000000)</f>
        <v>4.7473699819242015</v>
      </c>
      <c r="M77" s="58">
        <f xml:space="preserve"> (E77 *Drivers!$L75 * 1000 / 1000000)</f>
        <v>4.8318545761053757</v>
      </c>
      <c r="N77" s="58">
        <f xml:space="preserve"> (F77 *Drivers!$L75 * 1000 / 1000000)</f>
        <v>1.303564715123251</v>
      </c>
      <c r="O77" s="58">
        <f xml:space="preserve"> (G77 *Drivers!$L75 * 1000 / 1000000)</f>
        <v>1.3320641944992271</v>
      </c>
      <c r="P77" s="58">
        <f xml:space="preserve"> (H77 *Drivers!$L75 * 1000 / 1000000)</f>
        <v>6.1260246262084275</v>
      </c>
      <c r="Q77" s="58">
        <f xml:space="preserve"> (I77 *Drivers!$L75 * 1000 / 1000000)</f>
        <v>6.330214322169474</v>
      </c>
      <c r="R77" s="58">
        <f xml:space="preserve"> (J77 *Drivers!$L75 * 1000 / 1000000)</f>
        <v>6.0789827100929976</v>
      </c>
      <c r="S77" s="33"/>
      <c r="T77" s="58">
        <f t="shared" si="17"/>
        <v>4.7896122790147881</v>
      </c>
      <c r="U77" s="58">
        <f t="shared" si="23"/>
        <v>1.3178144548112392</v>
      </c>
      <c r="V77" s="48">
        <f t="shared" si="24"/>
        <v>6.1784072194902997</v>
      </c>
      <c r="W77" s="33"/>
      <c r="X77" s="48">
        <f t="shared" si="18"/>
        <v>6.1074267338260277</v>
      </c>
      <c r="Y77" s="48">
        <f t="shared" si="19"/>
        <v>6.1784072194902997</v>
      </c>
      <c r="Z77" s="48">
        <f t="shared" si="20"/>
        <v>6.1606620980742317</v>
      </c>
      <c r="AA77" s="33"/>
      <c r="AB77" s="48">
        <f>Controls!$F$17*Z77</f>
        <v>5.2100911912718226</v>
      </c>
      <c r="AC77" s="48">
        <f>-(INDEX(Controls!$G$20:$G$24,MATCH($C77,Controls!$C$20:$C$24,0),0))*$Z77</f>
        <v>0</v>
      </c>
      <c r="AD77" s="59">
        <f t="shared" si="25"/>
        <v>5.2100911912718226</v>
      </c>
      <c r="AE77" s="33"/>
      <c r="AG77" s="73"/>
    </row>
    <row r="78" spans="1:33" x14ac:dyDescent="0.3">
      <c r="A78" s="12" t="s">
        <v>127</v>
      </c>
      <c r="B78" s="12" t="str">
        <f t="shared" si="22"/>
        <v>SES</v>
      </c>
      <c r="C78" s="12">
        <v>2022</v>
      </c>
      <c r="D78" s="99">
        <f>EXP(Coeffs!$D$13+(Coeffs!$D$6*Drivers!F76)+(Coeffs!$D$7*Drivers!G76))</f>
        <v>17.919746452889743</v>
      </c>
      <c r="E78" s="58">
        <f>EXP(Coeffs!$E$13+(Coeffs!$E$6*Drivers!F76)+(Coeffs!$E$7*Drivers!G76)+(Coeffs!$E$8*Drivers!D76))</f>
        <v>18.222653663965712</v>
      </c>
      <c r="F78" s="58">
        <f>EXP(Coeffs!$F$13+(Coeffs!$F$9*Drivers!E76)+(Coeffs!$F$10*Drivers!H76))</f>
        <v>4.722151191726252</v>
      </c>
      <c r="G78" s="58">
        <f>EXP(Coeffs!$G$13+(Coeffs!$G$9*Drivers!E76)+(Coeffs!$G$11*Drivers!I76)+(Coeffs!$G$12*Drivers!J76))</f>
        <v>4.825116581157058</v>
      </c>
      <c r="H78" s="58">
        <f>EXP(Coeffs!$H$13+(Coeffs!$H$7*Drivers!G76)+(Coeffs!$H$9*Drivers!E76)+(Coeffs!$H$10*Drivers!H76))</f>
        <v>22.682450029603814</v>
      </c>
      <c r="I78" s="58">
        <f>EXP(Coeffs!$I$13+(Coeffs!$I$7*Drivers!G76)+(Coeffs!$I$8*Drivers!D76)+(Coeffs!$I$9*Drivers!E76)+(Coeffs!$I$10*Drivers!H76))</f>
        <v>23.52988009366344</v>
      </c>
      <c r="J78" s="58">
        <f>EXP(Coeffs!$J$13+(Coeffs!$J$7*Drivers!G76)+(Coeffs!$J$8*Drivers!D76)+(Coeffs!$J$9*Drivers!E76)+(Coeffs!$J$11*Drivers!I76)+(Coeffs!$J$12*Drivers!J76))</f>
        <v>22.234951663112113</v>
      </c>
      <c r="K78" s="33"/>
      <c r="L78" s="58">
        <f xml:space="preserve"> (D78 *Drivers!$L76 * 1000 / 1000000)</f>
        <v>5.0012399572834525</v>
      </c>
      <c r="M78" s="58">
        <f xml:space="preserve"> (E78 *Drivers!$L76 * 1000 / 1000000)</f>
        <v>5.0857786337298547</v>
      </c>
      <c r="N78" s="58">
        <f xml:space="preserve"> (F78 *Drivers!$L76 * 1000 / 1000000)</f>
        <v>1.3179098982500714</v>
      </c>
      <c r="O78" s="58">
        <f xml:space="preserve"> (G78 *Drivers!$L76 * 1000 / 1000000)</f>
        <v>1.3466466117517044</v>
      </c>
      <c r="P78" s="58">
        <f xml:space="preserve"> (H78 *Drivers!$L76 * 1000 / 1000000)</f>
        <v>6.3304676612121584</v>
      </c>
      <c r="Q78" s="58">
        <f xml:space="preserve"> (I78 *Drivers!$L76 * 1000 / 1000000)</f>
        <v>6.5669777652206234</v>
      </c>
      <c r="R78" s="58">
        <f xml:space="preserve"> (J78 *Drivers!$L76 * 1000 / 1000000)</f>
        <v>6.2055748946096223</v>
      </c>
      <c r="S78" s="33"/>
      <c r="T78" s="58">
        <f t="shared" si="17"/>
        <v>5.0435092955066541</v>
      </c>
      <c r="U78" s="58">
        <f t="shared" si="23"/>
        <v>1.332278255000888</v>
      </c>
      <c r="V78" s="48">
        <f t="shared" si="24"/>
        <v>6.3676734403474677</v>
      </c>
      <c r="W78" s="33"/>
      <c r="X78" s="48">
        <f t="shared" si="18"/>
        <v>6.3757875505075425</v>
      </c>
      <c r="Y78" s="48">
        <f t="shared" si="19"/>
        <v>6.3676734403474677</v>
      </c>
      <c r="Z78" s="48">
        <f t="shared" si="20"/>
        <v>6.3697019678874867</v>
      </c>
      <c r="AA78" s="33"/>
      <c r="AB78" s="48">
        <f>Controls!$F$17*Z78</f>
        <v>5.3868768625195766</v>
      </c>
      <c r="AC78" s="48">
        <f>-(INDEX(Controls!$G$20:$G$24,MATCH($C78,Controls!$C$20:$C$24,0),0))*$Z78</f>
        <v>0</v>
      </c>
      <c r="AD78" s="59">
        <f t="shared" si="25"/>
        <v>5.3868768625195766</v>
      </c>
      <c r="AE78" s="33"/>
      <c r="AG78" s="73"/>
    </row>
    <row r="79" spans="1:33" x14ac:dyDescent="0.3">
      <c r="A79" s="12" t="s">
        <v>128</v>
      </c>
      <c r="B79" s="12" t="str">
        <f t="shared" si="22"/>
        <v>SES</v>
      </c>
      <c r="C79" s="12">
        <v>2023</v>
      </c>
      <c r="D79" s="99">
        <f>EXP(Coeffs!$D$13+(Coeffs!$D$6*Drivers!F77)+(Coeffs!$D$7*Drivers!G77))</f>
        <v>18.682770016829195</v>
      </c>
      <c r="E79" s="58">
        <f>EXP(Coeffs!$E$13+(Coeffs!$E$6*Drivers!F77)+(Coeffs!$E$7*Drivers!G77)+(Coeffs!$E$8*Drivers!D77))</f>
        <v>18.982105254372566</v>
      </c>
      <c r="F79" s="58">
        <f>EXP(Coeffs!$F$13+(Coeffs!$F$9*Drivers!E77)+(Coeffs!$F$10*Drivers!H77))</f>
        <v>4.7119600128110708</v>
      </c>
      <c r="G79" s="58">
        <f>EXP(Coeffs!$G$13+(Coeffs!$G$9*Drivers!E77)+(Coeffs!$G$11*Drivers!I77)+(Coeffs!$G$12*Drivers!J77))</f>
        <v>4.8149801105931127</v>
      </c>
      <c r="H79" s="58">
        <f>EXP(Coeffs!$H$13+(Coeffs!$H$7*Drivers!G77)+(Coeffs!$H$9*Drivers!E77)+(Coeffs!$H$10*Drivers!H77))</f>
        <v>23.175725105733047</v>
      </c>
      <c r="I79" s="58">
        <f>EXP(Coeffs!$I$13+(Coeffs!$I$7*Drivers!G77)+(Coeffs!$I$8*Drivers!D77)+(Coeffs!$I$9*Drivers!E77)+(Coeffs!$I$10*Drivers!H77))</f>
        <v>24.125257316077636</v>
      </c>
      <c r="J79" s="58">
        <f>EXP(Coeffs!$J$13+(Coeffs!$J$7*Drivers!G77)+(Coeffs!$J$8*Drivers!D77)+(Coeffs!$J$9*Drivers!E77)+(Coeffs!$J$11*Drivers!I77)+(Coeffs!$J$12*Drivers!J77))</f>
        <v>22.439623388622071</v>
      </c>
      <c r="K79" s="33"/>
      <c r="L79" s="58">
        <f xml:space="preserve"> (D79 *Drivers!$L77 * 1000 / 1000000)</f>
        <v>5.2616472026096233</v>
      </c>
      <c r="M79" s="58">
        <f xml:space="preserve"> (E79 *Drivers!$L77 * 1000 / 1000000)</f>
        <v>5.3459492848941998</v>
      </c>
      <c r="N79" s="58">
        <f xml:space="preserve"> (F79 *Drivers!$L77 * 1000 / 1000000)</f>
        <v>1.3270340103679947</v>
      </c>
      <c r="O79" s="58">
        <f xml:space="preserve"> (G79 *Drivers!$L77 * 1000 / 1000000)</f>
        <v>1.3560476635264489</v>
      </c>
      <c r="P79" s="58">
        <f xml:space="preserve"> (H79 *Drivers!$L77 * 1000 / 1000000)</f>
        <v>6.5270026372527026</v>
      </c>
      <c r="Q79" s="58">
        <f xml:space="preserve"> (I79 *Drivers!$L77 * 1000 / 1000000)</f>
        <v>6.7944203431842594</v>
      </c>
      <c r="R79" s="58">
        <f xml:space="preserve"> (J79 *Drivers!$L77 * 1000 / 1000000)</f>
        <v>6.319693574561021</v>
      </c>
      <c r="S79" s="33"/>
      <c r="T79" s="58">
        <f t="shared" si="17"/>
        <v>5.3037982437519116</v>
      </c>
      <c r="U79" s="58">
        <f t="shared" si="23"/>
        <v>1.3415408369472219</v>
      </c>
      <c r="V79" s="48">
        <f t="shared" si="24"/>
        <v>6.5470388516659934</v>
      </c>
      <c r="W79" s="33"/>
      <c r="X79" s="48">
        <f t="shared" si="18"/>
        <v>6.6453390806991335</v>
      </c>
      <c r="Y79" s="48">
        <f t="shared" si="19"/>
        <v>6.5470388516659934</v>
      </c>
      <c r="Z79" s="48">
        <f t="shared" si="20"/>
        <v>6.5716139089242782</v>
      </c>
      <c r="AA79" s="33"/>
      <c r="AB79" s="48">
        <f>Controls!$F$17*Z79</f>
        <v>5.5576344221229874</v>
      </c>
      <c r="AC79" s="48">
        <f>-(INDEX(Controls!$G$20:$G$24,MATCH($C79,Controls!$C$20:$C$24,0),0))*$Z79</f>
        <v>0</v>
      </c>
      <c r="AD79" s="59">
        <f t="shared" si="25"/>
        <v>5.5576344221229874</v>
      </c>
      <c r="AE79" s="33"/>
      <c r="AG79" s="73"/>
    </row>
    <row r="80" spans="1:33" x14ac:dyDescent="0.3">
      <c r="A80" s="12" t="s">
        <v>129</v>
      </c>
      <c r="B80" s="12" t="str">
        <f t="shared" si="22"/>
        <v>SES</v>
      </c>
      <c r="C80" s="12">
        <v>2024</v>
      </c>
      <c r="D80" s="99">
        <f>EXP(Coeffs!$D$13+(Coeffs!$D$6*Drivers!F78)+(Coeffs!$D$7*Drivers!G78))</f>
        <v>19.448368759437386</v>
      </c>
      <c r="E80" s="58">
        <f>EXP(Coeffs!$E$13+(Coeffs!$E$6*Drivers!F78)+(Coeffs!$E$7*Drivers!G78)+(Coeffs!$E$8*Drivers!D78))</f>
        <v>19.743062947088724</v>
      </c>
      <c r="F80" s="58">
        <f>EXP(Coeffs!$F$13+(Coeffs!$F$9*Drivers!E78)+(Coeffs!$F$10*Drivers!H78))</f>
        <v>4.7033016458862598</v>
      </c>
      <c r="G80" s="58">
        <f>EXP(Coeffs!$G$13+(Coeffs!$G$9*Drivers!E78)+(Coeffs!$G$11*Drivers!I78)+(Coeffs!$G$12*Drivers!J78))</f>
        <v>4.8063677650487966</v>
      </c>
      <c r="H80" s="58">
        <f>EXP(Coeffs!$H$13+(Coeffs!$H$7*Drivers!G78)+(Coeffs!$H$9*Drivers!E78)+(Coeffs!$H$10*Drivers!H78))</f>
        <v>23.663158744469893</v>
      </c>
      <c r="I80" s="58">
        <f>EXP(Coeffs!$I$13+(Coeffs!$I$7*Drivers!G78)+(Coeffs!$I$8*Drivers!D78)+(Coeffs!$I$9*Drivers!E78)+(Coeffs!$I$10*Drivers!H78))</f>
        <v>24.714787887850406</v>
      </c>
      <c r="J80" s="58">
        <f>EXP(Coeffs!$J$13+(Coeffs!$J$7*Drivers!G78)+(Coeffs!$J$8*Drivers!D78)+(Coeffs!$J$9*Drivers!E78)+(Coeffs!$J$11*Drivers!I78)+(Coeffs!$J$12*Drivers!J78))</f>
        <v>22.639899133687379</v>
      </c>
      <c r="K80" s="33"/>
      <c r="L80" s="58">
        <f xml:space="preserve"> (D80 *Drivers!$L78 * 1000 / 1000000)</f>
        <v>5.5282182682388363</v>
      </c>
      <c r="M80" s="58">
        <f xml:space="preserve"> (E80 *Drivers!$L78 * 1000 / 1000000)</f>
        <v>5.6119853857729165</v>
      </c>
      <c r="N80" s="58">
        <f xml:space="preserve"> (F80 *Drivers!$L78 * 1000 / 1000000)</f>
        <v>1.3369181961448151</v>
      </c>
      <c r="O80" s="58">
        <f xml:space="preserve"> (G80 *Drivers!$L78 * 1000 / 1000000)</f>
        <v>1.3662148435828854</v>
      </c>
      <c r="P80" s="58">
        <f xml:space="preserve"> (H80 *Drivers!$L78 * 1000 / 1000000)</f>
        <v>6.7262765362743115</v>
      </c>
      <c r="Q80" s="58">
        <f xml:space="preserve"> (I80 *Drivers!$L78 * 1000 / 1000000)</f>
        <v>7.0252031719093653</v>
      </c>
      <c r="R80" s="58">
        <f xml:space="preserve"> (J80 *Drivers!$L78 * 1000 / 1000000)</f>
        <v>6.4354139686497707</v>
      </c>
      <c r="S80" s="33"/>
      <c r="T80" s="58">
        <f t="shared" si="17"/>
        <v>5.5701018270058764</v>
      </c>
      <c r="U80" s="58">
        <f t="shared" si="23"/>
        <v>1.3515665198638502</v>
      </c>
      <c r="V80" s="48">
        <f t="shared" si="24"/>
        <v>6.7289645589444813</v>
      </c>
      <c r="W80" s="33"/>
      <c r="X80" s="48">
        <f t="shared" si="18"/>
        <v>6.9216683468697262</v>
      </c>
      <c r="Y80" s="48">
        <f t="shared" si="19"/>
        <v>6.7289645589444813</v>
      </c>
      <c r="Z80" s="48">
        <f t="shared" si="20"/>
        <v>6.7771405059257921</v>
      </c>
      <c r="AA80" s="33"/>
      <c r="AB80" s="48">
        <f>Controls!$F$17*Z80</f>
        <v>5.7314489075732427</v>
      </c>
      <c r="AC80" s="48">
        <f>-(INDEX(Controls!$G$20:$G$24,MATCH($C80,Controls!$C$20:$C$24,0),0))*$Z80</f>
        <v>0</v>
      </c>
      <c r="AD80" s="59">
        <f t="shared" si="25"/>
        <v>5.7314489075732427</v>
      </c>
      <c r="AE80" s="33"/>
      <c r="AG80" s="73"/>
    </row>
    <row r="81" spans="1:33" x14ac:dyDescent="0.3">
      <c r="A81" s="12" t="s">
        <v>130</v>
      </c>
      <c r="B81" s="12" t="str">
        <f t="shared" si="22"/>
        <v>SES</v>
      </c>
      <c r="C81" s="12">
        <v>2025</v>
      </c>
      <c r="D81" s="99">
        <f>EXP(Coeffs!$D$13+(Coeffs!$D$6*Drivers!F79)+(Coeffs!$D$7*Drivers!G79))</f>
        <v>20.214937657029424</v>
      </c>
      <c r="E81" s="58">
        <f>EXP(Coeffs!$E$13+(Coeffs!$E$6*Drivers!F79)+(Coeffs!$E$7*Drivers!G79)+(Coeffs!$E$8*Drivers!D79))</f>
        <v>20.504162367803961</v>
      </c>
      <c r="F81" s="58">
        <f>EXP(Coeffs!$F$13+(Coeffs!$F$9*Drivers!E79)+(Coeffs!$F$10*Drivers!H79))</f>
        <v>4.6633130044088515</v>
      </c>
      <c r="G81" s="58">
        <f>EXP(Coeffs!$G$13+(Coeffs!$G$9*Drivers!E79)+(Coeffs!$G$11*Drivers!I79)+(Coeffs!$G$12*Drivers!J79))</f>
        <v>4.7665861844037236</v>
      </c>
      <c r="H81" s="58">
        <f>EXP(Coeffs!$H$13+(Coeffs!$H$7*Drivers!G79)+(Coeffs!$H$9*Drivers!E79)+(Coeffs!$H$10*Drivers!H79))</f>
        <v>24.079204229242475</v>
      </c>
      <c r="I81" s="58">
        <f>EXP(Coeffs!$I$13+(Coeffs!$I$7*Drivers!G79)+(Coeffs!$I$8*Drivers!D79)+(Coeffs!$I$9*Drivers!E79)+(Coeffs!$I$10*Drivers!H79))</f>
        <v>25.219909204024042</v>
      </c>
      <c r="J81" s="58">
        <f>EXP(Coeffs!$J$13+(Coeffs!$J$7*Drivers!G79)+(Coeffs!$J$8*Drivers!D79)+(Coeffs!$J$9*Drivers!E79)+(Coeffs!$J$11*Drivers!I79)+(Coeffs!$J$12*Drivers!J79))</f>
        <v>22.75552347697225</v>
      </c>
      <c r="K81" s="33"/>
      <c r="L81" s="58">
        <f xml:space="preserve"> (D81 *Drivers!$L79 * 1000 / 1000000)</f>
        <v>5.7988974461707752</v>
      </c>
      <c r="M81" s="58">
        <f xml:space="preserve"> (E81 *Drivers!$L79 * 1000 / 1000000)</f>
        <v>5.8818650251529796</v>
      </c>
      <c r="N81" s="58">
        <f xml:space="preserve"> (F81 *Drivers!$L79 * 1000 / 1000000)</f>
        <v>1.337727295070732</v>
      </c>
      <c r="O81" s="58">
        <f xml:space="preserve"> (G81 *Drivers!$L79 * 1000 / 1000000)</f>
        <v>1.3673524460304212</v>
      </c>
      <c r="P81" s="58">
        <f xml:space="preserve"> (H81 *Drivers!$L79 * 1000 / 1000000)</f>
        <v>6.9074086836089554</v>
      </c>
      <c r="Q81" s="58">
        <f xml:space="preserve"> (I81 *Drivers!$L79 * 1000 / 1000000)</f>
        <v>7.2346335940847446</v>
      </c>
      <c r="R81" s="58">
        <f xml:space="preserve"> (J81 *Drivers!$L79 * 1000 / 1000000)</f>
        <v>6.5276949756512135</v>
      </c>
      <c r="S81" s="33"/>
      <c r="T81" s="58">
        <f t="shared" si="17"/>
        <v>5.8403812356618774</v>
      </c>
      <c r="U81" s="58">
        <f t="shared" si="23"/>
        <v>1.3525398705505767</v>
      </c>
      <c r="V81" s="48">
        <f t="shared" si="24"/>
        <v>6.8899124177816375</v>
      </c>
      <c r="W81" s="33"/>
      <c r="X81" s="48">
        <f t="shared" si="18"/>
        <v>7.1929211062124541</v>
      </c>
      <c r="Y81" s="48">
        <f t="shared" si="19"/>
        <v>6.8899124177816375</v>
      </c>
      <c r="Z81" s="48">
        <f t="shared" si="20"/>
        <v>6.9656645898893412</v>
      </c>
      <c r="AA81" s="33"/>
      <c r="AB81" s="48">
        <f>Controls!$F$17*Z81</f>
        <v>5.8908843146065406</v>
      </c>
      <c r="AC81" s="48">
        <f>-(INDEX(Controls!$G$20:$G$24,MATCH($C81,Controls!$C$20:$C$24,0),0))*$Z81</f>
        <v>0</v>
      </c>
      <c r="AD81" s="59">
        <f t="shared" si="25"/>
        <v>5.8908843146065406</v>
      </c>
      <c r="AE81" s="33"/>
      <c r="AG81" s="73"/>
    </row>
    <row r="82" spans="1:33" x14ac:dyDescent="0.3">
      <c r="A82" s="12" t="s">
        <v>131</v>
      </c>
      <c r="B82" s="12" t="str">
        <f t="shared" si="22"/>
        <v>SEW</v>
      </c>
      <c r="C82" s="12">
        <v>2021</v>
      </c>
      <c r="D82" s="99">
        <f>EXP(Coeffs!$D$13+(Coeffs!$D$6*Drivers!F80)+(Coeffs!$D$7*Drivers!G80))</f>
        <v>20.043107372083849</v>
      </c>
      <c r="E82" s="58">
        <f>EXP(Coeffs!$E$13+(Coeffs!$E$6*Drivers!F80)+(Coeffs!$E$7*Drivers!G80)+(Coeffs!$E$8*Drivers!D80))</f>
        <v>19.468242449148608</v>
      </c>
      <c r="F82" s="58">
        <f>EXP(Coeffs!$F$13+(Coeffs!$F$9*Drivers!E80)+(Coeffs!$F$10*Drivers!H80))</f>
        <v>4.7801619688810693</v>
      </c>
      <c r="G82" s="58">
        <f>EXP(Coeffs!$G$13+(Coeffs!$G$9*Drivers!E80)+(Coeffs!$G$11*Drivers!I80)+(Coeffs!$G$12*Drivers!J80))</f>
        <v>5.2007653890333438</v>
      </c>
      <c r="H82" s="58">
        <f>EXP(Coeffs!$H$13+(Coeffs!$H$7*Drivers!G80)+(Coeffs!$H$9*Drivers!E80)+(Coeffs!$H$10*Drivers!H80))</f>
        <v>24.294055693651352</v>
      </c>
      <c r="I82" s="58">
        <f>EXP(Coeffs!$I$13+(Coeffs!$I$7*Drivers!G80)+(Coeffs!$I$8*Drivers!D80)+(Coeffs!$I$9*Drivers!E80)+(Coeffs!$I$10*Drivers!H80))</f>
        <v>23.711536459285576</v>
      </c>
      <c r="J82" s="58">
        <f>EXP(Coeffs!$J$13+(Coeffs!$J$7*Drivers!G80)+(Coeffs!$J$8*Drivers!D80)+(Coeffs!$J$9*Drivers!E80)+(Coeffs!$J$11*Drivers!I80)+(Coeffs!$J$12*Drivers!J80))</f>
        <v>20.286300273376945</v>
      </c>
      <c r="K82" s="33"/>
      <c r="L82" s="58">
        <f xml:space="preserve"> (D82 *Drivers!$L80 * 1000 / 1000000)</f>
        <v>17.618973707859791</v>
      </c>
      <c r="M82" s="58">
        <f xml:space="preserve"> (E82 *Drivers!$L80 * 1000 / 1000000)</f>
        <v>17.113636397893881</v>
      </c>
      <c r="N82" s="58">
        <f xml:space="preserve"> (F82 *Drivers!$L80 * 1000 / 1000000)</f>
        <v>4.2020204993927797</v>
      </c>
      <c r="O82" s="58">
        <f xml:space="preserve"> (G82 *Drivers!$L80 * 1000 / 1000000)</f>
        <v>4.5717536182913179</v>
      </c>
      <c r="P82" s="58">
        <f xml:space="preserve"> (H82 *Drivers!$L80 * 1000 / 1000000)</f>
        <v>21.355786833726995</v>
      </c>
      <c r="Q82" s="58">
        <f xml:space="preserve"> (I82 *Drivers!$L80 * 1000 / 1000000)</f>
        <v>20.84372097068082</v>
      </c>
      <c r="R82" s="58">
        <f xml:space="preserve"> (J82 *Drivers!$L80 * 1000 / 1000000)</f>
        <v>17.832753400513095</v>
      </c>
      <c r="S82" s="33"/>
      <c r="T82" s="58">
        <f t="shared" si="17"/>
        <v>17.366305052876836</v>
      </c>
      <c r="U82" s="58">
        <f t="shared" si="23"/>
        <v>4.3868870588420492</v>
      </c>
      <c r="V82" s="48">
        <f t="shared" si="24"/>
        <v>20.010753734973633</v>
      </c>
      <c r="W82" s="33"/>
      <c r="X82" s="48">
        <f t="shared" si="18"/>
        <v>21.753192111718885</v>
      </c>
      <c r="Y82" s="48">
        <f t="shared" si="19"/>
        <v>20.010753734973633</v>
      </c>
      <c r="Z82" s="48">
        <f t="shared" si="20"/>
        <v>20.446363329159947</v>
      </c>
      <c r="AA82" s="33"/>
      <c r="AB82" s="48">
        <f>Controls!$F$17*Z82</f>
        <v>17.291553371852515</v>
      </c>
      <c r="AC82" s="48">
        <f>-(INDEX(Controls!$G$20:$G$24,MATCH($C82,Controls!$C$20:$C$24,0),0))*$Z82</f>
        <v>0</v>
      </c>
      <c r="AD82" s="59">
        <f t="shared" si="25"/>
        <v>17.291553371852515</v>
      </c>
      <c r="AE82" s="33"/>
      <c r="AG82" s="73"/>
    </row>
    <row r="83" spans="1:33" x14ac:dyDescent="0.3">
      <c r="A83" s="12" t="s">
        <v>132</v>
      </c>
      <c r="B83" s="12" t="str">
        <f t="shared" si="22"/>
        <v>SEW</v>
      </c>
      <c r="C83" s="12">
        <v>2022</v>
      </c>
      <c r="D83" s="99">
        <f>EXP(Coeffs!$D$13+(Coeffs!$D$6*Drivers!F81)+(Coeffs!$D$7*Drivers!G81))</f>
        <v>20.066182392723672</v>
      </c>
      <c r="E83" s="58">
        <f>EXP(Coeffs!$E$13+(Coeffs!$E$6*Drivers!F81)+(Coeffs!$E$7*Drivers!G81)+(Coeffs!$E$8*Drivers!D81))</f>
        <v>19.483034510345529</v>
      </c>
      <c r="F83" s="58">
        <f>EXP(Coeffs!$F$13+(Coeffs!$F$9*Drivers!E81)+(Coeffs!$F$10*Drivers!H81))</f>
        <v>4.7801619688810613</v>
      </c>
      <c r="G83" s="58">
        <f>EXP(Coeffs!$G$13+(Coeffs!$G$9*Drivers!E81)+(Coeffs!$G$11*Drivers!I81)+(Coeffs!$G$12*Drivers!J81))</f>
        <v>5.2007653890333305</v>
      </c>
      <c r="H83" s="58">
        <f>EXP(Coeffs!$H$13+(Coeffs!$H$7*Drivers!G81)+(Coeffs!$H$9*Drivers!E81)+(Coeffs!$H$10*Drivers!H81))</f>
        <v>24.309039965475815</v>
      </c>
      <c r="I83" s="58">
        <f>EXP(Coeffs!$I$13+(Coeffs!$I$7*Drivers!G81)+(Coeffs!$I$8*Drivers!D81)+(Coeffs!$I$9*Drivers!E81)+(Coeffs!$I$10*Drivers!H81))</f>
        <v>23.715228403826355</v>
      </c>
      <c r="J83" s="58">
        <f>EXP(Coeffs!$J$13+(Coeffs!$J$7*Drivers!G81)+(Coeffs!$J$8*Drivers!D81)+(Coeffs!$J$9*Drivers!E81)+(Coeffs!$J$11*Drivers!I81)+(Coeffs!$J$12*Drivers!J81))</f>
        <v>20.26969137296927</v>
      </c>
      <c r="K83" s="33"/>
      <c r="L83" s="58">
        <f xml:space="preserve"> (D83 *Drivers!$L81 * 1000 / 1000000)</f>
        <v>17.811566205259638</v>
      </c>
      <c r="M83" s="58">
        <f xml:space="preserve"> (E83 *Drivers!$L81 * 1000 / 1000000)</f>
        <v>17.293940235797617</v>
      </c>
      <c r="N83" s="58">
        <f xml:space="preserve"> (F83 *Drivers!$L81 * 1000 / 1000000)</f>
        <v>4.2430677502195548</v>
      </c>
      <c r="O83" s="58">
        <f xml:space="preserve"> (G83 *Drivers!$L81 * 1000 / 1000000)</f>
        <v>4.6164125906869353</v>
      </c>
      <c r="P83" s="58">
        <f xml:space="preserve"> (H83 *Drivers!$L81 * 1000 / 1000000)</f>
        <v>21.577700543994922</v>
      </c>
      <c r="Q83" s="58">
        <f xml:space="preserve"> (I83 *Drivers!$L81 * 1000 / 1000000)</f>
        <v>21.05060905560083</v>
      </c>
      <c r="R83" s="58">
        <f xml:space="preserve"> (J83 *Drivers!$L81 * 1000 / 1000000)</f>
        <v>17.992209119993817</v>
      </c>
      <c r="S83" s="33"/>
      <c r="T83" s="58">
        <f t="shared" si="17"/>
        <v>17.552753220528629</v>
      </c>
      <c r="U83" s="58">
        <f t="shared" si="23"/>
        <v>4.4297401704532451</v>
      </c>
      <c r="V83" s="48">
        <f t="shared" si="24"/>
        <v>20.206839573196522</v>
      </c>
      <c r="W83" s="33"/>
      <c r="X83" s="48">
        <f t="shared" si="18"/>
        <v>21.982493390981872</v>
      </c>
      <c r="Y83" s="48">
        <f t="shared" si="19"/>
        <v>20.206839573196522</v>
      </c>
      <c r="Z83" s="48">
        <f t="shared" si="20"/>
        <v>20.65075302764286</v>
      </c>
      <c r="AA83" s="33"/>
      <c r="AB83" s="48">
        <f>Controls!$F$17*Z83</f>
        <v>17.464406378672251</v>
      </c>
      <c r="AC83" s="48">
        <f>-(INDEX(Controls!$G$20:$G$24,MATCH($C83,Controls!$C$20:$C$24,0),0))*$Z83</f>
        <v>0</v>
      </c>
      <c r="AD83" s="59">
        <f t="shared" si="25"/>
        <v>17.464406378672251</v>
      </c>
      <c r="AE83" s="33"/>
      <c r="AG83" s="73"/>
    </row>
    <row r="84" spans="1:33" x14ac:dyDescent="0.3">
      <c r="A84" s="12" t="s">
        <v>133</v>
      </c>
      <c r="B84" s="12" t="str">
        <f t="shared" si="22"/>
        <v>SEW</v>
      </c>
      <c r="C84" s="12">
        <v>2023</v>
      </c>
      <c r="D84" s="99">
        <f>EXP(Coeffs!$D$13+(Coeffs!$D$6*Drivers!F82)+(Coeffs!$D$7*Drivers!G82))</f>
        <v>20.087583070987655</v>
      </c>
      <c r="E84" s="58">
        <f>EXP(Coeffs!$E$13+(Coeffs!$E$6*Drivers!F82)+(Coeffs!$E$7*Drivers!G82)+(Coeffs!$E$8*Drivers!D82))</f>
        <v>19.496169364238547</v>
      </c>
      <c r="F84" s="58">
        <f>EXP(Coeffs!$F$13+(Coeffs!$F$9*Drivers!E82)+(Coeffs!$F$10*Drivers!H82))</f>
        <v>4.7801619688810737</v>
      </c>
      <c r="G84" s="58">
        <f>EXP(Coeffs!$G$13+(Coeffs!$G$9*Drivers!E82)+(Coeffs!$G$11*Drivers!I82)+(Coeffs!$G$12*Drivers!J82))</f>
        <v>5.2007653890333483</v>
      </c>
      <c r="H84" s="58">
        <f>EXP(Coeffs!$H$13+(Coeffs!$H$7*Drivers!G82)+(Coeffs!$H$9*Drivers!E82)+(Coeffs!$H$10*Drivers!H82))</f>
        <v>24.322929820109859</v>
      </c>
      <c r="I84" s="58">
        <f>EXP(Coeffs!$I$13+(Coeffs!$I$7*Drivers!G82)+(Coeffs!$I$8*Drivers!D82)+(Coeffs!$I$9*Drivers!E82)+(Coeffs!$I$10*Drivers!H82))</f>
        <v>23.717575017037316</v>
      </c>
      <c r="J84" s="58">
        <f>EXP(Coeffs!$J$13+(Coeffs!$J$7*Drivers!G82)+(Coeffs!$J$8*Drivers!D82)+(Coeffs!$J$9*Drivers!E82)+(Coeffs!$J$11*Drivers!I82)+(Coeffs!$J$12*Drivers!J82))</f>
        <v>20.252512211119484</v>
      </c>
      <c r="K84" s="33"/>
      <c r="L84" s="58">
        <f xml:space="preserve"> (D84 *Drivers!$L82 * 1000 / 1000000)</f>
        <v>18.005645698761281</v>
      </c>
      <c r="M84" s="58">
        <f xml:space="preserve"> (E84 *Drivers!$L82 * 1000 / 1000000)</f>
        <v>17.475527882820771</v>
      </c>
      <c r="N84" s="58">
        <f xml:space="preserve"> (F84 *Drivers!$L82 * 1000 / 1000000)</f>
        <v>4.2847316419403318</v>
      </c>
      <c r="O84" s="58">
        <f xml:space="preserve"> (G84 *Drivers!$L82 * 1000 / 1000000)</f>
        <v>4.6617424618177647</v>
      </c>
      <c r="P84" s="58">
        <f xml:space="preserve"> (H84 *Drivers!$L82 * 1000 / 1000000)</f>
        <v>21.802028404764211</v>
      </c>
      <c r="Q84" s="58">
        <f xml:space="preserve"> (I84 *Drivers!$L82 * 1000 / 1000000)</f>
        <v>21.259414389546517</v>
      </c>
      <c r="R84" s="58">
        <f xml:space="preserve"> (J84 *Drivers!$L82 * 1000 / 1000000)</f>
        <v>18.153481088022424</v>
      </c>
      <c r="S84" s="33"/>
      <c r="T84" s="58">
        <f t="shared" si="17"/>
        <v>17.740586790791028</v>
      </c>
      <c r="U84" s="58">
        <f t="shared" si="23"/>
        <v>4.4732370518790479</v>
      </c>
      <c r="V84" s="48">
        <f t="shared" si="24"/>
        <v>20.404974627444382</v>
      </c>
      <c r="W84" s="33"/>
      <c r="X84" s="48">
        <f t="shared" si="18"/>
        <v>22.213823842670074</v>
      </c>
      <c r="Y84" s="48">
        <f t="shared" si="19"/>
        <v>20.404974627444382</v>
      </c>
      <c r="Z84" s="48">
        <f t="shared" si="20"/>
        <v>20.857186931250805</v>
      </c>
      <c r="AA84" s="33"/>
      <c r="AB84" s="48">
        <f>Controls!$F$17*Z84</f>
        <v>17.638988176155323</v>
      </c>
      <c r="AC84" s="48">
        <f>-(INDEX(Controls!$G$20:$G$24,MATCH($C84,Controls!$C$20:$C$24,0),0))*$Z84</f>
        <v>0</v>
      </c>
      <c r="AD84" s="59">
        <f t="shared" si="25"/>
        <v>17.638988176155323</v>
      </c>
      <c r="AE84" s="33"/>
      <c r="AG84" s="73"/>
    </row>
    <row r="85" spans="1:33" x14ac:dyDescent="0.3">
      <c r="A85" s="12" t="s">
        <v>134</v>
      </c>
      <c r="B85" s="12" t="str">
        <f t="shared" si="22"/>
        <v>SEW</v>
      </c>
      <c r="C85" s="12">
        <v>2024</v>
      </c>
      <c r="D85" s="99">
        <f>EXP(Coeffs!$D$13+(Coeffs!$D$6*Drivers!F83)+(Coeffs!$D$7*Drivers!G83))</f>
        <v>20.107359233217203</v>
      </c>
      <c r="E85" s="58">
        <f>EXP(Coeffs!$E$13+(Coeffs!$E$6*Drivers!F83)+(Coeffs!$E$7*Drivers!G83)+(Coeffs!$E$8*Drivers!D83))</f>
        <v>19.507698367107583</v>
      </c>
      <c r="F85" s="58">
        <f>EXP(Coeffs!$F$13+(Coeffs!$F$9*Drivers!E83)+(Coeffs!$F$10*Drivers!H83))</f>
        <v>4.7801619688810444</v>
      </c>
      <c r="G85" s="58">
        <f>EXP(Coeffs!$G$13+(Coeffs!$G$9*Drivers!E83)+(Coeffs!$G$11*Drivers!I83)+(Coeffs!$G$12*Drivers!J83))</f>
        <v>5.2007653890333163</v>
      </c>
      <c r="H85" s="58">
        <f>EXP(Coeffs!$H$13+(Coeffs!$H$7*Drivers!G83)+(Coeffs!$H$9*Drivers!E83)+(Coeffs!$H$10*Drivers!H83))</f>
        <v>24.335759197661421</v>
      </c>
      <c r="I85" s="58">
        <f>EXP(Coeffs!$I$13+(Coeffs!$I$7*Drivers!G83)+(Coeffs!$I$8*Drivers!D83)+(Coeffs!$I$9*Drivers!E83)+(Coeffs!$I$10*Drivers!H83))</f>
        <v>23.718620606609971</v>
      </c>
      <c r="J85" s="58">
        <f>EXP(Coeffs!$J$13+(Coeffs!$J$7*Drivers!G83)+(Coeffs!$J$8*Drivers!D83)+(Coeffs!$J$9*Drivers!E83)+(Coeffs!$J$11*Drivers!I83)+(Coeffs!$J$12*Drivers!J83))</f>
        <v>20.234784930865327</v>
      </c>
      <c r="K85" s="33"/>
      <c r="L85" s="58">
        <f xml:space="preserve"> (D85 *Drivers!$L83 * 1000 / 1000000)</f>
        <v>18.201221792626679</v>
      </c>
      <c r="M85" s="58">
        <f xml:space="preserve"> (E85 *Drivers!$L83 * 1000 / 1000000)</f>
        <v>17.658407577302519</v>
      </c>
      <c r="N85" s="58">
        <f xml:space="preserve"> (F85 *Drivers!$L83 * 1000 / 1000000)</f>
        <v>4.3270121745550592</v>
      </c>
      <c r="O85" s="58">
        <f xml:space="preserve"> (G85 *Drivers!$L83 * 1000 / 1000000)</f>
        <v>4.707743231683736</v>
      </c>
      <c r="P85" s="58">
        <f xml:space="preserve"> (H85 *Drivers!$L83 * 1000 / 1000000)</f>
        <v>22.028777897241515</v>
      </c>
      <c r="Q85" s="58">
        <f xml:space="preserve"> (I85 *Drivers!$L83 * 1000 / 1000000)</f>
        <v>21.470142810344559</v>
      </c>
      <c r="R85" s="58">
        <f xml:space="preserve"> (J85 *Drivers!$L83 * 1000 / 1000000)</f>
        <v>18.316567788989158</v>
      </c>
      <c r="S85" s="33"/>
      <c r="T85" s="58">
        <f t="shared" si="17"/>
        <v>17.929814684964597</v>
      </c>
      <c r="U85" s="58">
        <f t="shared" si="23"/>
        <v>4.5173777031193971</v>
      </c>
      <c r="V85" s="48">
        <f t="shared" si="24"/>
        <v>20.605162832191745</v>
      </c>
      <c r="W85" s="33"/>
      <c r="X85" s="48">
        <f t="shared" si="18"/>
        <v>22.447192388083995</v>
      </c>
      <c r="Y85" s="48">
        <f t="shared" si="19"/>
        <v>20.605162832191745</v>
      </c>
      <c r="Z85" s="48">
        <f t="shared" si="20"/>
        <v>21.065670221164808</v>
      </c>
      <c r="AA85" s="33"/>
      <c r="AB85" s="48">
        <f>Controls!$F$17*Z85</f>
        <v>17.815303146042705</v>
      </c>
      <c r="AC85" s="48">
        <f>-(INDEX(Controls!$G$20:$G$24,MATCH($C85,Controls!$C$20:$C$24,0),0))*$Z85</f>
        <v>0</v>
      </c>
      <c r="AD85" s="59">
        <f t="shared" si="25"/>
        <v>17.815303146042705</v>
      </c>
      <c r="AE85" s="33"/>
      <c r="AG85" s="73"/>
    </row>
    <row r="86" spans="1:33" x14ac:dyDescent="0.3">
      <c r="A86" s="12" t="s">
        <v>135</v>
      </c>
      <c r="B86" s="12" t="str">
        <f t="shared" si="22"/>
        <v>SEW</v>
      </c>
      <c r="C86" s="12">
        <v>2025</v>
      </c>
      <c r="D86" s="99">
        <f>EXP(Coeffs!$D$13+(Coeffs!$D$6*Drivers!F84)+(Coeffs!$D$7*Drivers!G84))</f>
        <v>20.125526386724758</v>
      </c>
      <c r="E86" s="58">
        <f>EXP(Coeffs!$E$13+(Coeffs!$E$6*Drivers!F84)+(Coeffs!$E$7*Drivers!G84)+(Coeffs!$E$8*Drivers!D84))</f>
        <v>19.517634943215398</v>
      </c>
      <c r="F86" s="58">
        <f>EXP(Coeffs!$F$13+(Coeffs!$F$9*Drivers!E84)+(Coeffs!$F$10*Drivers!H84))</f>
        <v>4.7737889701045439</v>
      </c>
      <c r="G86" s="58">
        <f>EXP(Coeffs!$G$13+(Coeffs!$G$9*Drivers!E84)+(Coeffs!$G$11*Drivers!I84)+(Coeffs!$G$12*Drivers!J84))</f>
        <v>5.1940160984627441</v>
      </c>
      <c r="H86" s="58">
        <f>EXP(Coeffs!$H$13+(Coeffs!$H$7*Drivers!G84)+(Coeffs!$H$9*Drivers!E84)+(Coeffs!$H$10*Drivers!H84))</f>
        <v>24.335036630091931</v>
      </c>
      <c r="I86" s="58">
        <f>EXP(Coeffs!$I$13+(Coeffs!$I$7*Drivers!G84)+(Coeffs!$I$8*Drivers!D84)+(Coeffs!$I$9*Drivers!E84)+(Coeffs!$I$10*Drivers!H84))</f>
        <v>23.704383385080966</v>
      </c>
      <c r="J86" s="58">
        <f>EXP(Coeffs!$J$13+(Coeffs!$J$7*Drivers!G84)+(Coeffs!$J$8*Drivers!D84)+(Coeffs!$J$9*Drivers!E84)+(Coeffs!$J$11*Drivers!I84)+(Coeffs!$J$12*Drivers!J84))</f>
        <v>20.202834403965003</v>
      </c>
      <c r="K86" s="33"/>
      <c r="L86" s="58">
        <f xml:space="preserve"> (D86 *Drivers!$L84 * 1000 / 1000000)</f>
        <v>18.398393963268813</v>
      </c>
      <c r="M86" s="58">
        <f xml:space="preserve"> (E86 *Drivers!$L84 * 1000 / 1000000)</f>
        <v>17.842670547658539</v>
      </c>
      <c r="N86" s="58">
        <f xml:space="preserve"> (F86 *Drivers!$L84 * 1000 / 1000000)</f>
        <v>4.3641119482681123</v>
      </c>
      <c r="O86" s="58">
        <f xml:space="preserve"> (G86 *Drivers!$L84 * 1000 / 1000000)</f>
        <v>4.748276024924869</v>
      </c>
      <c r="P86" s="58">
        <f xml:space="preserve"> (H86 *Drivers!$L84 * 1000 / 1000000)</f>
        <v>22.2466524565707</v>
      </c>
      <c r="Q86" s="58">
        <f xml:space="preserve"> (I86 *Drivers!$L84 * 1000 / 1000000)</f>
        <v>21.670120611740085</v>
      </c>
      <c r="R86" s="58">
        <f xml:space="preserve"> (J86 *Drivers!$L84 * 1000 / 1000000)</f>
        <v>18.469067561085538</v>
      </c>
      <c r="S86" s="33"/>
      <c r="T86" s="58">
        <f t="shared" si="17"/>
        <v>18.120532255463676</v>
      </c>
      <c r="U86" s="58">
        <f t="shared" si="23"/>
        <v>4.5561939865964902</v>
      </c>
      <c r="V86" s="48">
        <f t="shared" si="24"/>
        <v>20.795280209798772</v>
      </c>
      <c r="W86" s="33"/>
      <c r="X86" s="48">
        <f t="shared" si="18"/>
        <v>22.676726242060166</v>
      </c>
      <c r="Y86" s="48">
        <f t="shared" si="19"/>
        <v>20.795280209798772</v>
      </c>
      <c r="Z86" s="48">
        <f t="shared" si="20"/>
        <v>21.265641717864121</v>
      </c>
      <c r="AA86" s="33"/>
      <c r="AB86" s="48">
        <f>Controls!$F$17*Z86</f>
        <v>17.98441966580512</v>
      </c>
      <c r="AC86" s="48">
        <f>-(INDEX(Controls!$G$20:$G$24,MATCH($C86,Controls!$C$20:$C$24,0),0))*$Z86</f>
        <v>0</v>
      </c>
      <c r="AD86" s="59">
        <f t="shared" si="25"/>
        <v>17.98441966580512</v>
      </c>
      <c r="AE86" s="33"/>
      <c r="AG86" s="73"/>
    </row>
    <row r="87" spans="1:33" x14ac:dyDescent="0.3">
      <c r="A87" s="12" t="s">
        <v>136</v>
      </c>
      <c r="B87" s="12" t="str">
        <f t="shared" si="22"/>
        <v>SSC</v>
      </c>
      <c r="C87" s="12">
        <v>2021</v>
      </c>
      <c r="D87" s="99">
        <f>EXP(Coeffs!$D$13+(Coeffs!$D$6*Drivers!F85)+(Coeffs!$D$7*Drivers!G85))</f>
        <v>15.385592784937254</v>
      </c>
      <c r="E87" s="58">
        <f>EXP(Coeffs!$E$13+(Coeffs!$E$6*Drivers!F85)+(Coeffs!$E$7*Drivers!G85)+(Coeffs!$E$8*Drivers!D85))</f>
        <v>15.1281513052815</v>
      </c>
      <c r="F87" s="58">
        <f>EXP(Coeffs!$F$13+(Coeffs!$F$9*Drivers!E85)+(Coeffs!$F$10*Drivers!H85))</f>
        <v>4.7283722639507477</v>
      </c>
      <c r="G87" s="58">
        <f>EXP(Coeffs!$G$13+(Coeffs!$G$9*Drivers!E85)+(Coeffs!$G$11*Drivers!I85)+(Coeffs!$G$12*Drivers!J85))</f>
        <v>5.2577058978875568</v>
      </c>
      <c r="H87" s="58">
        <f>EXP(Coeffs!$H$13+(Coeffs!$H$7*Drivers!G85)+(Coeffs!$H$9*Drivers!E85)+(Coeffs!$H$10*Drivers!H85))</f>
        <v>20.690056900426352</v>
      </c>
      <c r="I87" s="58">
        <f>EXP(Coeffs!$I$13+(Coeffs!$I$7*Drivers!G85)+(Coeffs!$I$8*Drivers!D85)+(Coeffs!$I$9*Drivers!E85)+(Coeffs!$I$10*Drivers!H85))</f>
        <v>20.29665340235983</v>
      </c>
      <c r="J87" s="58">
        <f>EXP(Coeffs!$J$13+(Coeffs!$J$7*Drivers!G85)+(Coeffs!$J$8*Drivers!D85)+(Coeffs!$J$9*Drivers!E85)+(Coeffs!$J$11*Drivers!I85)+(Coeffs!$J$12*Drivers!J85))</f>
        <v>21.665143479570666</v>
      </c>
      <c r="K87" s="33"/>
      <c r="L87" s="58">
        <f xml:space="preserve"> (D87 *Drivers!$L85 * 1000 / 1000000)</f>
        <v>10.735511838343154</v>
      </c>
      <c r="M87" s="58">
        <f xml:space="preserve"> (E87 *Drivers!$L85 * 1000 / 1000000)</f>
        <v>10.55587845722113</v>
      </c>
      <c r="N87" s="58">
        <f xml:space="preserve"> (F87 *Drivers!$L85 * 1000 / 1000000)</f>
        <v>3.299287659909536</v>
      </c>
      <c r="O87" s="58">
        <f xml:space="preserve"> (G87 *Drivers!$L85 * 1000 / 1000000)</f>
        <v>3.6686375818134382</v>
      </c>
      <c r="P87" s="58">
        <f xml:space="preserve"> (H87 *Drivers!$L85 * 1000 / 1000000)</f>
        <v>14.436775618289994</v>
      </c>
      <c r="Q87" s="58">
        <f xml:space="preserve"> (I87 *Drivers!$L85 * 1000 / 1000000)</f>
        <v>14.162272843533499</v>
      </c>
      <c r="R87" s="58">
        <f xml:space="preserve"> (J87 *Drivers!$L85 * 1000 / 1000000)</f>
        <v>15.117155871435761</v>
      </c>
      <c r="S87" s="33"/>
      <c r="T87" s="58">
        <f t="shared" si="17"/>
        <v>10.645695147782142</v>
      </c>
      <c r="U87" s="58">
        <f t="shared" si="23"/>
        <v>3.4839626208614871</v>
      </c>
      <c r="V87" s="48">
        <f t="shared" si="24"/>
        <v>14.572068111086416</v>
      </c>
      <c r="W87" s="33"/>
      <c r="X87" s="48">
        <f t="shared" si="18"/>
        <v>14.129657768643629</v>
      </c>
      <c r="Y87" s="48">
        <f t="shared" si="19"/>
        <v>14.572068111086416</v>
      </c>
      <c r="Z87" s="48">
        <f t="shared" si="20"/>
        <v>14.46146552547572</v>
      </c>
      <c r="AA87" s="33"/>
      <c r="AB87" s="48">
        <f>Controls!$F$17*Z87</f>
        <v>12.230106593691374</v>
      </c>
      <c r="AC87" s="48">
        <f>-(INDEX(Controls!$G$20:$G$24,MATCH($C87,Controls!$C$20:$C$24,0),0))*$Z87</f>
        <v>0</v>
      </c>
      <c r="AD87" s="59">
        <f t="shared" si="25"/>
        <v>12.230106593691374</v>
      </c>
      <c r="AE87" s="33"/>
      <c r="AG87" s="73"/>
    </row>
    <row r="88" spans="1:33" x14ac:dyDescent="0.3">
      <c r="A88" s="12" t="s">
        <v>137</v>
      </c>
      <c r="B88" s="12" t="str">
        <f t="shared" si="22"/>
        <v>SSC</v>
      </c>
      <c r="C88" s="12">
        <v>2022</v>
      </c>
      <c r="D88" s="99">
        <f>EXP(Coeffs!$D$13+(Coeffs!$D$6*Drivers!F86)+(Coeffs!$D$7*Drivers!G86))</f>
        <v>15.593932939898284</v>
      </c>
      <c r="E88" s="58">
        <f>EXP(Coeffs!$E$13+(Coeffs!$E$6*Drivers!F86)+(Coeffs!$E$7*Drivers!G86)+(Coeffs!$E$8*Drivers!D86))</f>
        <v>15.323101153848524</v>
      </c>
      <c r="F88" s="58">
        <f>EXP(Coeffs!$F$13+(Coeffs!$F$9*Drivers!E86)+(Coeffs!$F$10*Drivers!H86))</f>
        <v>4.6170809815434506</v>
      </c>
      <c r="G88" s="58">
        <f>EXP(Coeffs!$G$13+(Coeffs!$G$9*Drivers!E86)+(Coeffs!$G$11*Drivers!I86)+(Coeffs!$G$12*Drivers!J86))</f>
        <v>5.1372120559964793</v>
      </c>
      <c r="H88" s="58">
        <f>EXP(Coeffs!$H$13+(Coeffs!$H$7*Drivers!G86)+(Coeffs!$H$9*Drivers!E86)+(Coeffs!$H$10*Drivers!H86))</f>
        <v>20.649491836435189</v>
      </c>
      <c r="I88" s="58">
        <f>EXP(Coeffs!$I$13+(Coeffs!$I$7*Drivers!G86)+(Coeffs!$I$8*Drivers!D86)+(Coeffs!$I$9*Drivers!E86)+(Coeffs!$I$10*Drivers!H86))</f>
        <v>20.241422008682559</v>
      </c>
      <c r="J88" s="58">
        <f>EXP(Coeffs!$J$13+(Coeffs!$J$7*Drivers!G86)+(Coeffs!$J$8*Drivers!D86)+(Coeffs!$J$9*Drivers!E86)+(Coeffs!$J$11*Drivers!I86)+(Coeffs!$J$12*Drivers!J86))</f>
        <v>21.452382704010585</v>
      </c>
      <c r="K88" s="33"/>
      <c r="L88" s="58">
        <f xml:space="preserve"> (D88 *Drivers!$L86 * 1000 / 1000000)</f>
        <v>11.016358703939147</v>
      </c>
      <c r="M88" s="58">
        <f xml:space="preserve"> (E88 *Drivers!$L86 * 1000 / 1000000)</f>
        <v>10.825029158336257</v>
      </c>
      <c r="N88" s="58">
        <f xml:space="preserve"> (F88 *Drivers!$L86 * 1000 / 1000000)</f>
        <v>3.2617441958904476</v>
      </c>
      <c r="O88" s="58">
        <f xml:space="preserve"> (G88 *Drivers!$L86 * 1000 / 1000000)</f>
        <v>3.6291916199190148</v>
      </c>
      <c r="P88" s="58">
        <f xml:space="preserve"> (H88 *Drivers!$L86 * 1000 / 1000000)</f>
        <v>14.58786631961218</v>
      </c>
      <c r="Q88" s="58">
        <f xml:space="preserve"> (I88 *Drivers!$L86 * 1000 / 1000000)</f>
        <v>14.299584741378913</v>
      </c>
      <c r="R88" s="58">
        <f xml:space="preserve"> (J88 *Drivers!$L86 * 1000 / 1000000)</f>
        <v>15.155069848793522</v>
      </c>
      <c r="S88" s="33"/>
      <c r="T88" s="58">
        <f t="shared" si="17"/>
        <v>10.920693931137702</v>
      </c>
      <c r="U88" s="58">
        <f t="shared" si="23"/>
        <v>3.4454679079047312</v>
      </c>
      <c r="V88" s="48">
        <f t="shared" si="24"/>
        <v>14.680840303261537</v>
      </c>
      <c r="W88" s="33"/>
      <c r="X88" s="48">
        <f t="shared" si="18"/>
        <v>14.366161839042434</v>
      </c>
      <c r="Y88" s="48">
        <f t="shared" si="19"/>
        <v>14.680840303261537</v>
      </c>
      <c r="Z88" s="48">
        <f t="shared" si="20"/>
        <v>14.602170687206762</v>
      </c>
      <c r="AA88" s="33"/>
      <c r="AB88" s="48">
        <f>Controls!$F$17*Z88</f>
        <v>12.349101388736299</v>
      </c>
      <c r="AC88" s="48">
        <f>-(INDEX(Controls!$G$20:$G$24,MATCH($C88,Controls!$C$20:$C$24,0),0))*$Z88</f>
        <v>0</v>
      </c>
      <c r="AD88" s="59">
        <f t="shared" si="25"/>
        <v>12.349101388736299</v>
      </c>
      <c r="AE88" s="33"/>
      <c r="AG88" s="73"/>
    </row>
    <row r="89" spans="1:33" x14ac:dyDescent="0.3">
      <c r="A89" s="12" t="s">
        <v>138</v>
      </c>
      <c r="B89" s="12" t="str">
        <f t="shared" si="22"/>
        <v>SSC</v>
      </c>
      <c r="C89" s="12">
        <v>2023</v>
      </c>
      <c r="D89" s="99">
        <f>EXP(Coeffs!$D$13+(Coeffs!$D$6*Drivers!F87)+(Coeffs!$D$7*Drivers!G87))</f>
        <v>15.796541279699102</v>
      </c>
      <c r="E89" s="58">
        <f>EXP(Coeffs!$E$13+(Coeffs!$E$6*Drivers!F87)+(Coeffs!$E$7*Drivers!G87)+(Coeffs!$E$8*Drivers!D87))</f>
        <v>15.512666964906648</v>
      </c>
      <c r="F89" s="58">
        <f>EXP(Coeffs!$F$13+(Coeffs!$F$9*Drivers!E87)+(Coeffs!$F$10*Drivers!H87))</f>
        <v>4.5100279372468659</v>
      </c>
      <c r="G89" s="58">
        <f>EXP(Coeffs!$G$13+(Coeffs!$G$9*Drivers!E87)+(Coeffs!$G$11*Drivers!I87)+(Coeffs!$G$12*Drivers!J87))</f>
        <v>5.0212339422814933</v>
      </c>
      <c r="H89" s="58">
        <f>EXP(Coeffs!$H$13+(Coeffs!$H$7*Drivers!G87)+(Coeffs!$H$9*Drivers!E87)+(Coeffs!$H$10*Drivers!H87))</f>
        <v>20.605876890112125</v>
      </c>
      <c r="I89" s="58">
        <f>EXP(Coeffs!$I$13+(Coeffs!$I$7*Drivers!G87)+(Coeffs!$I$8*Drivers!D87)+(Coeffs!$I$9*Drivers!E87)+(Coeffs!$I$10*Drivers!H87))</f>
        <v>20.183399242417597</v>
      </c>
      <c r="J89" s="58">
        <f>EXP(Coeffs!$J$13+(Coeffs!$J$7*Drivers!G87)+(Coeffs!$J$8*Drivers!D87)+(Coeffs!$J$9*Drivers!E87)+(Coeffs!$J$11*Drivers!I87)+(Coeffs!$J$12*Drivers!J87))</f>
        <v>21.244098338433911</v>
      </c>
      <c r="K89" s="33"/>
      <c r="L89" s="58">
        <f xml:space="preserve"> (D89 *Drivers!$L87 * 1000 / 1000000)</f>
        <v>11.290944284616618</v>
      </c>
      <c r="M89" s="58">
        <f xml:space="preserve"> (E89 *Drivers!$L87 * 1000 / 1000000)</f>
        <v>11.088038533578919</v>
      </c>
      <c r="N89" s="58">
        <f xml:space="preserve"> (F89 *Drivers!$L87 * 1000 / 1000000)</f>
        <v>3.2236470794376806</v>
      </c>
      <c r="O89" s="58">
        <f xml:space="preserve"> (G89 *Drivers!$L87 * 1000 / 1000000)</f>
        <v>3.5890434290946329</v>
      </c>
      <c r="P89" s="58">
        <f xml:space="preserve"> (H89 *Drivers!$L87 * 1000 / 1000000)</f>
        <v>14.728528465970426</v>
      </c>
      <c r="Q89" s="58">
        <f xml:space="preserve"> (I89 *Drivers!$L87 * 1000 / 1000000)</f>
        <v>14.426552767800018</v>
      </c>
      <c r="R89" s="58">
        <f xml:space="preserve"> (J89 *Drivers!$L87 * 1000 / 1000000)</f>
        <v>15.184712049873665</v>
      </c>
      <c r="S89" s="33"/>
      <c r="T89" s="58">
        <f t="shared" si="17"/>
        <v>11.189491409097769</v>
      </c>
      <c r="U89" s="58">
        <f t="shared" si="23"/>
        <v>3.4063452542661565</v>
      </c>
      <c r="V89" s="48">
        <f t="shared" si="24"/>
        <v>14.779931094548036</v>
      </c>
      <c r="W89" s="33"/>
      <c r="X89" s="48">
        <f t="shared" si="18"/>
        <v>14.595836663363926</v>
      </c>
      <c r="Y89" s="48">
        <f t="shared" si="19"/>
        <v>14.779931094548036</v>
      </c>
      <c r="Z89" s="48">
        <f t="shared" si="20"/>
        <v>14.73390748675201</v>
      </c>
      <c r="AA89" s="33"/>
      <c r="AB89" s="48">
        <f>Controls!$F$17*Z89</f>
        <v>12.4605116118504</v>
      </c>
      <c r="AC89" s="48">
        <f>-(INDEX(Controls!$G$20:$G$24,MATCH($C89,Controls!$C$20:$C$24,0),0))*$Z89</f>
        <v>0</v>
      </c>
      <c r="AD89" s="59">
        <f t="shared" si="25"/>
        <v>12.4605116118504</v>
      </c>
      <c r="AE89" s="33"/>
      <c r="AG89" s="73"/>
    </row>
    <row r="90" spans="1:33" x14ac:dyDescent="0.3">
      <c r="A90" s="12" t="s">
        <v>139</v>
      </c>
      <c r="B90" s="12" t="str">
        <f t="shared" si="22"/>
        <v>SSC</v>
      </c>
      <c r="C90" s="12">
        <v>2024</v>
      </c>
      <c r="D90" s="99">
        <f>EXP(Coeffs!$D$13+(Coeffs!$D$6*Drivers!F88)+(Coeffs!$D$7*Drivers!G88))</f>
        <v>15.999798534126359</v>
      </c>
      <c r="E90" s="58">
        <f>EXP(Coeffs!$E$13+(Coeffs!$E$6*Drivers!F88)+(Coeffs!$E$7*Drivers!G88)+(Coeffs!$E$8*Drivers!D88))</f>
        <v>15.702311796214849</v>
      </c>
      <c r="F90" s="58">
        <f>EXP(Coeffs!$F$13+(Coeffs!$F$9*Drivers!E88)+(Coeffs!$F$10*Drivers!H88))</f>
        <v>4.4048709584179546</v>
      </c>
      <c r="G90" s="58">
        <f>EXP(Coeffs!$G$13+(Coeffs!$G$9*Drivers!E88)+(Coeffs!$G$11*Drivers!I88)+(Coeffs!$G$12*Drivers!J88))</f>
        <v>4.9072386004610857</v>
      </c>
      <c r="H90" s="58">
        <f>EXP(Coeffs!$H$13+(Coeffs!$H$7*Drivers!G88)+(Coeffs!$H$9*Drivers!E88)+(Coeffs!$H$10*Drivers!H88))</f>
        <v>20.559934906912154</v>
      </c>
      <c r="I90" s="58">
        <f>EXP(Coeffs!$I$13+(Coeffs!$I$7*Drivers!G88)+(Coeffs!$I$8*Drivers!D88)+(Coeffs!$I$9*Drivers!E88)+(Coeffs!$I$10*Drivers!H88))</f>
        <v>20.122102711102141</v>
      </c>
      <c r="J90" s="58">
        <f>EXP(Coeffs!$J$13+(Coeffs!$J$7*Drivers!G88)+(Coeffs!$J$8*Drivers!D88)+(Coeffs!$J$9*Drivers!E88)+(Coeffs!$J$11*Drivers!I88)+(Coeffs!$J$12*Drivers!J88))</f>
        <v>21.034327985907321</v>
      </c>
      <c r="K90" s="33"/>
      <c r="L90" s="58">
        <f xml:space="preserve"> (D90 *Drivers!$L88 * 1000 / 1000000)</f>
        <v>11.577471596724715</v>
      </c>
      <c r="M90" s="58">
        <f xml:space="preserve"> (E90 *Drivers!$L88 * 1000 / 1000000)</f>
        <v>11.362209870070675</v>
      </c>
      <c r="N90" s="58">
        <f xml:space="preserve"> (F90 *Drivers!$L88 * 1000 / 1000000)</f>
        <v>3.1873694096552607</v>
      </c>
      <c r="O90" s="58">
        <f xml:space="preserve"> (G90 *Drivers!$L88 * 1000 / 1000000)</f>
        <v>3.5508831810607271</v>
      </c>
      <c r="P90" s="58">
        <f xml:space="preserve"> (H90 *Drivers!$L88 * 1000 / 1000000)</f>
        <v>14.877191228850792</v>
      </c>
      <c r="Q90" s="58">
        <f xml:space="preserve"> (I90 *Drivers!$L88 * 1000 / 1000000)</f>
        <v>14.560375376431761</v>
      </c>
      <c r="R90" s="58">
        <f xml:space="preserve"> (J90 *Drivers!$L88 * 1000 / 1000000)</f>
        <v>15.220462576051494</v>
      </c>
      <c r="S90" s="33"/>
      <c r="T90" s="58">
        <f t="shared" si="17"/>
        <v>11.469840733397696</v>
      </c>
      <c r="U90" s="58">
        <f t="shared" si="23"/>
        <v>3.3691262953579937</v>
      </c>
      <c r="V90" s="48">
        <f t="shared" si="24"/>
        <v>14.886009727111347</v>
      </c>
      <c r="W90" s="33"/>
      <c r="X90" s="48">
        <f t="shared" si="18"/>
        <v>14.83896702875569</v>
      </c>
      <c r="Y90" s="48">
        <f t="shared" si="19"/>
        <v>14.886009727111347</v>
      </c>
      <c r="Z90" s="48">
        <f t="shared" si="20"/>
        <v>14.874249052522433</v>
      </c>
      <c r="AA90" s="33"/>
      <c r="AB90" s="48">
        <f>Controls!$F$17*Z90</f>
        <v>12.579198912655023</v>
      </c>
      <c r="AC90" s="48">
        <f>-(INDEX(Controls!$G$20:$G$24,MATCH($C90,Controls!$C$20:$C$24,0),0))*$Z90</f>
        <v>0</v>
      </c>
      <c r="AD90" s="59">
        <f t="shared" si="25"/>
        <v>12.579198912655023</v>
      </c>
      <c r="AE90" s="33"/>
      <c r="AG90" s="73"/>
    </row>
    <row r="91" spans="1:33" x14ac:dyDescent="0.3">
      <c r="A91" s="12" t="s">
        <v>140</v>
      </c>
      <c r="B91" s="12" t="str">
        <f t="shared" si="22"/>
        <v>SSC</v>
      </c>
      <c r="C91" s="12">
        <v>2025</v>
      </c>
      <c r="D91" s="99">
        <f>EXP(Coeffs!$D$13+(Coeffs!$D$6*Drivers!F89)+(Coeffs!$D$7*Drivers!G89))</f>
        <v>16.19877693828699</v>
      </c>
      <c r="E91" s="58">
        <f>EXP(Coeffs!$E$13+(Coeffs!$E$6*Drivers!F89)+(Coeffs!$E$7*Drivers!G89)+(Coeffs!$E$8*Drivers!D89))</f>
        <v>15.887838137727565</v>
      </c>
      <c r="F91" s="58">
        <f>EXP(Coeffs!$F$13+(Coeffs!$F$9*Drivers!E89)+(Coeffs!$F$10*Drivers!H89))</f>
        <v>4.3028658292133555</v>
      </c>
      <c r="G91" s="58">
        <f>EXP(Coeffs!$G$13+(Coeffs!$G$9*Drivers!E89)+(Coeffs!$G$11*Drivers!I89)+(Coeffs!$G$12*Drivers!J89))</f>
        <v>4.7965907852975649</v>
      </c>
      <c r="H91" s="58">
        <f>EXP(Coeffs!$H$13+(Coeffs!$H$7*Drivers!G89)+(Coeffs!$H$9*Drivers!E89)+(Coeffs!$H$10*Drivers!H89))</f>
        <v>20.510702870606874</v>
      </c>
      <c r="I91" s="58">
        <f>EXP(Coeffs!$I$13+(Coeffs!$I$7*Drivers!G89)+(Coeffs!$I$8*Drivers!D89)+(Coeffs!$I$9*Drivers!E89)+(Coeffs!$I$10*Drivers!H89))</f>
        <v>20.057480008421525</v>
      </c>
      <c r="J91" s="58">
        <f>EXP(Coeffs!$J$13+(Coeffs!$J$7*Drivers!G89)+(Coeffs!$J$8*Drivers!D89)+(Coeffs!$J$9*Drivers!E89)+(Coeffs!$J$11*Drivers!I89)+(Coeffs!$J$12*Drivers!J89))</f>
        <v>20.826891779016357</v>
      </c>
      <c r="K91" s="33"/>
      <c r="L91" s="58">
        <f xml:space="preserve"> (D91 *Drivers!$L89 * 1000 / 1000000)</f>
        <v>11.861574940571563</v>
      </c>
      <c r="M91" s="58">
        <f xml:space="preserve"> (E91 *Drivers!$L89 * 1000 / 1000000)</f>
        <v>11.633889609832201</v>
      </c>
      <c r="N91" s="58">
        <f xml:space="preserve"> (F91 *Drivers!$L89 * 1000 / 1000000)</f>
        <v>3.1507789561448294</v>
      </c>
      <c r="O91" s="58">
        <f xml:space="preserve"> (G91 *Drivers!$L89 * 1000 / 1000000)</f>
        <v>3.5123096808985812</v>
      </c>
      <c r="P91" s="58">
        <f xml:space="preserve"> (H91 *Drivers!$L89 * 1000 / 1000000)</f>
        <v>15.018988168697348</v>
      </c>
      <c r="Q91" s="58">
        <f xml:space="preserve"> (I91 *Drivers!$L89 * 1000 / 1000000)</f>
        <v>14.687115153526342</v>
      </c>
      <c r="R91" s="58">
        <f xml:space="preserve"> (J91 *Drivers!$L89 * 1000 / 1000000)</f>
        <v>15.25051789756299</v>
      </c>
      <c r="S91" s="33"/>
      <c r="T91" s="58">
        <f t="shared" si="17"/>
        <v>11.747732275201882</v>
      </c>
      <c r="U91" s="58">
        <f t="shared" si="23"/>
        <v>3.3315443185217051</v>
      </c>
      <c r="V91" s="48">
        <f t="shared" si="24"/>
        <v>14.985540406595558</v>
      </c>
      <c r="W91" s="33"/>
      <c r="X91" s="48">
        <f t="shared" si="18"/>
        <v>15.079276593723588</v>
      </c>
      <c r="Y91" s="48">
        <f t="shared" si="19"/>
        <v>14.985540406595558</v>
      </c>
      <c r="Z91" s="48">
        <f t="shared" si="20"/>
        <v>15.008974453377565</v>
      </c>
      <c r="AA91" s="33"/>
      <c r="AB91" s="48">
        <f>Controls!$F$17*Z91</f>
        <v>12.69313660523766</v>
      </c>
      <c r="AC91" s="48">
        <f>-(INDEX(Controls!$G$20:$G$24,MATCH($C91,Controls!$C$20:$C$24,0),0))*$Z91</f>
        <v>0</v>
      </c>
      <c r="AD91" s="59">
        <f t="shared" si="25"/>
        <v>12.69313660523766</v>
      </c>
      <c r="AE91" s="33"/>
      <c r="AG91" s="73"/>
    </row>
    <row r="92" spans="1:33" ht="14.5" x14ac:dyDescent="0.3">
      <c r="A92" s="126" t="s">
        <v>281</v>
      </c>
      <c r="B92" s="126" t="str">
        <f t="shared" si="22"/>
        <v>SVH</v>
      </c>
      <c r="C92" s="126">
        <v>2021</v>
      </c>
      <c r="D92" s="85"/>
      <c r="E92" s="85"/>
      <c r="F92" s="85"/>
      <c r="G92" s="85"/>
      <c r="H92" s="85"/>
      <c r="I92" s="85"/>
      <c r="J92" s="85"/>
      <c r="K92" s="71"/>
      <c r="L92" s="153">
        <f>L27+L67</f>
        <v>74.571872436526249</v>
      </c>
      <c r="M92" s="153">
        <f t="shared" ref="M92:R92" si="26">M27+M67</f>
        <v>72.611446388544664</v>
      </c>
      <c r="N92" s="153">
        <f t="shared" si="26"/>
        <v>44.926501827922991</v>
      </c>
      <c r="O92" s="153">
        <f t="shared" si="26"/>
        <v>49.309920399280671</v>
      </c>
      <c r="P92" s="153">
        <f t="shared" si="26"/>
        <v>120.46092950256197</v>
      </c>
      <c r="Q92" s="153">
        <f t="shared" si="26"/>
        <v>112.18780185401828</v>
      </c>
      <c r="R92" s="153">
        <f t="shared" si="26"/>
        <v>114.87840641827695</v>
      </c>
      <c r="S92" s="72"/>
      <c r="T92" s="58">
        <f t="shared" si="17"/>
        <v>73.591659412535449</v>
      </c>
      <c r="U92" s="58">
        <f t="shared" si="23"/>
        <v>47.118211113601831</v>
      </c>
      <c r="V92" s="48">
        <f t="shared" si="24"/>
        <v>115.84237925828572</v>
      </c>
      <c r="X92" s="59">
        <f t="shared" si="18"/>
        <v>120.70987052613728</v>
      </c>
      <c r="Y92" s="59">
        <f t="shared" si="19"/>
        <v>115.84237925828572</v>
      </c>
      <c r="Z92" s="48">
        <f>$X$3*$X92+$Y$3*$Y92</f>
        <v>117.05925207524859</v>
      </c>
      <c r="AB92" s="48">
        <f>Controls!$F$17*Z92</f>
        <v>98.99737534456996</v>
      </c>
      <c r="AC92" s="48">
        <f>-(INDEX(Controls!$G$20:$G$24,MATCH($C92,Controls!$C$20:$C$24,0),0))*$Z92</f>
        <v>0</v>
      </c>
      <c r="AD92" s="59">
        <f t="shared" si="25"/>
        <v>98.99737534456996</v>
      </c>
      <c r="AG92" s="73"/>
    </row>
    <row r="93" spans="1:33" ht="14.5" x14ac:dyDescent="0.3">
      <c r="A93" s="126" t="s">
        <v>282</v>
      </c>
      <c r="B93" s="126" t="str">
        <f t="shared" si="22"/>
        <v>SVH</v>
      </c>
      <c r="C93" s="126">
        <v>2022</v>
      </c>
      <c r="D93" s="85"/>
      <c r="E93" s="85"/>
      <c r="F93" s="85"/>
      <c r="G93" s="85"/>
      <c r="H93" s="85"/>
      <c r="I93" s="85"/>
      <c r="J93" s="85"/>
      <c r="K93" s="71"/>
      <c r="L93" s="153">
        <f t="shared" ref="L93:R93" si="27">L28+L68</f>
        <v>76.975119105445273</v>
      </c>
      <c r="M93" s="153">
        <f t="shared" si="27"/>
        <v>74.902875916500847</v>
      </c>
      <c r="N93" s="153">
        <f t="shared" si="27"/>
        <v>44.468981100097423</v>
      </c>
      <c r="O93" s="153">
        <f t="shared" si="27"/>
        <v>48.831668673887229</v>
      </c>
      <c r="P93" s="153">
        <f t="shared" si="27"/>
        <v>122.13086508555757</v>
      </c>
      <c r="Q93" s="153">
        <f t="shared" si="27"/>
        <v>113.83161177482313</v>
      </c>
      <c r="R93" s="153">
        <f t="shared" si="27"/>
        <v>115.37253777703701</v>
      </c>
      <c r="S93" s="72"/>
      <c r="T93" s="58">
        <f t="shared" si="17"/>
        <v>75.938997510973053</v>
      </c>
      <c r="U93" s="58">
        <f t="shared" si="23"/>
        <v>46.650324886992323</v>
      </c>
      <c r="V93" s="48">
        <f t="shared" si="24"/>
        <v>117.11167154580589</v>
      </c>
      <c r="X93" s="59">
        <f t="shared" si="18"/>
        <v>122.58932239796538</v>
      </c>
      <c r="Y93" s="59">
        <f t="shared" si="19"/>
        <v>117.11167154580589</v>
      </c>
      <c r="Z93" s="48">
        <f t="shared" ref="Z93:Z106" si="28">$X$3*$X93+$Y$3*$Y93</f>
        <v>118.48108425884575</v>
      </c>
      <c r="AB93" s="48">
        <f>Controls!$F$17*Z93</f>
        <v>100.19982326612404</v>
      </c>
      <c r="AC93" s="48">
        <f>-(INDEX(Controls!$G$20:$G$24,MATCH($C93,Controls!$C$20:$C$24,0),0))*$Z93</f>
        <v>0</v>
      </c>
      <c r="AD93" s="59">
        <f t="shared" si="25"/>
        <v>100.19982326612404</v>
      </c>
      <c r="AG93" s="73"/>
    </row>
    <row r="94" spans="1:33" ht="14.5" x14ac:dyDescent="0.3">
      <c r="A94" s="126" t="s">
        <v>283</v>
      </c>
      <c r="B94" s="126" t="str">
        <f t="shared" si="22"/>
        <v>SVH</v>
      </c>
      <c r="C94" s="126">
        <v>2023</v>
      </c>
      <c r="D94" s="85"/>
      <c r="E94" s="85"/>
      <c r="F94" s="85"/>
      <c r="G94" s="85"/>
      <c r="H94" s="85"/>
      <c r="I94" s="85"/>
      <c r="J94" s="85"/>
      <c r="K94" s="71"/>
      <c r="L94" s="153">
        <f t="shared" ref="L94:R94" si="29">L29+L69</f>
        <v>79.386374218497949</v>
      </c>
      <c r="M94" s="153">
        <f t="shared" si="29"/>
        <v>77.200181270648145</v>
      </c>
      <c r="N94" s="153">
        <f t="shared" si="29"/>
        <v>44.000448162926659</v>
      </c>
      <c r="O94" s="153">
        <f t="shared" si="29"/>
        <v>48.341199330484578</v>
      </c>
      <c r="P94" s="153">
        <f t="shared" si="29"/>
        <v>123.74783341334957</v>
      </c>
      <c r="Q94" s="153">
        <f t="shared" si="29"/>
        <v>115.41791110025844</v>
      </c>
      <c r="R94" s="153">
        <f t="shared" si="29"/>
        <v>115.81943617203507</v>
      </c>
      <c r="S94" s="72"/>
      <c r="T94" s="58">
        <f t="shared" si="17"/>
        <v>78.293277744573047</v>
      </c>
      <c r="U94" s="58">
        <f t="shared" si="23"/>
        <v>46.170823746705622</v>
      </c>
      <c r="V94" s="48">
        <f t="shared" si="24"/>
        <v>118.328393561881</v>
      </c>
      <c r="X94" s="59">
        <f t="shared" si="18"/>
        <v>124.46410149127867</v>
      </c>
      <c r="Y94" s="59">
        <f t="shared" si="19"/>
        <v>118.328393561881</v>
      </c>
      <c r="Z94" s="48">
        <f t="shared" si="28"/>
        <v>119.86232054423041</v>
      </c>
      <c r="AB94" s="48">
        <f>Controls!$F$17*Z94</f>
        <v>101.36793910967876</v>
      </c>
      <c r="AC94" s="48">
        <f>-(INDEX(Controls!$G$20:$G$24,MATCH($C94,Controls!$C$20:$C$24,0),0))*$Z94</f>
        <v>0</v>
      </c>
      <c r="AD94" s="59">
        <f t="shared" si="25"/>
        <v>101.36793910967876</v>
      </c>
      <c r="AG94" s="73"/>
    </row>
    <row r="95" spans="1:33" ht="14.5" x14ac:dyDescent="0.3">
      <c r="A95" s="126" t="s">
        <v>284</v>
      </c>
      <c r="B95" s="126" t="str">
        <f t="shared" si="22"/>
        <v>SVH</v>
      </c>
      <c r="C95" s="126">
        <v>2024</v>
      </c>
      <c r="D95" s="85"/>
      <c r="E95" s="85"/>
      <c r="F95" s="85"/>
      <c r="G95" s="85"/>
      <c r="H95" s="85"/>
      <c r="I95" s="85"/>
      <c r="J95" s="85"/>
      <c r="K95" s="71"/>
      <c r="L95" s="153">
        <f t="shared" ref="L95:R95" si="30">L30+L70</f>
        <v>81.809290055072353</v>
      </c>
      <c r="M95" s="153">
        <f t="shared" si="30"/>
        <v>79.506897319708401</v>
      </c>
      <c r="N95" s="153">
        <f t="shared" si="30"/>
        <v>43.52099475669521</v>
      </c>
      <c r="O95" s="153">
        <f t="shared" si="30"/>
        <v>47.838595248313204</v>
      </c>
      <c r="P95" s="153">
        <f t="shared" si="30"/>
        <v>125.3150924985508</v>
      </c>
      <c r="Q95" s="153">
        <f t="shared" si="30"/>
        <v>116.95020859161086</v>
      </c>
      <c r="R95" s="153">
        <f t="shared" si="30"/>
        <v>116.22105199966558</v>
      </c>
      <c r="S95" s="72"/>
      <c r="T95" s="58">
        <f t="shared" si="17"/>
        <v>80.658093687390377</v>
      </c>
      <c r="U95" s="58">
        <f t="shared" si="23"/>
        <v>45.679795002504207</v>
      </c>
      <c r="V95" s="48">
        <f t="shared" si="24"/>
        <v>119.4954510299424</v>
      </c>
      <c r="X95" s="59">
        <f t="shared" si="18"/>
        <v>126.33788868989458</v>
      </c>
      <c r="Y95" s="59">
        <f t="shared" si="19"/>
        <v>119.4954510299424</v>
      </c>
      <c r="Z95" s="48">
        <f t="shared" si="28"/>
        <v>121.20606044493044</v>
      </c>
      <c r="AB95" s="48">
        <f>Controls!$F$17*Z95</f>
        <v>102.50434414351209</v>
      </c>
      <c r="AC95" s="48">
        <f>-(INDEX(Controls!$G$20:$G$24,MATCH($C95,Controls!$C$20:$C$24,0),0))*$Z95</f>
        <v>0</v>
      </c>
      <c r="AD95" s="59">
        <f t="shared" si="25"/>
        <v>102.50434414351209</v>
      </c>
      <c r="AG95" s="76"/>
    </row>
    <row r="96" spans="1:33" ht="14.5" x14ac:dyDescent="0.3">
      <c r="A96" s="126" t="s">
        <v>285</v>
      </c>
      <c r="B96" s="126" t="str">
        <f t="shared" si="22"/>
        <v>SVH</v>
      </c>
      <c r="C96" s="126">
        <v>2025</v>
      </c>
      <c r="D96" s="85"/>
      <c r="E96" s="85"/>
      <c r="F96" s="85"/>
      <c r="G96" s="85"/>
      <c r="H96" s="85"/>
      <c r="I96" s="85"/>
      <c r="J96" s="85"/>
      <c r="K96" s="71"/>
      <c r="L96" s="153">
        <f t="shared" ref="L96:R96" si="31">L31+L71</f>
        <v>84.257071995529515</v>
      </c>
      <c r="M96" s="153">
        <f t="shared" si="31"/>
        <v>81.83566497726973</v>
      </c>
      <c r="N96" s="153">
        <f t="shared" si="31"/>
        <v>43.030714584807491</v>
      </c>
      <c r="O96" s="153">
        <f t="shared" si="31"/>
        <v>47.323941140575698</v>
      </c>
      <c r="P96" s="153">
        <f t="shared" si="31"/>
        <v>126.84341096364402</v>
      </c>
      <c r="Q96" s="153">
        <f t="shared" si="31"/>
        <v>118.44027853492042</v>
      </c>
      <c r="R96" s="153">
        <f t="shared" si="31"/>
        <v>116.58271398688757</v>
      </c>
      <c r="S96" s="72"/>
      <c r="T96" s="58">
        <f t="shared" si="17"/>
        <v>83.046368486399615</v>
      </c>
      <c r="U96" s="58">
        <f t="shared" si="23"/>
        <v>45.177327862691598</v>
      </c>
      <c r="V96" s="48">
        <f t="shared" si="24"/>
        <v>120.62213449515066</v>
      </c>
      <c r="X96" s="59">
        <f t="shared" si="18"/>
        <v>128.2236963490912</v>
      </c>
      <c r="Y96" s="59">
        <f t="shared" si="19"/>
        <v>120.62213449515066</v>
      </c>
      <c r="Z96" s="48">
        <f t="shared" si="28"/>
        <v>122.5225249586358</v>
      </c>
      <c r="AB96" s="48">
        <f>Controls!$F$17*Z96</f>
        <v>103.61768229731575</v>
      </c>
      <c r="AC96" s="48">
        <f>-(INDEX(Controls!$G$20:$G$24,MATCH($C96,Controls!$C$20:$C$24,0),0))*$Z96</f>
        <v>0</v>
      </c>
      <c r="AD96" s="59">
        <f t="shared" si="25"/>
        <v>103.61768229731575</v>
      </c>
    </row>
    <row r="97" spans="1:32" x14ac:dyDescent="0.3">
      <c r="A97" s="30" t="s">
        <v>190</v>
      </c>
      <c r="B97" s="30" t="str">
        <f t="shared" si="22"/>
        <v>SVE</v>
      </c>
      <c r="C97" s="30">
        <v>2021</v>
      </c>
      <c r="D97" s="100"/>
      <c r="E97" s="85"/>
      <c r="F97" s="85"/>
      <c r="G97" s="85"/>
      <c r="H97" s="85"/>
      <c r="I97" s="85"/>
      <c r="J97" s="85"/>
      <c r="L97" s="85"/>
      <c r="M97" s="85"/>
      <c r="N97" s="85"/>
      <c r="O97" s="85"/>
      <c r="P97" s="85"/>
      <c r="Q97" s="85"/>
      <c r="R97" s="85"/>
      <c r="S97" s="72"/>
      <c r="T97" s="125">
        <f>Controls!$D$28*T92</f>
        <v>71.494282257482098</v>
      </c>
      <c r="U97" s="125">
        <f>Controls!$D$28*U92</f>
        <v>45.775332581366754</v>
      </c>
      <c r="V97" s="125">
        <f>Controls!$D$28*V92</f>
        <v>112.54084805511832</v>
      </c>
      <c r="X97" s="59">
        <f t="shared" ref="X97:X106" si="32">SUM(T97:U97)</f>
        <v>117.26961483884885</v>
      </c>
      <c r="Y97" s="59">
        <f t="shared" ref="Y97:Y106" si="33">V97</f>
        <v>112.54084805511832</v>
      </c>
      <c r="Z97" s="48">
        <f t="shared" si="28"/>
        <v>113.72303975105095</v>
      </c>
      <c r="AB97" s="48">
        <f>Controls!$F$17*Z97</f>
        <v>96.175930154782947</v>
      </c>
      <c r="AC97" s="48">
        <f>-(INDEX(Controls!$G$20:$G$24,MATCH($C97,Controls!$C$20:$C$24,0),0))*$Z97</f>
        <v>0</v>
      </c>
      <c r="AD97" s="59">
        <f t="shared" si="25"/>
        <v>96.175930154782947</v>
      </c>
    </row>
    <row r="98" spans="1:32" x14ac:dyDescent="0.3">
      <c r="A98" s="30" t="s">
        <v>191</v>
      </c>
      <c r="B98" s="30" t="str">
        <f t="shared" si="22"/>
        <v>SVE</v>
      </c>
      <c r="C98" s="30">
        <v>2022</v>
      </c>
      <c r="D98" s="100"/>
      <c r="E98" s="85"/>
      <c r="F98" s="85"/>
      <c r="G98" s="85"/>
      <c r="H98" s="85"/>
      <c r="I98" s="85"/>
      <c r="J98" s="85"/>
      <c r="L98" s="85"/>
      <c r="M98" s="85"/>
      <c r="N98" s="85"/>
      <c r="O98" s="85"/>
      <c r="P98" s="85"/>
      <c r="Q98" s="85"/>
      <c r="R98" s="85"/>
      <c r="S98" s="72"/>
      <c r="T98" s="125">
        <f>Controls!$D$28*T93</f>
        <v>73.774720746070571</v>
      </c>
      <c r="U98" s="125">
        <f>Controls!$D$28*U93</f>
        <v>45.320781206704993</v>
      </c>
      <c r="V98" s="125">
        <f>Controls!$D$28*V93</f>
        <v>113.77396525611127</v>
      </c>
      <c r="X98" s="59">
        <f t="shared" si="32"/>
        <v>119.09550195277556</v>
      </c>
      <c r="Y98" s="59">
        <f t="shared" si="33"/>
        <v>113.77396525611127</v>
      </c>
      <c r="Z98" s="48">
        <f t="shared" si="28"/>
        <v>115.10434943027734</v>
      </c>
      <c r="AB98" s="48">
        <f>Controls!$F$17*Z98</f>
        <v>97.344108067739029</v>
      </c>
      <c r="AC98" s="48">
        <f>-(INDEX(Controls!$G$20:$G$24,MATCH($C98,Controls!$C$20:$C$24,0),0))*$Z98</f>
        <v>0</v>
      </c>
      <c r="AD98" s="59">
        <f t="shared" si="25"/>
        <v>97.344108067739029</v>
      </c>
    </row>
    <row r="99" spans="1:32" x14ac:dyDescent="0.3">
      <c r="A99" s="30" t="s">
        <v>192</v>
      </c>
      <c r="B99" s="30" t="str">
        <f t="shared" si="22"/>
        <v>SVE</v>
      </c>
      <c r="C99" s="30">
        <v>2023</v>
      </c>
      <c r="D99" s="100"/>
      <c r="E99" s="85"/>
      <c r="F99" s="85"/>
      <c r="G99" s="85"/>
      <c r="H99" s="85"/>
      <c r="I99" s="85"/>
      <c r="J99" s="85"/>
      <c r="L99" s="85"/>
      <c r="M99" s="85"/>
      <c r="N99" s="85"/>
      <c r="O99" s="85"/>
      <c r="P99" s="85"/>
      <c r="Q99" s="85"/>
      <c r="R99" s="85"/>
      <c r="S99" s="72"/>
      <c r="T99" s="125">
        <f>Controls!$D$28*T94</f>
        <v>76.06190351756733</v>
      </c>
      <c r="U99" s="125">
        <f>Controls!$D$28*U94</f>
        <v>44.85494594575146</v>
      </c>
      <c r="V99" s="125">
        <f>Controls!$D$28*V94</f>
        <v>114.95601044901188</v>
      </c>
      <c r="X99" s="59">
        <f t="shared" si="32"/>
        <v>120.91684946331878</v>
      </c>
      <c r="Y99" s="59">
        <f t="shared" si="33"/>
        <v>114.95601044901188</v>
      </c>
      <c r="Z99" s="48">
        <f t="shared" si="28"/>
        <v>116.44622020258861</v>
      </c>
      <c r="AB99" s="48">
        <f>Controls!$F$17*Z99</f>
        <v>98.478932373852075</v>
      </c>
      <c r="AC99" s="48">
        <f>-(INDEX(Controls!$G$20:$G$24,MATCH($C99,Controls!$C$20:$C$24,0),0))*$Z99</f>
        <v>0</v>
      </c>
      <c r="AD99" s="59">
        <f t="shared" si="25"/>
        <v>98.478932373852075</v>
      </c>
    </row>
    <row r="100" spans="1:32" x14ac:dyDescent="0.3">
      <c r="A100" s="30" t="s">
        <v>193</v>
      </c>
      <c r="B100" s="30" t="str">
        <f t="shared" si="22"/>
        <v>SVE</v>
      </c>
      <c r="C100" s="30">
        <v>2024</v>
      </c>
      <c r="D100" s="100"/>
      <c r="E100" s="85"/>
      <c r="F100" s="85"/>
      <c r="G100" s="85"/>
      <c r="H100" s="85"/>
      <c r="I100" s="85"/>
      <c r="J100" s="85"/>
      <c r="L100" s="85"/>
      <c r="M100" s="85"/>
      <c r="N100" s="85"/>
      <c r="O100" s="85"/>
      <c r="P100" s="85"/>
      <c r="Q100" s="85"/>
      <c r="R100" s="85"/>
      <c r="S100" s="72"/>
      <c r="T100" s="125">
        <f>Controls!$D$28*T95</f>
        <v>78.35932172844106</v>
      </c>
      <c r="U100" s="125">
        <f>Controls!$D$28*U95</f>
        <v>44.377911619922777</v>
      </c>
      <c r="V100" s="125">
        <f>Controls!$D$28*V95</f>
        <v>116.0898065435469</v>
      </c>
      <c r="X100" s="59">
        <f t="shared" si="32"/>
        <v>122.73723334836384</v>
      </c>
      <c r="Y100" s="59">
        <f t="shared" si="33"/>
        <v>116.0898065435469</v>
      </c>
      <c r="Z100" s="48">
        <f t="shared" si="28"/>
        <v>117.75166324475114</v>
      </c>
      <c r="AB100" s="48">
        <f>Controls!$F$17*Z100</f>
        <v>99.58294963472477</v>
      </c>
      <c r="AC100" s="48">
        <f>-(INDEX(Controls!$G$20:$G$24,MATCH($C100,Controls!$C$20:$C$24,0),0))*$Z100</f>
        <v>0</v>
      </c>
      <c r="AD100" s="59">
        <f t="shared" si="25"/>
        <v>99.58294963472477</v>
      </c>
    </row>
    <row r="101" spans="1:32" x14ac:dyDescent="0.3">
      <c r="A101" s="30" t="s">
        <v>194</v>
      </c>
      <c r="B101" s="30" t="str">
        <f t="shared" si="22"/>
        <v>SVE</v>
      </c>
      <c r="C101" s="30">
        <v>2025</v>
      </c>
      <c r="D101" s="100"/>
      <c r="E101" s="85"/>
      <c r="F101" s="85"/>
      <c r="G101" s="85"/>
      <c r="H101" s="85"/>
      <c r="I101" s="85"/>
      <c r="J101" s="85"/>
      <c r="L101" s="85"/>
      <c r="M101" s="85"/>
      <c r="N101" s="85"/>
      <c r="O101" s="85"/>
      <c r="P101" s="85"/>
      <c r="Q101" s="85"/>
      <c r="R101" s="85"/>
      <c r="S101" s="72"/>
      <c r="T101" s="125">
        <f>Controls!$D$28*T96</f>
        <v>80.679530213367727</v>
      </c>
      <c r="U101" s="125">
        <f>Controls!$D$28*U96</f>
        <v>43.889764895067799</v>
      </c>
      <c r="V101" s="125">
        <f>Controls!$D$28*V96</f>
        <v>117.18437930246361</v>
      </c>
      <c r="X101" s="59">
        <f t="shared" si="32"/>
        <v>124.56929510843553</v>
      </c>
      <c r="Y101" s="59">
        <f t="shared" si="33"/>
        <v>117.18437930246361</v>
      </c>
      <c r="Z101" s="48">
        <f t="shared" si="28"/>
        <v>119.03060825395659</v>
      </c>
      <c r="AB101" s="48">
        <f>Controls!$F$17*Z101</f>
        <v>100.66455742630698</v>
      </c>
      <c r="AC101" s="48">
        <f>-(INDEX(Controls!$G$20:$G$24,MATCH($C101,Controls!$C$20:$C$24,0),0))*$Z101</f>
        <v>0</v>
      </c>
      <c r="AD101" s="59">
        <f t="shared" si="25"/>
        <v>100.66455742630698</v>
      </c>
    </row>
    <row r="102" spans="1:32" x14ac:dyDescent="0.3">
      <c r="A102" s="30" t="s">
        <v>195</v>
      </c>
      <c r="B102" s="30" t="str">
        <f t="shared" si="22"/>
        <v>HDD</v>
      </c>
      <c r="C102" s="30">
        <v>2021</v>
      </c>
      <c r="D102" s="100"/>
      <c r="E102" s="85"/>
      <c r="F102" s="85"/>
      <c r="G102" s="85"/>
      <c r="H102" s="85"/>
      <c r="I102" s="85"/>
      <c r="J102" s="85"/>
      <c r="L102" s="85"/>
      <c r="M102" s="85"/>
      <c r="N102" s="85"/>
      <c r="O102" s="85"/>
      <c r="P102" s="85"/>
      <c r="Q102" s="85"/>
      <c r="R102" s="85"/>
      <c r="S102" s="72"/>
      <c r="T102" s="125">
        <f>Controls!$D$29*T92</f>
        <v>2.0973771550533442</v>
      </c>
      <c r="U102" s="125">
        <f>Controls!$D$29*U92</f>
        <v>1.3428785322350743</v>
      </c>
      <c r="V102" s="125">
        <f>Controls!$D$29*V92</f>
        <v>3.3015312031674022</v>
      </c>
      <c r="X102" s="59">
        <f t="shared" si="32"/>
        <v>3.4402556872884187</v>
      </c>
      <c r="Y102" s="59">
        <f t="shared" si="33"/>
        <v>3.3015312031674022</v>
      </c>
      <c r="Z102" s="48">
        <f t="shared" si="28"/>
        <v>3.3362123241976565</v>
      </c>
      <c r="AB102" s="48">
        <f>Controls!$F$17*Z102</f>
        <v>2.8214451897870125</v>
      </c>
      <c r="AC102" s="48">
        <f>-(INDEX(Controls!$G$20:$G$24,MATCH($C102,Controls!$C$20:$C$24,0),0))*$Z102</f>
        <v>0</v>
      </c>
      <c r="AD102" s="59">
        <f t="shared" si="25"/>
        <v>2.8214451897870125</v>
      </c>
    </row>
    <row r="103" spans="1:32" x14ac:dyDescent="0.3">
      <c r="A103" s="30" t="s">
        <v>196</v>
      </c>
      <c r="B103" s="30" t="str">
        <f t="shared" si="22"/>
        <v>HDD</v>
      </c>
      <c r="C103" s="30">
        <v>2022</v>
      </c>
      <c r="D103" s="100"/>
      <c r="E103" s="85"/>
      <c r="F103" s="85"/>
      <c r="G103" s="85"/>
      <c r="H103" s="85"/>
      <c r="I103" s="85"/>
      <c r="J103" s="85"/>
      <c r="L103" s="85"/>
      <c r="M103" s="85"/>
      <c r="N103" s="85"/>
      <c r="O103" s="85"/>
      <c r="P103" s="85"/>
      <c r="Q103" s="85"/>
      <c r="R103" s="85"/>
      <c r="S103" s="72"/>
      <c r="T103" s="125">
        <f>Controls!$D$29*T93</f>
        <v>2.1642767649024841</v>
      </c>
      <c r="U103" s="125">
        <f>Controls!$D$29*U93</f>
        <v>1.3295436802873311</v>
      </c>
      <c r="V103" s="125">
        <f>Controls!$D$29*V93</f>
        <v>3.3377062896946228</v>
      </c>
      <c r="X103" s="59">
        <f t="shared" si="32"/>
        <v>3.4938204451898152</v>
      </c>
      <c r="Y103" s="59">
        <f t="shared" si="33"/>
        <v>3.3377062896946228</v>
      </c>
      <c r="Z103" s="48">
        <f t="shared" si="28"/>
        <v>3.3767348285684209</v>
      </c>
      <c r="AB103" s="48">
        <f>Controls!$F$17*Z103</f>
        <v>2.8557151983850151</v>
      </c>
      <c r="AC103" s="48">
        <f>-(INDEX(Controls!$G$20:$G$24,MATCH($C103,Controls!$C$20:$C$24,0),0))*$Z103</f>
        <v>0</v>
      </c>
      <c r="AD103" s="59">
        <f t="shared" si="25"/>
        <v>2.8557151983850151</v>
      </c>
    </row>
    <row r="104" spans="1:32" x14ac:dyDescent="0.3">
      <c r="A104" s="30" t="s">
        <v>197</v>
      </c>
      <c r="B104" s="30" t="str">
        <f t="shared" si="22"/>
        <v>HDD</v>
      </c>
      <c r="C104" s="30">
        <v>2023</v>
      </c>
      <c r="D104" s="100"/>
      <c r="E104" s="85"/>
      <c r="F104" s="85"/>
      <c r="G104" s="85"/>
      <c r="H104" s="85"/>
      <c r="I104" s="85"/>
      <c r="J104" s="85"/>
      <c r="L104" s="85"/>
      <c r="M104" s="85"/>
      <c r="N104" s="85"/>
      <c r="O104" s="85"/>
      <c r="P104" s="85"/>
      <c r="Q104" s="85"/>
      <c r="R104" s="85"/>
      <c r="S104" s="72"/>
      <c r="T104" s="125">
        <f>Controls!$D$29*T94</f>
        <v>2.2313742270057122</v>
      </c>
      <c r="U104" s="125">
        <f>Controls!$D$29*U94</f>
        <v>1.3158778009541625</v>
      </c>
      <c r="V104" s="125">
        <f>Controls!$D$29*V94</f>
        <v>3.3723831128691208</v>
      </c>
      <c r="X104" s="59">
        <f t="shared" si="32"/>
        <v>3.5472520279598747</v>
      </c>
      <c r="Y104" s="59">
        <f t="shared" si="33"/>
        <v>3.3723831128691208</v>
      </c>
      <c r="Z104" s="48">
        <f t="shared" si="28"/>
        <v>3.4161003416418092</v>
      </c>
      <c r="AB104" s="48">
        <f>Controls!$F$17*Z104</f>
        <v>2.8890067358266918</v>
      </c>
      <c r="AC104" s="48">
        <f>-(INDEX(Controls!$G$20:$G$24,MATCH($C104,Controls!$C$20:$C$24,0),0))*$Z104</f>
        <v>0</v>
      </c>
      <c r="AD104" s="59">
        <f t="shared" si="25"/>
        <v>2.8890067358266918</v>
      </c>
    </row>
    <row r="105" spans="1:32" x14ac:dyDescent="0.3">
      <c r="A105" s="30" t="s">
        <v>198</v>
      </c>
      <c r="B105" s="30" t="str">
        <f t="shared" si="22"/>
        <v>HDD</v>
      </c>
      <c r="C105" s="30">
        <v>2024</v>
      </c>
      <c r="D105" s="100"/>
      <c r="E105" s="85"/>
      <c r="F105" s="85"/>
      <c r="G105" s="85"/>
      <c r="H105" s="85"/>
      <c r="I105" s="85"/>
      <c r="J105" s="85"/>
      <c r="L105" s="85"/>
      <c r="M105" s="85"/>
      <c r="N105" s="85"/>
      <c r="O105" s="85"/>
      <c r="P105" s="85"/>
      <c r="Q105" s="85"/>
      <c r="R105" s="85"/>
      <c r="S105" s="72"/>
      <c r="T105" s="125">
        <f>Controls!$D$29*T95</f>
        <v>2.2987719589493154</v>
      </c>
      <c r="U105" s="125">
        <f>Controls!$D$29*U95</f>
        <v>1.3018833825814309</v>
      </c>
      <c r="V105" s="125">
        <f>Controls!$D$29*V95</f>
        <v>3.4056444863954995</v>
      </c>
      <c r="X105" s="59">
        <f t="shared" si="32"/>
        <v>3.6006553415307465</v>
      </c>
      <c r="Y105" s="59">
        <f t="shared" si="33"/>
        <v>3.4056444863954995</v>
      </c>
      <c r="Z105" s="48">
        <f t="shared" si="28"/>
        <v>3.4543972001793115</v>
      </c>
      <c r="AB105" s="48">
        <f>Controls!$F$17*Z105</f>
        <v>2.9213945087873281</v>
      </c>
      <c r="AC105" s="48">
        <f>-(INDEX(Controls!$G$20:$G$24,MATCH($C105,Controls!$C$20:$C$24,0),0))*$Z105</f>
        <v>0</v>
      </c>
      <c r="AD105" s="59">
        <f t="shared" si="25"/>
        <v>2.9213945087873281</v>
      </c>
    </row>
    <row r="106" spans="1:32" x14ac:dyDescent="0.3">
      <c r="A106" s="30" t="s">
        <v>199</v>
      </c>
      <c r="B106" s="30" t="str">
        <f t="shared" si="22"/>
        <v>HDD</v>
      </c>
      <c r="C106" s="30">
        <v>2025</v>
      </c>
      <c r="D106" s="100"/>
      <c r="E106" s="85"/>
      <c r="F106" s="85"/>
      <c r="G106" s="85"/>
      <c r="H106" s="85"/>
      <c r="I106" s="85"/>
      <c r="J106" s="85"/>
      <c r="L106" s="85"/>
      <c r="M106" s="85"/>
      <c r="N106" s="85"/>
      <c r="O106" s="85"/>
      <c r="P106" s="85"/>
      <c r="Q106" s="85"/>
      <c r="R106" s="85"/>
      <c r="S106" s="72"/>
      <c r="T106" s="125">
        <f>Controls!$D$29*T96</f>
        <v>2.3668382730318913</v>
      </c>
      <c r="U106" s="125">
        <f>Controls!$D$29*U96</f>
        <v>1.2875629676238027</v>
      </c>
      <c r="V106" s="125">
        <f>Controls!$D$29*V96</f>
        <v>3.4377551926870558</v>
      </c>
      <c r="X106" s="59">
        <f t="shared" si="32"/>
        <v>3.654401240655694</v>
      </c>
      <c r="Y106" s="59">
        <f t="shared" si="33"/>
        <v>3.4377551926870558</v>
      </c>
      <c r="Z106" s="48">
        <f t="shared" si="28"/>
        <v>3.4919167046792152</v>
      </c>
      <c r="AB106" s="48">
        <f>Controls!$F$17*Z106</f>
        <v>2.9531248710087743</v>
      </c>
      <c r="AC106" s="48">
        <f>-(INDEX(Controls!$G$20:$G$24,MATCH($C106,Controls!$C$20:$C$24,0),0))*$Z106</f>
        <v>0</v>
      </c>
      <c r="AD106" s="59">
        <f t="shared" si="25"/>
        <v>2.9531248710087743</v>
      </c>
    </row>
    <row r="107" spans="1:32" x14ac:dyDescent="0.3">
      <c r="A107" s="50"/>
      <c r="B107" s="50"/>
      <c r="C107" s="50"/>
    </row>
    <row r="108" spans="1:32" x14ac:dyDescent="0.3">
      <c r="D108" s="94"/>
      <c r="E108" s="94"/>
      <c r="F108" s="94"/>
      <c r="G108" s="94"/>
      <c r="H108" s="94"/>
      <c r="I108" s="94"/>
      <c r="J108" s="94"/>
      <c r="L108" s="94"/>
      <c r="M108" s="94"/>
      <c r="N108" s="94"/>
      <c r="O108" s="94"/>
      <c r="P108" s="94"/>
      <c r="Q108" s="94"/>
      <c r="R108" s="94"/>
      <c r="AC108" s="95"/>
      <c r="AE108" s="95"/>
    </row>
    <row r="109" spans="1:32" x14ac:dyDescent="0.3">
      <c r="D109" s="73"/>
      <c r="L109" s="95"/>
      <c r="M109" s="50"/>
    </row>
    <row r="110" spans="1:32" x14ac:dyDescent="0.3">
      <c r="L110" s="94"/>
      <c r="M110" s="50"/>
      <c r="T110" s="86"/>
    </row>
    <row r="111" spans="1:32" x14ac:dyDescent="0.3">
      <c r="L111" s="95"/>
      <c r="M111" s="50"/>
      <c r="T111" s="86"/>
    </row>
    <row r="112" spans="1:32" x14ac:dyDescent="0.3">
      <c r="AF112" s="79"/>
    </row>
  </sheetData>
  <conditionalFormatting sqref="L108:R108 D108:J108">
    <cfRule type="expression" dxfId="13" priority="30">
      <formula>D108="error"</formula>
    </cfRule>
    <cfRule type="expression" dxfId="12" priority="31">
      <formula>D108="OK"</formula>
    </cfRule>
  </conditionalFormatting>
  <conditionalFormatting sqref="AC108">
    <cfRule type="expression" dxfId="11" priority="28">
      <formula>AC108="error"</formula>
    </cfRule>
    <cfRule type="expression" dxfId="10" priority="29">
      <formula>AC108="OK"</formula>
    </cfRule>
  </conditionalFormatting>
  <conditionalFormatting sqref="L111">
    <cfRule type="expression" dxfId="9" priority="18">
      <formula>L111="error"</formula>
    </cfRule>
    <cfRule type="expression" dxfId="8" priority="19">
      <formula>L111="OK"</formula>
    </cfRule>
  </conditionalFormatting>
  <conditionalFormatting sqref="L110">
    <cfRule type="expression" dxfId="7" priority="16">
      <formula>L110="error"</formula>
    </cfRule>
    <cfRule type="expression" dxfId="6" priority="17">
      <formula>L110="OK"</formula>
    </cfRule>
  </conditionalFormatting>
  <conditionalFormatting sqref="L109">
    <cfRule type="expression" dxfId="5" priority="11">
      <formula>L109="error"</formula>
    </cfRule>
    <cfRule type="expression" dxfId="4" priority="12">
      <formula>L109="OK"</formula>
    </cfRule>
  </conditionalFormatting>
  <conditionalFormatting sqref="AE108">
    <cfRule type="expression" dxfId="3" priority="1">
      <formula>AE108="error"</formula>
    </cfRule>
    <cfRule type="expression" dxfId="2" priority="2">
      <formula>AE108="OK"</formula>
    </cfRule>
  </conditionalFormatting>
  <conditionalFormatting sqref="AJ7:AJ23">
    <cfRule type="colorScale" priority="185">
      <colorScale>
        <cfvo type="min"/>
        <cfvo type="percentile" val="50"/>
        <cfvo type="max"/>
        <color theme="7"/>
        <color rgb="FFFFC000"/>
        <color theme="9"/>
      </colorScale>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22"/>
  <sheetViews>
    <sheetView showGridLines="0" zoomScaleNormal="100" workbookViewId="0">
      <pane ySplit="1" topLeftCell="A2" activePane="bottomLeft" state="frozen"/>
      <selection pane="bottomLeft"/>
    </sheetView>
  </sheetViews>
  <sheetFormatPr defaultColWidth="9" defaultRowHeight="13" x14ac:dyDescent="0.3"/>
  <cols>
    <col min="1" max="1" width="2.5" style="16" customWidth="1"/>
    <col min="2" max="2" width="9" style="16"/>
    <col min="3" max="9" width="14.33203125" style="16" customWidth="1"/>
    <col min="10" max="16384" width="9" style="16"/>
  </cols>
  <sheetData>
    <row r="1" spans="1:13" ht="15.5" x14ac:dyDescent="0.35">
      <c r="A1" s="96" t="s">
        <v>218</v>
      </c>
    </row>
    <row r="3" spans="1:13" x14ac:dyDescent="0.3">
      <c r="B3" s="25" t="s">
        <v>306</v>
      </c>
    </row>
    <row r="4" spans="1:13" ht="52" x14ac:dyDescent="0.3">
      <c r="B4" s="112" t="s">
        <v>37</v>
      </c>
      <c r="C4" s="128" t="s">
        <v>329</v>
      </c>
      <c r="D4" s="129" t="s">
        <v>303</v>
      </c>
      <c r="E4" s="130" t="s">
        <v>219</v>
      </c>
      <c r="F4" s="130" t="s">
        <v>220</v>
      </c>
      <c r="G4" s="131" t="s">
        <v>304</v>
      </c>
      <c r="H4" s="132" t="s">
        <v>294</v>
      </c>
      <c r="I4" s="133" t="s">
        <v>313</v>
      </c>
      <c r="K4" s="113" t="s">
        <v>330</v>
      </c>
    </row>
    <row r="5" spans="1:13" x14ac:dyDescent="0.3">
      <c r="B5" s="106" t="s">
        <v>19</v>
      </c>
      <c r="C5" s="107">
        <v>406.512254713</v>
      </c>
      <c r="D5" s="107">
        <f>SUMIF('Modelled costs'!$B$7:$B$106,$B5,'Modelled costs'!$AD$7:$AD$106)</f>
        <v>402.98839654395925</v>
      </c>
      <c r="E5" s="108">
        <v>0</v>
      </c>
      <c r="F5" s="106"/>
      <c r="G5" s="172">
        <f>SUM(D5:F5)</f>
        <v>402.98839654395925</v>
      </c>
      <c r="H5" s="109">
        <v>0</v>
      </c>
      <c r="I5" s="172">
        <f>G5+H5</f>
        <v>402.98839654395925</v>
      </c>
      <c r="J5" s="166"/>
      <c r="K5" s="156">
        <f>C5-I5</f>
        <v>3.52385816904075</v>
      </c>
    </row>
    <row r="6" spans="1:13" x14ac:dyDescent="0.3">
      <c r="B6" s="106" t="s">
        <v>149</v>
      </c>
      <c r="C6" s="107">
        <v>13.53031192583718</v>
      </c>
      <c r="D6" s="107">
        <f>SUMIF('Modelled costs'!$B$7:$B$106,$B6,'Modelled costs'!$AD$7:$AD$106)</f>
        <v>14.440686503794822</v>
      </c>
      <c r="E6" s="108">
        <v>0</v>
      </c>
      <c r="F6" s="106"/>
      <c r="G6" s="172">
        <f>SUM(D6:F6)</f>
        <v>14.440686503794822</v>
      </c>
      <c r="H6" s="109">
        <v>0</v>
      </c>
      <c r="I6" s="172">
        <f t="shared" ref="I6:I22" si="0">G6+H6</f>
        <v>14.440686503794822</v>
      </c>
      <c r="J6" s="166"/>
      <c r="K6" s="156">
        <f t="shared" ref="K6:K22" si="1">C6-I6</f>
        <v>-0.91037457795764176</v>
      </c>
    </row>
    <row r="7" spans="1:13" x14ac:dyDescent="0.3">
      <c r="B7" s="106" t="s">
        <v>20</v>
      </c>
      <c r="C7" s="107">
        <v>279.59399999999999</v>
      </c>
      <c r="D7" s="107">
        <f>SUMIF('Modelled costs'!$B$7:$B$106,$B7,'Modelled costs'!$AD$7:$AD$106)</f>
        <v>250.11015083615723</v>
      </c>
      <c r="E7" s="108">
        <v>0</v>
      </c>
      <c r="F7" s="106"/>
      <c r="G7" s="172">
        <f t="shared" ref="G7:G21" si="2">SUM(D7:F7)</f>
        <v>250.11015083615723</v>
      </c>
      <c r="H7" s="109">
        <v>0</v>
      </c>
      <c r="I7" s="172">
        <f t="shared" si="0"/>
        <v>250.11015083615723</v>
      </c>
      <c r="J7" s="166"/>
      <c r="K7" s="156">
        <f t="shared" si="1"/>
        <v>29.483849163842763</v>
      </c>
    </row>
    <row r="8" spans="1:13" x14ac:dyDescent="0.3">
      <c r="B8" s="106" t="s">
        <v>21</v>
      </c>
      <c r="C8" s="107">
        <v>507.7582623798794</v>
      </c>
      <c r="D8" s="107">
        <f>SUMIF('Modelled costs'!$B$7:$B$106,$B8,'Modelled costs'!$AD$7:$AD$106)</f>
        <v>474.84081416716776</v>
      </c>
      <c r="E8" s="108">
        <v>0</v>
      </c>
      <c r="F8" s="106"/>
      <c r="G8" s="172">
        <f t="shared" si="2"/>
        <v>474.84081416716776</v>
      </c>
      <c r="H8" s="109">
        <v>0</v>
      </c>
      <c r="I8" s="172">
        <f t="shared" si="0"/>
        <v>474.84081416716776</v>
      </c>
      <c r="J8" s="166"/>
      <c r="K8" s="156">
        <f t="shared" si="1"/>
        <v>32.917448212711633</v>
      </c>
    </row>
    <row r="9" spans="1:13" x14ac:dyDescent="0.3">
      <c r="B9" s="106" t="s">
        <v>22</v>
      </c>
      <c r="C9" s="107">
        <v>235.03999999999996</v>
      </c>
      <c r="D9" s="107">
        <f>SUMIF('Modelled costs'!$B$7:$B$106,$B9,'Modelled costs'!$AD$7:$AD$106)</f>
        <v>261.68898175972288</v>
      </c>
      <c r="E9" s="108">
        <v>0</v>
      </c>
      <c r="F9" s="106"/>
      <c r="G9" s="172">
        <f t="shared" si="2"/>
        <v>261.68898175972288</v>
      </c>
      <c r="H9" s="109">
        <v>0</v>
      </c>
      <c r="I9" s="172">
        <f t="shared" si="0"/>
        <v>261.68898175972288</v>
      </c>
      <c r="J9" s="166"/>
      <c r="K9" s="156">
        <f t="shared" si="1"/>
        <v>-26.648981759722915</v>
      </c>
    </row>
    <row r="10" spans="1:13" x14ac:dyDescent="0.3">
      <c r="B10" s="106" t="s">
        <v>148</v>
      </c>
      <c r="C10" s="107">
        <v>461.97117466078447</v>
      </c>
      <c r="D10" s="107">
        <f>SUMIF('Modelled costs'!$B$7:$B$106,$B10,'Modelled costs'!$AD$7:$AD$106)</f>
        <v>492.24647765740582</v>
      </c>
      <c r="E10" s="108">
        <v>0</v>
      </c>
      <c r="F10" s="106"/>
      <c r="G10" s="172">
        <f t="shared" si="2"/>
        <v>492.24647765740582</v>
      </c>
      <c r="H10" s="109">
        <v>0</v>
      </c>
      <c r="I10" s="172">
        <f t="shared" si="0"/>
        <v>492.24647765740582</v>
      </c>
      <c r="J10" s="166"/>
      <c r="K10" s="156">
        <f t="shared" si="1"/>
        <v>-30.275302996621349</v>
      </c>
    </row>
    <row r="11" spans="1:13" x14ac:dyDescent="0.3">
      <c r="B11" s="106" t="s">
        <v>34</v>
      </c>
      <c r="C11" s="107">
        <v>159.76399999999998</v>
      </c>
      <c r="D11" s="107">
        <f>SUMIF('Modelled costs'!$B$7:$B$106,$B11,'Modelled costs'!$AD$7:$AD$106)</f>
        <v>141.01125326593532</v>
      </c>
      <c r="E11" s="108">
        <v>0</v>
      </c>
      <c r="F11" s="106"/>
      <c r="G11" s="172">
        <f t="shared" si="2"/>
        <v>141.01125326593532</v>
      </c>
      <c r="H11" s="109">
        <v>0</v>
      </c>
      <c r="I11" s="172">
        <f t="shared" si="0"/>
        <v>141.01125326593532</v>
      </c>
      <c r="J11" s="166"/>
      <c r="K11" s="156">
        <f t="shared" si="1"/>
        <v>18.752746734064658</v>
      </c>
      <c r="M11" s="135"/>
    </row>
    <row r="12" spans="1:13" x14ac:dyDescent="0.3">
      <c r="B12" s="106" t="s">
        <v>24</v>
      </c>
      <c r="C12" s="107">
        <v>819.54185282964568</v>
      </c>
      <c r="D12" s="107">
        <f>SUMIF('Modelled costs'!$B$7:$B$106,$B12,'Modelled costs'!$AD$7:$AD$106)</f>
        <v>754.00892303790692</v>
      </c>
      <c r="E12" s="108">
        <v>0</v>
      </c>
      <c r="F12" s="106"/>
      <c r="G12" s="172">
        <f t="shared" si="2"/>
        <v>754.00892303790692</v>
      </c>
      <c r="H12" s="109">
        <v>0</v>
      </c>
      <c r="I12" s="172">
        <f t="shared" si="0"/>
        <v>754.00892303790692</v>
      </c>
      <c r="J12" s="166"/>
      <c r="K12" s="156">
        <f t="shared" si="1"/>
        <v>65.532929791738752</v>
      </c>
    </row>
    <row r="13" spans="1:13" x14ac:dyDescent="0.3">
      <c r="B13" s="106" t="s">
        <v>40</v>
      </c>
      <c r="C13" s="107">
        <v>229.80099999999999</v>
      </c>
      <c r="D13" s="107">
        <f>SUMIF('Modelled costs'!$B$7:$B$106,$B13,'Modelled costs'!$AD$7:$AD$106)</f>
        <v>202.74327570574576</v>
      </c>
      <c r="E13" s="170">
        <v>1.8819999999999999</v>
      </c>
      <c r="F13" s="106"/>
      <c r="G13" s="172">
        <f t="shared" si="2"/>
        <v>204.62527570574576</v>
      </c>
      <c r="H13" s="109">
        <v>0</v>
      </c>
      <c r="I13" s="172">
        <f t="shared" si="0"/>
        <v>204.62527570574576</v>
      </c>
      <c r="J13" s="166"/>
      <c r="K13" s="156">
        <f t="shared" si="1"/>
        <v>25.175724294254223</v>
      </c>
    </row>
    <row r="14" spans="1:13" x14ac:dyDescent="0.3">
      <c r="B14" s="106" t="s">
        <v>25</v>
      </c>
      <c r="C14" s="107">
        <v>164.131</v>
      </c>
      <c r="D14" s="107">
        <f>SUMIF('Modelled costs'!$B$7:$B$106,$B14,'Modelled costs'!$AD$7:$AD$106)</f>
        <v>143.10827836615266</v>
      </c>
      <c r="E14" s="108">
        <v>0</v>
      </c>
      <c r="F14" s="106"/>
      <c r="G14" s="172">
        <f t="shared" si="2"/>
        <v>143.10827836615266</v>
      </c>
      <c r="H14" s="109">
        <v>0</v>
      </c>
      <c r="I14" s="172">
        <f t="shared" si="0"/>
        <v>143.10827836615266</v>
      </c>
      <c r="J14" s="166"/>
      <c r="K14" s="156">
        <f t="shared" si="1"/>
        <v>21.02272163384734</v>
      </c>
    </row>
    <row r="15" spans="1:13" x14ac:dyDescent="0.3">
      <c r="B15" s="106" t="s">
        <v>26</v>
      </c>
      <c r="C15" s="107">
        <v>273.18634639456525</v>
      </c>
      <c r="D15" s="107">
        <f>SUMIF('Modelled costs'!$B$7:$B$106,$B15,'Modelled costs'!$AD$7:$AD$106)</f>
        <v>321.87385680869079</v>
      </c>
      <c r="E15" s="108">
        <v>0</v>
      </c>
      <c r="F15" s="106"/>
      <c r="G15" s="172">
        <f t="shared" si="2"/>
        <v>321.87385680869079</v>
      </c>
      <c r="H15" s="109">
        <v>0</v>
      </c>
      <c r="I15" s="172">
        <f t="shared" si="0"/>
        <v>321.87385680869079</v>
      </c>
      <c r="J15" s="166"/>
      <c r="K15" s="156">
        <f t="shared" si="1"/>
        <v>-48.687510414125541</v>
      </c>
    </row>
    <row r="16" spans="1:13" x14ac:dyDescent="0.3">
      <c r="B16" s="106" t="s">
        <v>27</v>
      </c>
      <c r="C16" s="107">
        <v>145.45699999999999</v>
      </c>
      <c r="D16" s="107">
        <f>SUMIF('Modelled costs'!$B$7:$B$106,$B16,'Modelled costs'!$AD$7:$AD$106)</f>
        <v>142.20550290072916</v>
      </c>
      <c r="E16" s="108">
        <v>0</v>
      </c>
      <c r="F16" s="106"/>
      <c r="G16" s="172">
        <f t="shared" si="2"/>
        <v>142.20550290072916</v>
      </c>
      <c r="H16" s="109">
        <v>0</v>
      </c>
      <c r="I16" s="172">
        <f t="shared" si="0"/>
        <v>142.20550290072916</v>
      </c>
      <c r="J16" s="166"/>
      <c r="K16" s="156">
        <f t="shared" si="1"/>
        <v>3.2514970992708356</v>
      </c>
    </row>
    <row r="17" spans="2:11" x14ac:dyDescent="0.3">
      <c r="B17" s="106" t="s">
        <v>28</v>
      </c>
      <c r="C17" s="107">
        <v>49.988</v>
      </c>
      <c r="D17" s="107">
        <f>SUMIF('Modelled costs'!$B$7:$B$106,$B17,'Modelled costs'!$AD$7:$AD$106)</f>
        <v>50.816126430813981</v>
      </c>
      <c r="E17" s="108">
        <v>0</v>
      </c>
      <c r="F17" s="106"/>
      <c r="G17" s="172">
        <f t="shared" si="2"/>
        <v>50.816126430813981</v>
      </c>
      <c r="H17" s="109">
        <v>0</v>
      </c>
      <c r="I17" s="172">
        <f t="shared" si="0"/>
        <v>50.816126430813981</v>
      </c>
      <c r="J17" s="166"/>
      <c r="K17" s="156">
        <f t="shared" si="1"/>
        <v>-0.82812643081398107</v>
      </c>
    </row>
    <row r="18" spans="2:11" x14ac:dyDescent="0.3">
      <c r="B18" s="106" t="s">
        <v>30</v>
      </c>
      <c r="C18" s="107">
        <v>23.462999999999994</v>
      </c>
      <c r="D18" s="107">
        <f>SUMIF('Modelled costs'!$B$7:$B$106,$B18,'Modelled costs'!$AD$7:$AD$106)</f>
        <v>21.329821590884482</v>
      </c>
      <c r="E18" s="108">
        <v>0</v>
      </c>
      <c r="F18" s="106"/>
      <c r="G18" s="172">
        <f t="shared" si="2"/>
        <v>21.329821590884482</v>
      </c>
      <c r="H18" s="109">
        <v>0</v>
      </c>
      <c r="I18" s="172">
        <f t="shared" si="0"/>
        <v>21.329821590884482</v>
      </c>
      <c r="J18" s="166"/>
      <c r="K18" s="156">
        <f t="shared" si="1"/>
        <v>2.1331784091155122</v>
      </c>
    </row>
    <row r="19" spans="2:11" x14ac:dyDescent="0.3">
      <c r="B19" s="106" t="s">
        <v>31</v>
      </c>
      <c r="C19" s="107">
        <v>35.34773215013675</v>
      </c>
      <c r="D19" s="107">
        <f>SUMIF('Modelled costs'!$B$7:$B$106,$B19,'Modelled costs'!$AD$7:$AD$106)</f>
        <v>27.776935698094171</v>
      </c>
      <c r="E19" s="108">
        <v>0</v>
      </c>
      <c r="F19" s="106"/>
      <c r="G19" s="172">
        <f t="shared" si="2"/>
        <v>27.776935698094171</v>
      </c>
      <c r="H19" s="109">
        <v>0</v>
      </c>
      <c r="I19" s="172">
        <f t="shared" si="0"/>
        <v>27.776935698094171</v>
      </c>
      <c r="J19" s="166"/>
      <c r="K19" s="156">
        <f t="shared" si="1"/>
        <v>7.570796452042579</v>
      </c>
    </row>
    <row r="20" spans="2:11" x14ac:dyDescent="0.3">
      <c r="B20" s="106" t="s">
        <v>32</v>
      </c>
      <c r="C20" s="107">
        <v>81.793000000000006</v>
      </c>
      <c r="D20" s="107">
        <f>SUMIF('Modelled costs'!$B$7:$B$106,$B20,'Modelled costs'!$AD$7:$AD$106)</f>
        <v>88.194670738527918</v>
      </c>
      <c r="E20" s="108">
        <v>0</v>
      </c>
      <c r="F20" s="106"/>
      <c r="G20" s="172">
        <f t="shared" si="2"/>
        <v>88.194670738527918</v>
      </c>
      <c r="H20" s="109">
        <v>0</v>
      </c>
      <c r="I20" s="172">
        <f t="shared" si="0"/>
        <v>88.194670738527918</v>
      </c>
      <c r="J20" s="166"/>
      <c r="K20" s="156">
        <f t="shared" si="1"/>
        <v>-6.4016707385279119</v>
      </c>
    </row>
    <row r="21" spans="2:11" x14ac:dyDescent="0.3">
      <c r="B21" s="106" t="s">
        <v>33</v>
      </c>
      <c r="C21" s="107">
        <v>59.494005573527403</v>
      </c>
      <c r="D21" s="107">
        <f>SUMIF('Modelled costs'!$B$7:$B$106,$B21,'Modelled costs'!$AD$7:$AD$106)</f>
        <v>62.312055112170761</v>
      </c>
      <c r="E21" s="108">
        <v>0</v>
      </c>
      <c r="F21" s="106"/>
      <c r="G21" s="172">
        <f t="shared" si="2"/>
        <v>62.312055112170761</v>
      </c>
      <c r="H21" s="109">
        <v>1.381195633074668E-5</v>
      </c>
      <c r="I21" s="172">
        <f t="shared" si="0"/>
        <v>62.31206892412709</v>
      </c>
      <c r="J21" s="166"/>
      <c r="K21" s="156">
        <f t="shared" si="1"/>
        <v>-2.8180633505996866</v>
      </c>
    </row>
    <row r="22" spans="2:11" x14ac:dyDescent="0.3">
      <c r="B22" s="91" t="s">
        <v>141</v>
      </c>
      <c r="C22" s="110">
        <f>SUM(C5:C21)</f>
        <v>3946.372940627376</v>
      </c>
      <c r="D22" s="110">
        <f>SUM(D5:D21)</f>
        <v>3851.6962071238599</v>
      </c>
      <c r="E22" s="171">
        <f t="shared" ref="E22" si="3">SUM(E5:E21)</f>
        <v>1.8819999999999999</v>
      </c>
      <c r="F22" s="91"/>
      <c r="G22" s="173">
        <f>SUM(G5:G21)</f>
        <v>3853.5782071238605</v>
      </c>
      <c r="H22" s="111">
        <f>SUM(H5:H21)</f>
        <v>1.381195633074668E-5</v>
      </c>
      <c r="I22" s="174">
        <f t="shared" si="0"/>
        <v>3853.5782209358167</v>
      </c>
      <c r="J22" s="166"/>
      <c r="K22" s="111">
        <f t="shared" si="1"/>
        <v>92.794719691559294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Inputs&gt;&gt;</vt:lpstr>
      <vt:lpstr>Inputs</vt:lpstr>
      <vt:lpstr>Controls</vt:lpstr>
      <vt:lpstr>BP costs</vt:lpstr>
      <vt:lpstr>Coeffs</vt:lpstr>
      <vt:lpstr>Drivers</vt:lpstr>
      <vt:lpstr>Modelled costs</vt:lpstr>
      <vt:lpstr>Final allowance</vt:lpstr>
      <vt:lpstr>Financial model inputs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2019-12-12T13:08:04Z</dcterms:created>
  <dcterms:modified xsi:type="dcterms:W3CDTF">2019-12-12T13:08:11Z</dcterms:modified>
</cp:coreProperties>
</file>