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bookViews>
    <workbookView xWindow="0" yWindow="0" windowWidth="12000" windowHeight="3360" tabRatio="763"/>
  </bookViews>
  <sheets>
    <sheet name="Cover" sheetId="89" r:id="rId1"/>
    <sheet name="Inputs&gt;&gt;" sheetId="15" r:id="rId2"/>
    <sheet name="Controls" sheetId="66" r:id="rId3"/>
    <sheet name="Inputs" sheetId="88" r:id="rId4"/>
    <sheet name="Forecast drivers" sheetId="67" r:id="rId5"/>
    <sheet name="Coeffs" sheetId="58" r:id="rId6"/>
    <sheet name="Outputs&gt;&gt;" sheetId="28" r:id="rId7"/>
    <sheet name="Modelled costs" sheetId="44" r:id="rId8"/>
    <sheet name="Final allowances" sheetId="84" r:id="rId9"/>
    <sheet name="PDR" sheetId="92" r:id="rId10"/>
    <sheet name="F_Outputs" sheetId="90"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92" l="1"/>
  <c r="K419" i="90" l="1"/>
  <c r="K394" i="90"/>
  <c r="K369" i="90"/>
  <c r="K344" i="90"/>
  <c r="K319" i="90"/>
  <c r="K294" i="90"/>
  <c r="K269" i="90"/>
  <c r="K244" i="90"/>
  <c r="K219" i="90"/>
  <c r="K194" i="90"/>
  <c r="K169" i="90"/>
  <c r="K144" i="90"/>
  <c r="K119" i="90"/>
  <c r="K94" i="90"/>
  <c r="K69" i="90"/>
  <c r="K44" i="90"/>
  <c r="K19" i="90"/>
  <c r="E18" i="66" l="1"/>
  <c r="D18" i="66"/>
  <c r="F12" i="66"/>
  <c r="G12" i="66" s="1"/>
  <c r="O88" i="84" l="1"/>
  <c r="K424" i="90" l="1"/>
  <c r="F424" i="90" s="1"/>
  <c r="G424" i="90" s="1"/>
  <c r="H424" i="90" s="1"/>
  <c r="I424" i="90" s="1"/>
  <c r="J424" i="90" s="1"/>
  <c r="K399" i="90"/>
  <c r="F399" i="90" s="1"/>
  <c r="G399" i="90" s="1"/>
  <c r="H399" i="90" s="1"/>
  <c r="I399" i="90" s="1"/>
  <c r="J399" i="90" s="1"/>
  <c r="K374" i="90"/>
  <c r="F374" i="90" s="1"/>
  <c r="G374" i="90" s="1"/>
  <c r="H374" i="90" s="1"/>
  <c r="I374" i="90" s="1"/>
  <c r="J374" i="90" s="1"/>
  <c r="K324" i="90"/>
  <c r="F324" i="90" s="1"/>
  <c r="G324" i="90" s="1"/>
  <c r="H324" i="90" s="1"/>
  <c r="I324" i="90" s="1"/>
  <c r="J324" i="90" s="1"/>
  <c r="K299" i="90"/>
  <c r="F299" i="90" s="1"/>
  <c r="G299" i="90" s="1"/>
  <c r="H299" i="90" s="1"/>
  <c r="I299" i="90" s="1"/>
  <c r="J299" i="90" s="1"/>
  <c r="K274" i="90"/>
  <c r="F274" i="90" s="1"/>
  <c r="G274" i="90" s="1"/>
  <c r="H274" i="90" s="1"/>
  <c r="I274" i="90" s="1"/>
  <c r="J274" i="90" s="1"/>
  <c r="K249" i="90"/>
  <c r="F249" i="90" s="1"/>
  <c r="G249" i="90" s="1"/>
  <c r="H249" i="90" s="1"/>
  <c r="I249" i="90" s="1"/>
  <c r="J249" i="90" s="1"/>
  <c r="K224" i="90"/>
  <c r="F224" i="90" s="1"/>
  <c r="G224" i="90" s="1"/>
  <c r="H224" i="90" s="1"/>
  <c r="I224" i="90" s="1"/>
  <c r="J224" i="90" s="1"/>
  <c r="K199" i="90"/>
  <c r="F199" i="90" s="1"/>
  <c r="G199" i="90" s="1"/>
  <c r="H199" i="90" s="1"/>
  <c r="I199" i="90" s="1"/>
  <c r="J199" i="90" s="1"/>
  <c r="K174" i="90"/>
  <c r="F174" i="90" s="1"/>
  <c r="G174" i="90" s="1"/>
  <c r="H174" i="90" s="1"/>
  <c r="I174" i="90" s="1"/>
  <c r="J174" i="90" s="1"/>
  <c r="K149" i="90"/>
  <c r="F149" i="90" s="1"/>
  <c r="G149" i="90" s="1"/>
  <c r="H149" i="90" s="1"/>
  <c r="I149" i="90" s="1"/>
  <c r="J149" i="90" s="1"/>
  <c r="K124" i="90"/>
  <c r="F124" i="90" s="1"/>
  <c r="G124" i="90" s="1"/>
  <c r="H124" i="90" s="1"/>
  <c r="I124" i="90" s="1"/>
  <c r="J124" i="90" s="1"/>
  <c r="K99" i="90"/>
  <c r="F99" i="90" s="1"/>
  <c r="G99" i="90" s="1"/>
  <c r="H99" i="90" s="1"/>
  <c r="I99" i="90" s="1"/>
  <c r="J99" i="90" s="1"/>
  <c r="K74" i="90"/>
  <c r="F74" i="90" s="1"/>
  <c r="G74" i="90" s="1"/>
  <c r="H74" i="90" s="1"/>
  <c r="I74" i="90" s="1"/>
  <c r="J74" i="90" s="1"/>
  <c r="K49" i="90"/>
  <c r="F49" i="90" s="1"/>
  <c r="G49" i="90" s="1"/>
  <c r="H49" i="90" s="1"/>
  <c r="I49" i="90" s="1"/>
  <c r="J49" i="90" s="1"/>
  <c r="K24" i="90" l="1"/>
  <c r="F24" i="90" s="1"/>
  <c r="G24" i="90" s="1"/>
  <c r="H24" i="90" s="1"/>
  <c r="I24" i="90" s="1"/>
  <c r="J24" i="90" s="1"/>
  <c r="F17" i="66" l="1"/>
  <c r="F16" i="66"/>
  <c r="F15" i="66"/>
  <c r="F13" i="66"/>
  <c r="F14" i="66"/>
  <c r="G13" i="66" l="1"/>
  <c r="F18" i="66"/>
  <c r="G16" i="66"/>
  <c r="G14" i="66"/>
  <c r="G15" i="66"/>
  <c r="G17" i="66"/>
  <c r="K427" i="90"/>
  <c r="J427" i="90"/>
  <c r="I427" i="90"/>
  <c r="H427" i="90"/>
  <c r="G427" i="90"/>
  <c r="F427" i="90"/>
  <c r="K402" i="90"/>
  <c r="J402" i="90"/>
  <c r="I402" i="90"/>
  <c r="H402" i="90"/>
  <c r="G402" i="90"/>
  <c r="F402" i="90"/>
  <c r="K377" i="90"/>
  <c r="J377" i="90"/>
  <c r="I377" i="90"/>
  <c r="H377" i="90"/>
  <c r="G377" i="90"/>
  <c r="F377" i="90"/>
  <c r="K352" i="90"/>
  <c r="J352" i="90"/>
  <c r="I352" i="90"/>
  <c r="H352" i="90"/>
  <c r="G352" i="90"/>
  <c r="F352" i="90"/>
  <c r="K327" i="90"/>
  <c r="J327" i="90"/>
  <c r="I327" i="90"/>
  <c r="H327" i="90"/>
  <c r="G327" i="90"/>
  <c r="F327" i="90"/>
  <c r="K302" i="90"/>
  <c r="J302" i="90"/>
  <c r="I302" i="90"/>
  <c r="H302" i="90"/>
  <c r="G302" i="90"/>
  <c r="F302" i="90"/>
  <c r="K277" i="90"/>
  <c r="J277" i="90"/>
  <c r="I277" i="90"/>
  <c r="H277" i="90"/>
  <c r="G277" i="90"/>
  <c r="F277" i="90"/>
  <c r="K252" i="90"/>
  <c r="J252" i="90"/>
  <c r="I252" i="90"/>
  <c r="H252" i="90"/>
  <c r="G252" i="90"/>
  <c r="F252" i="90"/>
  <c r="K227" i="90"/>
  <c r="J227" i="90"/>
  <c r="I227" i="90"/>
  <c r="H227" i="90"/>
  <c r="G227" i="90"/>
  <c r="F227" i="90"/>
  <c r="K202" i="90"/>
  <c r="J202" i="90"/>
  <c r="I202" i="90"/>
  <c r="H202" i="90"/>
  <c r="G202" i="90"/>
  <c r="F202" i="90"/>
  <c r="K177" i="90"/>
  <c r="J177" i="90"/>
  <c r="I177" i="90"/>
  <c r="H177" i="90"/>
  <c r="G177" i="90"/>
  <c r="F177" i="90"/>
  <c r="K152" i="90"/>
  <c r="J152" i="90"/>
  <c r="I152" i="90"/>
  <c r="H152" i="90"/>
  <c r="G152" i="90"/>
  <c r="F152" i="90"/>
  <c r="K127" i="90"/>
  <c r="J127" i="90"/>
  <c r="I127" i="90"/>
  <c r="H127" i="90"/>
  <c r="G127" i="90"/>
  <c r="F127" i="90"/>
  <c r="K102" i="90"/>
  <c r="J102" i="90"/>
  <c r="I102" i="90"/>
  <c r="H102" i="90"/>
  <c r="G102" i="90"/>
  <c r="F102" i="90"/>
  <c r="K77" i="90"/>
  <c r="J77" i="90"/>
  <c r="I77" i="90"/>
  <c r="H77" i="90"/>
  <c r="G77" i="90"/>
  <c r="F77" i="90"/>
  <c r="K52" i="90"/>
  <c r="J52" i="90"/>
  <c r="I52" i="90"/>
  <c r="H52" i="90"/>
  <c r="G52" i="90"/>
  <c r="F52" i="90"/>
  <c r="G27" i="90"/>
  <c r="H27" i="90"/>
  <c r="I27" i="90"/>
  <c r="J27" i="90"/>
  <c r="K27" i="90"/>
  <c r="F27" i="90"/>
  <c r="G18" i="66" l="1"/>
  <c r="J421" i="90" l="1"/>
  <c r="J420" i="90"/>
  <c r="I421" i="90"/>
  <c r="I420" i="90"/>
  <c r="H421" i="90"/>
  <c r="H420" i="90"/>
  <c r="G421" i="90"/>
  <c r="G420" i="90"/>
  <c r="F421" i="90"/>
  <c r="F420" i="90"/>
  <c r="J396" i="90"/>
  <c r="J395" i="90"/>
  <c r="I396" i="90"/>
  <c r="I395" i="90"/>
  <c r="H396" i="90"/>
  <c r="H395" i="90"/>
  <c r="G396" i="90"/>
  <c r="G395" i="90"/>
  <c r="F396" i="90"/>
  <c r="F395" i="90"/>
  <c r="J371" i="90"/>
  <c r="J370" i="90"/>
  <c r="I371" i="90"/>
  <c r="I370" i="90"/>
  <c r="H371" i="90"/>
  <c r="H370" i="90"/>
  <c r="G371" i="90"/>
  <c r="G370" i="90"/>
  <c r="F371" i="90"/>
  <c r="F370" i="90"/>
  <c r="J346" i="90"/>
  <c r="J345" i="90"/>
  <c r="I346" i="90"/>
  <c r="I345" i="90"/>
  <c r="H346" i="90"/>
  <c r="H345" i="90"/>
  <c r="G346" i="90"/>
  <c r="G345" i="90"/>
  <c r="F346" i="90"/>
  <c r="F345" i="90"/>
  <c r="J321" i="90"/>
  <c r="J320" i="90"/>
  <c r="I321" i="90"/>
  <c r="I320" i="90"/>
  <c r="H321" i="90"/>
  <c r="H320" i="90"/>
  <c r="G321" i="90"/>
  <c r="G320" i="90"/>
  <c r="F321" i="90"/>
  <c r="F320" i="90"/>
  <c r="J296" i="90"/>
  <c r="J295" i="90"/>
  <c r="I296" i="90"/>
  <c r="I295" i="90"/>
  <c r="H296" i="90"/>
  <c r="H295" i="90"/>
  <c r="G296" i="90"/>
  <c r="G295" i="90"/>
  <c r="F296" i="90"/>
  <c r="F295" i="90"/>
  <c r="J46" i="90"/>
  <c r="J45" i="90"/>
  <c r="I46" i="90"/>
  <c r="I45" i="90"/>
  <c r="H46" i="90"/>
  <c r="H45" i="90"/>
  <c r="G46" i="90"/>
  <c r="G45" i="90"/>
  <c r="F46" i="90"/>
  <c r="F45" i="90"/>
  <c r="J146" i="90"/>
  <c r="J145" i="90"/>
  <c r="I146" i="90"/>
  <c r="I145" i="90"/>
  <c r="H146" i="90"/>
  <c r="H145" i="90"/>
  <c r="G146" i="90"/>
  <c r="G145" i="90"/>
  <c r="F146" i="90"/>
  <c r="F145" i="90"/>
  <c r="J271" i="90"/>
  <c r="J270" i="90"/>
  <c r="I271" i="90"/>
  <c r="I270" i="90"/>
  <c r="H271" i="90"/>
  <c r="H270" i="90"/>
  <c r="G271" i="90"/>
  <c r="G270" i="90"/>
  <c r="F271" i="90"/>
  <c r="F270" i="90"/>
  <c r="J246" i="90"/>
  <c r="J245" i="90"/>
  <c r="I246" i="90"/>
  <c r="I245" i="90"/>
  <c r="H246" i="90"/>
  <c r="H245" i="90"/>
  <c r="G246" i="90"/>
  <c r="G245" i="90"/>
  <c r="F246" i="90"/>
  <c r="F245" i="90"/>
  <c r="J221" i="90"/>
  <c r="J220" i="90"/>
  <c r="I221" i="90"/>
  <c r="I220" i="90"/>
  <c r="H221" i="90"/>
  <c r="H220" i="90"/>
  <c r="G221" i="90"/>
  <c r="G220" i="90"/>
  <c r="F221" i="90"/>
  <c r="F220" i="90"/>
  <c r="J196" i="90"/>
  <c r="J195" i="90"/>
  <c r="I196" i="90"/>
  <c r="I195" i="90"/>
  <c r="H196" i="90"/>
  <c r="H195" i="90"/>
  <c r="G196" i="90"/>
  <c r="G195" i="90"/>
  <c r="F196" i="90"/>
  <c r="F195" i="90"/>
  <c r="J171" i="90"/>
  <c r="J170" i="90"/>
  <c r="I171" i="90"/>
  <c r="I170" i="90"/>
  <c r="H171" i="90"/>
  <c r="H170" i="90"/>
  <c r="G171" i="90"/>
  <c r="G170" i="90"/>
  <c r="F171" i="90"/>
  <c r="F170" i="90"/>
  <c r="J121" i="90"/>
  <c r="J120" i="90"/>
  <c r="I121" i="90"/>
  <c r="I120" i="90"/>
  <c r="H121" i="90"/>
  <c r="H120" i="90"/>
  <c r="G121" i="90"/>
  <c r="G120" i="90"/>
  <c r="F121" i="90"/>
  <c r="F120" i="90"/>
  <c r="J96" i="90"/>
  <c r="J95" i="90"/>
  <c r="I96" i="90"/>
  <c r="I95" i="90"/>
  <c r="H96" i="90"/>
  <c r="H95" i="90"/>
  <c r="G96" i="90"/>
  <c r="G95" i="90"/>
  <c r="F96" i="90"/>
  <c r="F95" i="90"/>
  <c r="J71" i="90"/>
  <c r="J70" i="90"/>
  <c r="I71" i="90"/>
  <c r="I70" i="90"/>
  <c r="H71" i="90"/>
  <c r="H70" i="90"/>
  <c r="G71" i="90"/>
  <c r="G70" i="90"/>
  <c r="F71" i="90"/>
  <c r="F70" i="90"/>
  <c r="J21" i="90"/>
  <c r="J20" i="90"/>
  <c r="I21" i="90"/>
  <c r="I20" i="90"/>
  <c r="H21" i="90"/>
  <c r="H20" i="90"/>
  <c r="G21" i="90"/>
  <c r="G20" i="90"/>
  <c r="F21" i="90"/>
  <c r="F20" i="90"/>
  <c r="B46" i="90" l="1"/>
  <c r="B71" i="90" s="1"/>
  <c r="B96" i="90" s="1"/>
  <c r="B121" i="90" s="1"/>
  <c r="B146" i="90" s="1"/>
  <c r="B171" i="90" s="1"/>
  <c r="B196" i="90" s="1"/>
  <c r="B221" i="90" s="1"/>
  <c r="B246" i="90" s="1"/>
  <c r="B271" i="90" s="1"/>
  <c r="B296" i="90" s="1"/>
  <c r="B321" i="90" s="1"/>
  <c r="B346" i="90" s="1"/>
  <c r="B371" i="90" s="1"/>
  <c r="B396" i="90" s="1"/>
  <c r="B421" i="90" s="1"/>
  <c r="B45" i="90"/>
  <c r="B70" i="90" s="1"/>
  <c r="B95" i="90" s="1"/>
  <c r="B120" i="90" s="1"/>
  <c r="B145" i="90" s="1"/>
  <c r="B170" i="90" s="1"/>
  <c r="B195" i="90" s="1"/>
  <c r="B220" i="90" s="1"/>
  <c r="B245" i="90" s="1"/>
  <c r="B270" i="90" s="1"/>
  <c r="B295" i="90" s="1"/>
  <c r="B320" i="90" s="1"/>
  <c r="B345" i="90" s="1"/>
  <c r="B370" i="90" s="1"/>
  <c r="B395" i="90" s="1"/>
  <c r="B420" i="90" s="1"/>
  <c r="B42" i="90"/>
  <c r="B67" i="90" s="1"/>
  <c r="B92" i="90" s="1"/>
  <c r="B117" i="90" s="1"/>
  <c r="B142" i="90" s="1"/>
  <c r="B167" i="90" s="1"/>
  <c r="B192" i="90" s="1"/>
  <c r="B217" i="90" s="1"/>
  <c r="B242" i="90" s="1"/>
  <c r="B267" i="90" s="1"/>
  <c r="B292" i="90" s="1"/>
  <c r="B317" i="90" s="1"/>
  <c r="B342" i="90" s="1"/>
  <c r="B367" i="90" s="1"/>
  <c r="B392" i="90" s="1"/>
  <c r="B417" i="90" s="1"/>
  <c r="B41" i="90"/>
  <c r="B40" i="90"/>
  <c r="B65" i="90" s="1"/>
  <c r="B90" i="90" s="1"/>
  <c r="B115" i="90" s="1"/>
  <c r="B140" i="90" s="1"/>
  <c r="B165" i="90" s="1"/>
  <c r="B190" i="90" s="1"/>
  <c r="B215" i="90" s="1"/>
  <c r="B240" i="90" s="1"/>
  <c r="B265" i="90" s="1"/>
  <c r="B290" i="90" s="1"/>
  <c r="B315" i="90" s="1"/>
  <c r="B340" i="90" s="1"/>
  <c r="B365" i="90" s="1"/>
  <c r="B390" i="90" s="1"/>
  <c r="B415" i="90" s="1"/>
  <c r="B39" i="90"/>
  <c r="B64" i="90" s="1"/>
  <c r="B89" i="90" s="1"/>
  <c r="B114" i="90" s="1"/>
  <c r="B139" i="90" s="1"/>
  <c r="B164" i="90" s="1"/>
  <c r="B189" i="90" s="1"/>
  <c r="B214" i="90" s="1"/>
  <c r="B239" i="90" s="1"/>
  <c r="B264" i="90" s="1"/>
  <c r="B289" i="90" s="1"/>
  <c r="B314" i="90" s="1"/>
  <c r="B339" i="90" s="1"/>
  <c r="B364" i="90" s="1"/>
  <c r="B389" i="90" s="1"/>
  <c r="B414" i="90" s="1"/>
  <c r="B38" i="90"/>
  <c r="B63" i="90" s="1"/>
  <c r="B88" i="90" s="1"/>
  <c r="B113" i="90" s="1"/>
  <c r="B138" i="90" s="1"/>
  <c r="B163" i="90" s="1"/>
  <c r="B188" i="90" s="1"/>
  <c r="B213" i="90" s="1"/>
  <c r="B238" i="90" s="1"/>
  <c r="B263" i="90" s="1"/>
  <c r="B288" i="90" s="1"/>
  <c r="B313" i="90" s="1"/>
  <c r="B338" i="90" s="1"/>
  <c r="B363" i="90" s="1"/>
  <c r="B388" i="90" s="1"/>
  <c r="B413" i="90" s="1"/>
  <c r="B37" i="90"/>
  <c r="B62" i="90" s="1"/>
  <c r="B87" i="90" s="1"/>
  <c r="B112" i="90" s="1"/>
  <c r="B137" i="90" s="1"/>
  <c r="B162" i="90" s="1"/>
  <c r="B187" i="90" s="1"/>
  <c r="B212" i="90" s="1"/>
  <c r="B237" i="90" s="1"/>
  <c r="B262" i="90" s="1"/>
  <c r="B287" i="90" s="1"/>
  <c r="B312" i="90" s="1"/>
  <c r="B337" i="90" s="1"/>
  <c r="B362" i="90" s="1"/>
  <c r="B387" i="90" s="1"/>
  <c r="B412" i="90" s="1"/>
  <c r="B36" i="90"/>
  <c r="B61" i="90" s="1"/>
  <c r="B86" i="90" s="1"/>
  <c r="B111" i="90" s="1"/>
  <c r="B136" i="90" s="1"/>
  <c r="B161" i="90" s="1"/>
  <c r="B186" i="90" s="1"/>
  <c r="B211" i="90" s="1"/>
  <c r="B236" i="90" s="1"/>
  <c r="B261" i="90" s="1"/>
  <c r="B286" i="90" s="1"/>
  <c r="B311" i="90" s="1"/>
  <c r="B336" i="90" s="1"/>
  <c r="B361" i="90" s="1"/>
  <c r="B386" i="90" s="1"/>
  <c r="B411" i="90" s="1"/>
  <c r="B35" i="90"/>
  <c r="B60" i="90" s="1"/>
  <c r="B85" i="90" s="1"/>
  <c r="B110" i="90" s="1"/>
  <c r="B135" i="90" s="1"/>
  <c r="B160" i="90" s="1"/>
  <c r="B185" i="90" s="1"/>
  <c r="B210" i="90" s="1"/>
  <c r="B235" i="90" s="1"/>
  <c r="B260" i="90" s="1"/>
  <c r="B285" i="90" s="1"/>
  <c r="B310" i="90" s="1"/>
  <c r="B335" i="90" s="1"/>
  <c r="B360" i="90" s="1"/>
  <c r="B385" i="90" s="1"/>
  <c r="B410" i="90" s="1"/>
  <c r="B30" i="90"/>
  <c r="B55" i="90" s="1"/>
  <c r="B80" i="90" s="1"/>
  <c r="B105" i="90" s="1"/>
  <c r="B130" i="90" s="1"/>
  <c r="B155" i="90" s="1"/>
  <c r="B180" i="90" s="1"/>
  <c r="B205" i="90" s="1"/>
  <c r="B230" i="90" s="1"/>
  <c r="B255" i="90" s="1"/>
  <c r="B280" i="90" s="1"/>
  <c r="B305" i="90" s="1"/>
  <c r="B330" i="90" s="1"/>
  <c r="B355" i="90" s="1"/>
  <c r="B380" i="90" s="1"/>
  <c r="B405" i="90" s="1"/>
  <c r="B29" i="90"/>
  <c r="B54" i="90" s="1"/>
  <c r="B79" i="90" s="1"/>
  <c r="B104" i="90" s="1"/>
  <c r="B129" i="90" s="1"/>
  <c r="B154" i="90" s="1"/>
  <c r="B179" i="90" s="1"/>
  <c r="B204" i="90" s="1"/>
  <c r="B229" i="90" s="1"/>
  <c r="B254" i="90" s="1"/>
  <c r="B279" i="90" s="1"/>
  <c r="B304" i="90" s="1"/>
  <c r="B329" i="90" s="1"/>
  <c r="B354" i="90" s="1"/>
  <c r="B379" i="90" s="1"/>
  <c r="B404" i="90" s="1"/>
  <c r="B66" i="90" l="1"/>
  <c r="B91" i="90" s="1"/>
  <c r="B116" i="90" s="1"/>
  <c r="B141" i="90" s="1"/>
  <c r="B166" i="90" s="1"/>
  <c r="B191" i="90" s="1"/>
  <c r="B216" i="90" s="1"/>
  <c r="B241" i="90" s="1"/>
  <c r="B266" i="90" s="1"/>
  <c r="B291" i="90" s="1"/>
  <c r="B316" i="90" s="1"/>
  <c r="B341" i="90" s="1"/>
  <c r="B366" i="90" s="1"/>
  <c r="B391" i="90" s="1"/>
  <c r="B416" i="90" s="1"/>
  <c r="K316" i="90" l="1"/>
  <c r="K391" i="90"/>
  <c r="K291" i="90"/>
  <c r="K191" i="90"/>
  <c r="K91" i="90"/>
  <c r="K416" i="90"/>
  <c r="K366" i="90"/>
  <c r="K266" i="90"/>
  <c r="K166" i="90"/>
  <c r="K66" i="90"/>
  <c r="K241" i="90"/>
  <c r="K141" i="90"/>
  <c r="K41" i="90"/>
  <c r="K341" i="90"/>
  <c r="K216" i="90"/>
  <c r="K116" i="90"/>
  <c r="K16" i="90"/>
  <c r="L88" i="84"/>
  <c r="K349" i="90" l="1"/>
  <c r="F349" i="90" s="1"/>
  <c r="G349" i="90" s="1"/>
  <c r="H349" i="90" s="1"/>
  <c r="I349" i="90" s="1"/>
  <c r="J349" i="90" s="1"/>
  <c r="K42" i="90" l="1"/>
  <c r="K142" i="90"/>
  <c r="K342" i="90"/>
  <c r="K167" i="90"/>
  <c r="K192" i="90"/>
  <c r="K242" i="90"/>
  <c r="K67" i="90"/>
  <c r="K267" i="90"/>
  <c r="K367" i="90"/>
  <c r="K92" i="90"/>
  <c r="K292" i="90"/>
  <c r="K392" i="90"/>
  <c r="K17" i="90"/>
  <c r="K117" i="90"/>
  <c r="K217" i="90"/>
  <c r="K317" i="90"/>
  <c r="K417" i="90"/>
  <c r="M88" i="84"/>
  <c r="N87" i="84"/>
  <c r="N86" i="84"/>
  <c r="N85" i="84"/>
  <c r="N84" i="84"/>
  <c r="N83" i="84"/>
  <c r="N82" i="84"/>
  <c r="N81" i="84"/>
  <c r="N80" i="84"/>
  <c r="N79" i="84"/>
  <c r="N78" i="84"/>
  <c r="N77" i="84"/>
  <c r="N76" i="84"/>
  <c r="N75" i="84"/>
  <c r="N74" i="84"/>
  <c r="N73" i="84"/>
  <c r="N72" i="84"/>
  <c r="I44" i="84" l="1"/>
  <c r="N71" i="84" l="1"/>
  <c r="N88" i="84" s="1"/>
  <c r="E23" i="84" l="1"/>
  <c r="C96" i="67" l="1"/>
  <c r="C97" i="67"/>
  <c r="C98" i="67"/>
  <c r="C99" i="67"/>
  <c r="C100" i="67"/>
  <c r="C101" i="67"/>
  <c r="C102" i="67"/>
  <c r="C103" i="67"/>
  <c r="C104" i="67"/>
  <c r="C105" i="67"/>
  <c r="C10" i="66" l="1"/>
  <c r="B91" i="44" l="1"/>
  <c r="A91" i="44"/>
  <c r="B90" i="44"/>
  <c r="A90" i="44"/>
  <c r="B89" i="44"/>
  <c r="A89" i="44"/>
  <c r="B88" i="44"/>
  <c r="A88" i="44"/>
  <c r="B87" i="44"/>
  <c r="A87" i="44"/>
  <c r="B86" i="44"/>
  <c r="A86" i="44"/>
  <c r="B85" i="44"/>
  <c r="A85" i="44"/>
  <c r="B84" i="44"/>
  <c r="A84" i="44"/>
  <c r="B83" i="44"/>
  <c r="A83" i="44"/>
  <c r="B82" i="44"/>
  <c r="A82" i="44"/>
  <c r="B81" i="44"/>
  <c r="A81" i="44"/>
  <c r="B80" i="44"/>
  <c r="A80" i="44"/>
  <c r="B79" i="44"/>
  <c r="A79" i="44"/>
  <c r="B78" i="44"/>
  <c r="A78" i="44"/>
  <c r="B77" i="44"/>
  <c r="A77" i="44"/>
  <c r="B76" i="44"/>
  <c r="A76" i="44"/>
  <c r="B75" i="44"/>
  <c r="A75" i="44"/>
  <c r="B74" i="44"/>
  <c r="A74" i="44"/>
  <c r="B73" i="44"/>
  <c r="A73" i="44"/>
  <c r="B72" i="44"/>
  <c r="A72" i="44"/>
  <c r="B71" i="44"/>
  <c r="A71" i="44"/>
  <c r="B70" i="44"/>
  <c r="A70" i="44"/>
  <c r="B69" i="44"/>
  <c r="A69" i="44"/>
  <c r="B68" i="44"/>
  <c r="A68" i="44"/>
  <c r="B67" i="44"/>
  <c r="A67" i="44"/>
  <c r="B66" i="44"/>
  <c r="A66" i="44"/>
  <c r="B65" i="44"/>
  <c r="A65" i="44"/>
  <c r="B64" i="44"/>
  <c r="A64" i="44"/>
  <c r="B63" i="44"/>
  <c r="A63" i="44"/>
  <c r="B62" i="44"/>
  <c r="A62" i="44"/>
  <c r="B61" i="44"/>
  <c r="A61" i="44"/>
  <c r="B60" i="44"/>
  <c r="A60" i="44"/>
  <c r="B59" i="44"/>
  <c r="A59" i="44"/>
  <c r="B58" i="44"/>
  <c r="A58" i="44"/>
  <c r="B57" i="44"/>
  <c r="A57" i="44"/>
  <c r="B56" i="44"/>
  <c r="A56" i="44"/>
  <c r="B55" i="44"/>
  <c r="A55" i="44"/>
  <c r="B54" i="44"/>
  <c r="A54" i="44"/>
  <c r="B53" i="44"/>
  <c r="A53" i="44"/>
  <c r="B52" i="44"/>
  <c r="A52" i="44"/>
  <c r="B51" i="44"/>
  <c r="A51" i="44"/>
  <c r="B50" i="44"/>
  <c r="A50" i="44"/>
  <c r="B49" i="44"/>
  <c r="A49" i="44"/>
  <c r="B48" i="44"/>
  <c r="A48" i="44"/>
  <c r="B47" i="44"/>
  <c r="A47" i="44"/>
  <c r="B46" i="44"/>
  <c r="A46" i="44"/>
  <c r="B45" i="44"/>
  <c r="A45" i="44"/>
  <c r="B44" i="44"/>
  <c r="A44" i="44"/>
  <c r="B43" i="44"/>
  <c r="A43" i="44"/>
  <c r="B42" i="44"/>
  <c r="A42" i="44"/>
  <c r="B41" i="44"/>
  <c r="A41" i="44"/>
  <c r="B40" i="44"/>
  <c r="A40" i="44"/>
  <c r="B39" i="44"/>
  <c r="A39" i="44"/>
  <c r="B38" i="44"/>
  <c r="A38" i="44"/>
  <c r="B37" i="44"/>
  <c r="A37" i="44"/>
  <c r="B36" i="44"/>
  <c r="A36" i="44"/>
  <c r="B35" i="44"/>
  <c r="A35" i="44"/>
  <c r="B34" i="44"/>
  <c r="A34" i="44"/>
  <c r="B33" i="44"/>
  <c r="A33" i="44"/>
  <c r="B32" i="44"/>
  <c r="A32" i="44"/>
  <c r="B31" i="44"/>
  <c r="A31" i="44"/>
  <c r="B30" i="44"/>
  <c r="A30" i="44"/>
  <c r="B29" i="44"/>
  <c r="A29" i="44"/>
  <c r="B28" i="44"/>
  <c r="A28" i="44"/>
  <c r="B27" i="44"/>
  <c r="A27" i="44"/>
  <c r="B26" i="44"/>
  <c r="A26" i="44"/>
  <c r="B25" i="44"/>
  <c r="A25" i="44"/>
  <c r="B24" i="44"/>
  <c r="A24" i="44"/>
  <c r="B23" i="44"/>
  <c r="A23" i="44"/>
  <c r="B22" i="44"/>
  <c r="A22" i="44"/>
  <c r="B21" i="44"/>
  <c r="A21" i="44"/>
  <c r="B20" i="44"/>
  <c r="A20" i="44"/>
  <c r="B19" i="44"/>
  <c r="A19" i="44"/>
  <c r="B18" i="44"/>
  <c r="A18" i="44"/>
  <c r="B17" i="44"/>
  <c r="A17" i="44"/>
  <c r="B16" i="44"/>
  <c r="A16" i="44"/>
  <c r="B15" i="44"/>
  <c r="A15" i="44"/>
  <c r="B14" i="44"/>
  <c r="A14" i="44"/>
  <c r="B13" i="44"/>
  <c r="A13" i="44"/>
  <c r="B12" i="44"/>
  <c r="A12" i="44"/>
  <c r="B11" i="44"/>
  <c r="A11" i="44"/>
  <c r="B10" i="44"/>
  <c r="A10" i="44"/>
  <c r="B9" i="44"/>
  <c r="A9" i="44"/>
  <c r="B8" i="44"/>
  <c r="A8" i="44"/>
  <c r="B7" i="44"/>
  <c r="C6" i="44"/>
  <c r="B6" i="44"/>
  <c r="A6" i="44"/>
  <c r="C95" i="67" l="1"/>
  <c r="C94" i="67"/>
  <c r="C93" i="67"/>
  <c r="C92" i="67"/>
  <c r="C91" i="67"/>
  <c r="C90" i="67"/>
  <c r="C91" i="44" s="1"/>
  <c r="C89" i="67"/>
  <c r="C90" i="44" s="1"/>
  <c r="C88" i="67"/>
  <c r="C89" i="44" s="1"/>
  <c r="C87" i="67"/>
  <c r="C88" i="44" s="1"/>
  <c r="C86" i="67"/>
  <c r="C87" i="44" s="1"/>
  <c r="C85" i="67"/>
  <c r="C86" i="44" s="1"/>
  <c r="C84" i="67"/>
  <c r="C85" i="44" s="1"/>
  <c r="C83" i="67"/>
  <c r="C84" i="44" s="1"/>
  <c r="C82" i="67"/>
  <c r="C83" i="44" s="1"/>
  <c r="C81" i="67"/>
  <c r="C82" i="44" s="1"/>
  <c r="C80" i="67"/>
  <c r="C81" i="44" s="1"/>
  <c r="C79" i="67"/>
  <c r="C80" i="44" s="1"/>
  <c r="C78" i="67"/>
  <c r="C79" i="44" s="1"/>
  <c r="C77" i="67"/>
  <c r="C78" i="44" s="1"/>
  <c r="C76" i="67"/>
  <c r="C77" i="44" s="1"/>
  <c r="C75" i="67"/>
  <c r="C76" i="44" s="1"/>
  <c r="C74" i="67"/>
  <c r="C75" i="44" s="1"/>
  <c r="C73" i="67"/>
  <c r="C74" i="44" s="1"/>
  <c r="C72" i="67"/>
  <c r="C73" i="44" s="1"/>
  <c r="C71" i="67"/>
  <c r="C72" i="44" s="1"/>
  <c r="C70" i="67"/>
  <c r="C71" i="44" s="1"/>
  <c r="C69" i="67"/>
  <c r="C70" i="44" s="1"/>
  <c r="C68" i="67"/>
  <c r="C69" i="44" s="1"/>
  <c r="C67" i="67"/>
  <c r="C68" i="44" s="1"/>
  <c r="C66" i="67"/>
  <c r="C67" i="44" s="1"/>
  <c r="C65" i="67"/>
  <c r="C66" i="44" s="1"/>
  <c r="C64" i="67"/>
  <c r="C65" i="44" s="1"/>
  <c r="C63" i="67"/>
  <c r="C64" i="44" s="1"/>
  <c r="C62" i="67"/>
  <c r="C63" i="44" s="1"/>
  <c r="C61" i="67"/>
  <c r="C62" i="44" s="1"/>
  <c r="C60" i="67"/>
  <c r="C61" i="44" s="1"/>
  <c r="C59" i="67"/>
  <c r="C60" i="44" s="1"/>
  <c r="C58" i="67"/>
  <c r="C59" i="44" s="1"/>
  <c r="C57" i="67"/>
  <c r="C58" i="44" s="1"/>
  <c r="C56" i="67"/>
  <c r="C57" i="44" s="1"/>
  <c r="C55" i="67"/>
  <c r="C56" i="44" s="1"/>
  <c r="C54" i="67"/>
  <c r="C55" i="44" s="1"/>
  <c r="C53" i="67"/>
  <c r="C54" i="44" s="1"/>
  <c r="C52" i="67"/>
  <c r="C53" i="44" s="1"/>
  <c r="C51" i="67"/>
  <c r="C52" i="44" s="1"/>
  <c r="C50" i="67"/>
  <c r="C51" i="44" s="1"/>
  <c r="C49" i="67"/>
  <c r="C50" i="44" s="1"/>
  <c r="C48" i="67"/>
  <c r="C49" i="44" s="1"/>
  <c r="C47" i="67"/>
  <c r="C48" i="44" s="1"/>
  <c r="C46" i="67"/>
  <c r="C47" i="44" s="1"/>
  <c r="C45" i="67"/>
  <c r="C46" i="44" s="1"/>
  <c r="C44" i="67"/>
  <c r="C45" i="44" s="1"/>
  <c r="C43" i="67"/>
  <c r="C44" i="44" s="1"/>
  <c r="C42" i="67"/>
  <c r="C43" i="44" s="1"/>
  <c r="C41" i="67"/>
  <c r="C42" i="44" s="1"/>
  <c r="C40" i="67"/>
  <c r="C41" i="44" s="1"/>
  <c r="C39" i="67"/>
  <c r="C40" i="44" s="1"/>
  <c r="C38" i="67"/>
  <c r="C39" i="44" s="1"/>
  <c r="C37" i="67"/>
  <c r="C38" i="44" s="1"/>
  <c r="C36" i="67"/>
  <c r="C37" i="44" s="1"/>
  <c r="C35" i="67"/>
  <c r="C36" i="44" s="1"/>
  <c r="C34" i="67"/>
  <c r="C35" i="44" s="1"/>
  <c r="C33" i="67"/>
  <c r="C34" i="44" s="1"/>
  <c r="C32" i="67"/>
  <c r="C33" i="44" s="1"/>
  <c r="C31" i="67"/>
  <c r="C32" i="44" s="1"/>
  <c r="C30" i="67"/>
  <c r="C31" i="44" s="1"/>
  <c r="C29" i="67"/>
  <c r="C30" i="44" s="1"/>
  <c r="C28" i="67"/>
  <c r="C29" i="44" s="1"/>
  <c r="C27" i="67"/>
  <c r="C28" i="44" s="1"/>
  <c r="C26" i="67"/>
  <c r="C27" i="44" s="1"/>
  <c r="C25" i="67"/>
  <c r="C26" i="44" s="1"/>
  <c r="C24" i="67"/>
  <c r="C25" i="44" s="1"/>
  <c r="C23" i="67"/>
  <c r="C24" i="44" s="1"/>
  <c r="C22" i="67"/>
  <c r="C23" i="44" s="1"/>
  <c r="C21" i="67"/>
  <c r="C22" i="44" s="1"/>
  <c r="C20" i="67"/>
  <c r="C21" i="44" s="1"/>
  <c r="C19" i="67"/>
  <c r="C20" i="44" s="1"/>
  <c r="C18" i="67"/>
  <c r="C19" i="44" s="1"/>
  <c r="C17" i="67"/>
  <c r="C18" i="44" s="1"/>
  <c r="C16" i="67"/>
  <c r="C17" i="44" s="1"/>
  <c r="C15" i="67"/>
  <c r="C16" i="44" s="1"/>
  <c r="C14" i="67"/>
  <c r="C15" i="44" s="1"/>
  <c r="C13" i="67"/>
  <c r="C14" i="44" s="1"/>
  <c r="C12" i="67"/>
  <c r="C13" i="44" s="1"/>
  <c r="C11" i="67"/>
  <c r="C12" i="44" s="1"/>
  <c r="C10" i="67"/>
  <c r="C11" i="44" s="1"/>
  <c r="C9" i="67"/>
  <c r="C10" i="44" s="1"/>
  <c r="C8" i="67"/>
  <c r="C9" i="44" s="1"/>
  <c r="C7" i="67"/>
  <c r="C8" i="44" s="1"/>
  <c r="C6" i="67"/>
  <c r="C7" i="44" s="1"/>
  <c r="M5" i="44" l="1"/>
  <c r="A106" i="44" l="1"/>
  <c r="A105" i="44"/>
  <c r="A104" i="44"/>
  <c r="A103" i="44"/>
  <c r="A102" i="44"/>
  <c r="A101" i="44"/>
  <c r="A100" i="44"/>
  <c r="A99" i="44"/>
  <c r="A98" i="44"/>
  <c r="A97" i="44"/>
  <c r="A96" i="44"/>
  <c r="A95" i="44"/>
  <c r="A94" i="44"/>
  <c r="A93" i="44"/>
  <c r="A92" i="44"/>
  <c r="H5" i="44" l="1"/>
  <c r="G5" i="44"/>
  <c r="F5" i="44"/>
  <c r="E5" i="44"/>
  <c r="D5" i="44"/>
  <c r="L5" i="44" l="1"/>
  <c r="K39" i="84" l="1"/>
  <c r="K37" i="84"/>
  <c r="K29" i="84"/>
  <c r="K34" i="90" l="1"/>
  <c r="K109" i="90" l="1"/>
  <c r="K259" i="90"/>
  <c r="K359" i="90"/>
  <c r="K284" i="90"/>
  <c r="K209" i="90"/>
  <c r="K134" i="90"/>
  <c r="K384" i="90"/>
  <c r="K309" i="90"/>
  <c r="K234" i="90"/>
  <c r="K184" i="90"/>
  <c r="K59" i="90"/>
  <c r="K159" i="90"/>
  <c r="K84" i="90"/>
  <c r="K409" i="90"/>
  <c r="K334" i="90"/>
  <c r="K83" i="90"/>
  <c r="H30" i="84"/>
  <c r="K283" i="90"/>
  <c r="H38" i="84"/>
  <c r="K208" i="90"/>
  <c r="H35" i="84"/>
  <c r="K133" i="90"/>
  <c r="H32" i="84"/>
  <c r="K58" i="90"/>
  <c r="H29" i="84"/>
  <c r="K183" i="90"/>
  <c r="H34" i="84"/>
  <c r="K383" i="90"/>
  <c r="H42" i="84"/>
  <c r="K308" i="90"/>
  <c r="H39" i="84"/>
  <c r="K233" i="90"/>
  <c r="H36" i="84"/>
  <c r="K158" i="90"/>
  <c r="H33" i="84"/>
  <c r="K8" i="90"/>
  <c r="H27" i="84"/>
  <c r="F44" i="84"/>
  <c r="K408" i="90"/>
  <c r="H43" i="84"/>
  <c r="K333" i="90"/>
  <c r="H40" i="84"/>
  <c r="K258" i="90"/>
  <c r="H37" i="84"/>
  <c r="K108" i="90"/>
  <c r="H31" i="84"/>
  <c r="K33" i="90"/>
  <c r="H28" i="84"/>
  <c r="K9" i="90"/>
  <c r="G44" i="84"/>
  <c r="K358" i="90"/>
  <c r="H41" i="84"/>
  <c r="H44" i="84" l="1"/>
  <c r="I40" i="67" l="1"/>
  <c r="J40" i="67"/>
  <c r="J12" i="67"/>
  <c r="I12" i="67"/>
  <c r="J86" i="67"/>
  <c r="I86" i="67"/>
  <c r="J25" i="67"/>
  <c r="I25" i="67"/>
  <c r="I46" i="67"/>
  <c r="J46" i="67"/>
  <c r="J74" i="67"/>
  <c r="I74" i="67"/>
  <c r="J11" i="67"/>
  <c r="I11" i="67"/>
  <c r="J83" i="67"/>
  <c r="I83" i="67"/>
  <c r="I45" i="67"/>
  <c r="J45" i="67"/>
  <c r="I47" i="67"/>
  <c r="J47" i="67"/>
  <c r="J18" i="67"/>
  <c r="I18" i="67"/>
  <c r="I64" i="67"/>
  <c r="J64" i="67"/>
  <c r="I72" i="67"/>
  <c r="J72" i="67"/>
  <c r="I49" i="67"/>
  <c r="J49" i="67"/>
  <c r="I65" i="67"/>
  <c r="J65" i="67"/>
  <c r="I87" i="67"/>
  <c r="J87" i="67"/>
  <c r="I52" i="67"/>
  <c r="J52" i="67"/>
  <c r="J38" i="67"/>
  <c r="I38" i="67"/>
  <c r="J42" i="67"/>
  <c r="I42" i="67"/>
  <c r="J43" i="67"/>
  <c r="I43" i="67"/>
  <c r="J15" i="67"/>
  <c r="I15" i="67"/>
  <c r="J21" i="67"/>
  <c r="I21" i="67"/>
  <c r="J84" i="67"/>
  <c r="I84" i="67"/>
  <c r="I79" i="67"/>
  <c r="J79" i="67"/>
  <c r="I36" i="67"/>
  <c r="J36" i="67"/>
  <c r="I71" i="67"/>
  <c r="J71" i="67"/>
  <c r="J53" i="67"/>
  <c r="I53" i="67"/>
  <c r="I76" i="67"/>
  <c r="J76" i="67"/>
  <c r="I81" i="67"/>
  <c r="J81" i="67"/>
  <c r="J73" i="67"/>
  <c r="I73" i="67"/>
  <c r="J24" i="67"/>
  <c r="I24" i="67"/>
  <c r="I14" i="67"/>
  <c r="J14" i="67"/>
  <c r="I19" i="67"/>
  <c r="J19" i="67"/>
  <c r="I23" i="67"/>
  <c r="J23" i="67"/>
  <c r="J44" i="67"/>
  <c r="I44" i="67"/>
  <c r="J77" i="67"/>
  <c r="I77" i="67"/>
  <c r="J41" i="67"/>
  <c r="I41" i="67"/>
  <c r="J85" i="67"/>
  <c r="I85" i="67"/>
  <c r="I60" i="67"/>
  <c r="J60" i="67"/>
  <c r="J82" i="67"/>
  <c r="I82" i="67"/>
  <c r="J16" i="67"/>
  <c r="I16" i="67"/>
  <c r="J59" i="67"/>
  <c r="I59" i="67"/>
  <c r="I90" i="67"/>
  <c r="J90" i="67"/>
  <c r="J58" i="67"/>
  <c r="I58" i="67"/>
  <c r="J54" i="67"/>
  <c r="I54" i="67"/>
  <c r="J17" i="67"/>
  <c r="I17" i="67"/>
  <c r="J22" i="67"/>
  <c r="I22" i="67"/>
  <c r="J80" i="67"/>
  <c r="I80" i="67"/>
  <c r="J62" i="67"/>
  <c r="I62" i="67"/>
  <c r="I88" i="67"/>
  <c r="J88" i="67"/>
  <c r="J75" i="67"/>
  <c r="I75" i="67"/>
  <c r="I61" i="67"/>
  <c r="J61" i="67"/>
  <c r="J20" i="67"/>
  <c r="I20" i="67"/>
  <c r="J63" i="67"/>
  <c r="I63" i="67"/>
  <c r="J13" i="67"/>
  <c r="I13" i="67"/>
  <c r="J37" i="67"/>
  <c r="I37" i="67"/>
  <c r="J89" i="67"/>
  <c r="I89" i="67"/>
  <c r="J55" i="67"/>
  <c r="I55" i="67"/>
  <c r="I78" i="67"/>
  <c r="J78" i="67"/>
  <c r="J39" i="67"/>
  <c r="I39" i="67"/>
  <c r="I50" i="67"/>
  <c r="J50" i="67"/>
  <c r="I51" i="67"/>
  <c r="J51" i="67"/>
  <c r="J56" i="67"/>
  <c r="I56" i="67"/>
  <c r="I57" i="67"/>
  <c r="J57" i="67"/>
  <c r="J48" i="67"/>
  <c r="I48" i="67"/>
  <c r="J69" i="67" l="1"/>
  <c r="I69" i="67"/>
  <c r="I34" i="67"/>
  <c r="J34" i="67"/>
  <c r="J101" i="67"/>
  <c r="I101" i="67"/>
  <c r="I105" i="67"/>
  <c r="J105" i="67"/>
  <c r="I99" i="67"/>
  <c r="J99" i="67"/>
  <c r="I67" i="67"/>
  <c r="J67" i="67"/>
  <c r="J92" i="67"/>
  <c r="I92" i="67"/>
  <c r="I31" i="67"/>
  <c r="J31" i="67"/>
  <c r="I94" i="67"/>
  <c r="J94" i="67"/>
  <c r="I104" i="67"/>
  <c r="J104" i="67"/>
  <c r="J70" i="67"/>
  <c r="I70" i="67"/>
  <c r="I103" i="67"/>
  <c r="J103" i="67"/>
  <c r="I93" i="67"/>
  <c r="J93" i="67"/>
  <c r="I95" i="67"/>
  <c r="J95" i="67"/>
  <c r="J68" i="67"/>
  <c r="I68" i="67"/>
  <c r="I32" i="67"/>
  <c r="J32" i="67"/>
  <c r="I33" i="67"/>
  <c r="J33" i="67"/>
  <c r="J66" i="67"/>
  <c r="I66" i="67"/>
  <c r="I29" i="67"/>
  <c r="J29" i="67"/>
  <c r="I102" i="67"/>
  <c r="J102" i="67"/>
  <c r="J91" i="67"/>
  <c r="I91" i="67"/>
  <c r="J96" i="67" l="1"/>
  <c r="I96" i="67"/>
  <c r="I6" i="67"/>
  <c r="J6" i="67"/>
  <c r="J10" i="67"/>
  <c r="I10" i="67"/>
  <c r="I8" i="67"/>
  <c r="J8" i="67"/>
  <c r="J100" i="67"/>
  <c r="I100" i="67"/>
  <c r="J27" i="67"/>
  <c r="I27" i="67"/>
  <c r="I26" i="67"/>
  <c r="J26" i="67"/>
  <c r="J28" i="67"/>
  <c r="I28" i="67"/>
  <c r="J9" i="67"/>
  <c r="I9" i="67"/>
  <c r="J30" i="67"/>
  <c r="I30" i="67"/>
  <c r="J35" i="67"/>
  <c r="I35" i="67"/>
  <c r="I7" i="67"/>
  <c r="J7" i="67"/>
  <c r="I98" i="67"/>
  <c r="J98" i="67"/>
  <c r="J97" i="67" l="1"/>
  <c r="I97" i="67"/>
  <c r="Y44" i="84" l="1"/>
  <c r="Z44" i="84"/>
  <c r="K415" i="90" l="1"/>
  <c r="K365" i="90"/>
  <c r="K315" i="90"/>
  <c r="K265" i="90"/>
  <c r="K215" i="90"/>
  <c r="K165" i="90"/>
  <c r="K115" i="90"/>
  <c r="K65" i="90"/>
  <c r="K340" i="90"/>
  <c r="K240" i="90"/>
  <c r="K140" i="90"/>
  <c r="K40" i="90"/>
  <c r="K390" i="90"/>
  <c r="K290" i="90"/>
  <c r="K190" i="90"/>
  <c r="K90" i="90"/>
  <c r="K413" i="90" l="1"/>
  <c r="K88" i="90"/>
  <c r="K288" i="90"/>
  <c r="K63" i="90"/>
  <c r="K363" i="90"/>
  <c r="K163" i="90"/>
  <c r="K138" i="90"/>
  <c r="K338" i="90"/>
  <c r="K313" i="90"/>
  <c r="K188" i="90"/>
  <c r="K388" i="90"/>
  <c r="K263" i="90"/>
  <c r="K213" i="90"/>
  <c r="K113" i="90"/>
  <c r="K38" i="90"/>
  <c r="K238" i="90"/>
  <c r="E85" i="84"/>
  <c r="K362" i="90"/>
  <c r="H82" i="84"/>
  <c r="K289" i="90"/>
  <c r="E77" i="84"/>
  <c r="K162" i="90"/>
  <c r="K14" i="90"/>
  <c r="F88" i="84"/>
  <c r="H71" i="84"/>
  <c r="K237" i="90"/>
  <c r="E80" i="84"/>
  <c r="K139" i="90"/>
  <c r="H76" i="84"/>
  <c r="E73" i="84"/>
  <c r="K62" i="90"/>
  <c r="K387" i="90"/>
  <c r="E86" i="84"/>
  <c r="K114" i="90"/>
  <c r="H75" i="84"/>
  <c r="H83" i="84"/>
  <c r="K314" i="90"/>
  <c r="K18" i="90"/>
  <c r="Q71" i="84"/>
  <c r="P88" i="84"/>
  <c r="K318" i="90"/>
  <c r="Q83" i="84"/>
  <c r="K243" i="90"/>
  <c r="K251" i="90" s="1"/>
  <c r="F251" i="90" s="1"/>
  <c r="G251" i="90" s="1"/>
  <c r="H251" i="90" s="1"/>
  <c r="I251" i="90" s="1"/>
  <c r="J251" i="90" s="1"/>
  <c r="Q80" i="84"/>
  <c r="K368" i="90"/>
  <c r="K376" i="90" s="1"/>
  <c r="F376" i="90" s="1"/>
  <c r="G376" i="90" s="1"/>
  <c r="H376" i="90" s="1"/>
  <c r="I376" i="90" s="1"/>
  <c r="J376" i="90" s="1"/>
  <c r="Q85" i="84"/>
  <c r="K389" i="90"/>
  <c r="H86" i="84"/>
  <c r="E72" i="84"/>
  <c r="K37" i="90"/>
  <c r="K312" i="90"/>
  <c r="K325" i="90" s="1"/>
  <c r="E83" i="84"/>
  <c r="H80" i="84"/>
  <c r="K239" i="90"/>
  <c r="H77" i="84"/>
  <c r="K164" i="90"/>
  <c r="K364" i="90"/>
  <c r="H85" i="84"/>
  <c r="K193" i="90"/>
  <c r="Q78" i="84"/>
  <c r="Q84" i="84"/>
  <c r="K343" i="90"/>
  <c r="K93" i="90"/>
  <c r="Q74" i="84"/>
  <c r="Q75" i="84"/>
  <c r="K118" i="90"/>
  <c r="K126" i="90" s="1"/>
  <c r="F126" i="90" s="1"/>
  <c r="G126" i="90" s="1"/>
  <c r="H126" i="90" s="1"/>
  <c r="I126" i="90" s="1"/>
  <c r="J126" i="90" s="1"/>
  <c r="K68" i="90"/>
  <c r="Q73" i="84"/>
  <c r="K137" i="90"/>
  <c r="E76" i="84"/>
  <c r="C88" i="84"/>
  <c r="E71" i="84"/>
  <c r="K12" i="90"/>
  <c r="E79" i="84"/>
  <c r="K212" i="90"/>
  <c r="K89" i="90"/>
  <c r="H74" i="84"/>
  <c r="K287" i="90"/>
  <c r="E82" i="84"/>
  <c r="E75" i="84"/>
  <c r="K112" i="90"/>
  <c r="K412" i="90"/>
  <c r="E87" i="84"/>
  <c r="K339" i="90"/>
  <c r="H84" i="84"/>
  <c r="K187" i="90"/>
  <c r="E78" i="84"/>
  <c r="H79" i="84"/>
  <c r="K214" i="90"/>
  <c r="H87" i="84"/>
  <c r="K414" i="90"/>
  <c r="K43" i="90"/>
  <c r="Q72" i="84"/>
  <c r="K293" i="90"/>
  <c r="Q82" i="84"/>
  <c r="K218" i="90"/>
  <c r="Q79" i="84"/>
  <c r="K168" i="90"/>
  <c r="Q77" i="84"/>
  <c r="H78" i="84"/>
  <c r="K189" i="90"/>
  <c r="K87" i="90"/>
  <c r="E74" i="84"/>
  <c r="K39" i="90"/>
  <c r="H72" i="84"/>
  <c r="G88" i="84"/>
  <c r="K15" i="90"/>
  <c r="E81" i="84"/>
  <c r="K262" i="90"/>
  <c r="E84" i="84"/>
  <c r="K337" i="90"/>
  <c r="K64" i="90"/>
  <c r="H73" i="84"/>
  <c r="H81" i="84"/>
  <c r="K264" i="90"/>
  <c r="K13" i="90"/>
  <c r="D88" i="84"/>
  <c r="K143" i="90"/>
  <c r="K151" i="90" s="1"/>
  <c r="F151" i="90" s="1"/>
  <c r="G151" i="90" s="1"/>
  <c r="H151" i="90" s="1"/>
  <c r="I151" i="90" s="1"/>
  <c r="J151" i="90" s="1"/>
  <c r="Q76" i="84"/>
  <c r="Q86" i="84"/>
  <c r="K393" i="90"/>
  <c r="K418" i="90"/>
  <c r="Q87" i="84"/>
  <c r="K268" i="90"/>
  <c r="Q81" i="84"/>
  <c r="K326" i="90" l="1"/>
  <c r="F326" i="90" s="1"/>
  <c r="G326" i="90" s="1"/>
  <c r="H326" i="90" s="1"/>
  <c r="I326" i="90" s="1"/>
  <c r="J326" i="90" s="1"/>
  <c r="K350" i="90"/>
  <c r="F350" i="90" s="1"/>
  <c r="G350" i="90" s="1"/>
  <c r="H350" i="90" s="1"/>
  <c r="I350" i="90" s="1"/>
  <c r="J350" i="90" s="1"/>
  <c r="K150" i="90"/>
  <c r="F150" i="90" s="1"/>
  <c r="G150" i="90" s="1"/>
  <c r="H150" i="90" s="1"/>
  <c r="I150" i="90" s="1"/>
  <c r="J150" i="90" s="1"/>
  <c r="K426" i="90"/>
  <c r="F426" i="90" s="1"/>
  <c r="G426" i="90" s="1"/>
  <c r="H426" i="90" s="1"/>
  <c r="I426" i="90" s="1"/>
  <c r="J426" i="90" s="1"/>
  <c r="K176" i="90"/>
  <c r="F176" i="90" s="1"/>
  <c r="G176" i="90" s="1"/>
  <c r="H176" i="90" s="1"/>
  <c r="I176" i="90" s="1"/>
  <c r="J176" i="90" s="1"/>
  <c r="K401" i="90"/>
  <c r="F401" i="90" s="1"/>
  <c r="G401" i="90" s="1"/>
  <c r="H401" i="90" s="1"/>
  <c r="I401" i="90" s="1"/>
  <c r="J401" i="90" s="1"/>
  <c r="K301" i="90"/>
  <c r="F301" i="90" s="1"/>
  <c r="G301" i="90" s="1"/>
  <c r="H301" i="90" s="1"/>
  <c r="I301" i="90" s="1"/>
  <c r="J301" i="90" s="1"/>
  <c r="K226" i="90"/>
  <c r="F226" i="90" s="1"/>
  <c r="G226" i="90" s="1"/>
  <c r="H226" i="90" s="1"/>
  <c r="I226" i="90" s="1"/>
  <c r="J226" i="90" s="1"/>
  <c r="K276" i="90"/>
  <c r="F276" i="90" s="1"/>
  <c r="G276" i="90" s="1"/>
  <c r="H276" i="90" s="1"/>
  <c r="I276" i="90" s="1"/>
  <c r="J276" i="90" s="1"/>
  <c r="K225" i="90"/>
  <c r="F225" i="90" s="1"/>
  <c r="G225" i="90" s="1"/>
  <c r="H225" i="90" s="1"/>
  <c r="I225" i="90" s="1"/>
  <c r="J225" i="90" s="1"/>
  <c r="K76" i="90"/>
  <c r="F76" i="90" s="1"/>
  <c r="G76" i="90" s="1"/>
  <c r="H76" i="90" s="1"/>
  <c r="I76" i="90" s="1"/>
  <c r="J76" i="90" s="1"/>
  <c r="K101" i="90"/>
  <c r="F101" i="90" s="1"/>
  <c r="G101" i="90" s="1"/>
  <c r="H101" i="90" s="1"/>
  <c r="I101" i="90" s="1"/>
  <c r="J101" i="90" s="1"/>
  <c r="K201" i="90"/>
  <c r="F201" i="90" s="1"/>
  <c r="G201" i="90" s="1"/>
  <c r="H201" i="90" s="1"/>
  <c r="I201" i="90" s="1"/>
  <c r="J201" i="90" s="1"/>
  <c r="K51" i="90"/>
  <c r="F51" i="90" s="1"/>
  <c r="G51" i="90" s="1"/>
  <c r="H51" i="90" s="1"/>
  <c r="I51" i="90" s="1"/>
  <c r="J51" i="90" s="1"/>
  <c r="K300" i="90"/>
  <c r="F300" i="90" s="1"/>
  <c r="G300" i="90" s="1"/>
  <c r="H300" i="90" s="1"/>
  <c r="I300" i="90" s="1"/>
  <c r="J300" i="90" s="1"/>
  <c r="K351" i="90"/>
  <c r="F351" i="90" s="1"/>
  <c r="G351" i="90" s="1"/>
  <c r="H351" i="90" s="1"/>
  <c r="I351" i="90" s="1"/>
  <c r="J351" i="90" s="1"/>
  <c r="K100" i="90"/>
  <c r="F100" i="90" s="1"/>
  <c r="G100" i="90" s="1"/>
  <c r="H100" i="90" s="1"/>
  <c r="I100" i="90" s="1"/>
  <c r="J100" i="90" s="1"/>
  <c r="K125" i="90"/>
  <c r="F125" i="90" s="1"/>
  <c r="G125" i="90" s="1"/>
  <c r="H125" i="90" s="1"/>
  <c r="I125" i="90" s="1"/>
  <c r="J125" i="90" s="1"/>
  <c r="K25" i="90"/>
  <c r="F25" i="90" s="1"/>
  <c r="G25" i="90" s="1"/>
  <c r="H25" i="90" s="1"/>
  <c r="I25" i="90" s="1"/>
  <c r="J25" i="90" s="1"/>
  <c r="K275" i="90"/>
  <c r="F275" i="90" s="1"/>
  <c r="G275" i="90" s="1"/>
  <c r="H275" i="90" s="1"/>
  <c r="I275" i="90" s="1"/>
  <c r="J275" i="90" s="1"/>
  <c r="K75" i="90"/>
  <c r="F75" i="90" s="1"/>
  <c r="G75" i="90" s="1"/>
  <c r="H75" i="90" s="1"/>
  <c r="I75" i="90" s="1"/>
  <c r="J75" i="90" s="1"/>
  <c r="K200" i="90"/>
  <c r="F200" i="90" s="1"/>
  <c r="G200" i="90" s="1"/>
  <c r="H200" i="90" s="1"/>
  <c r="I200" i="90" s="1"/>
  <c r="J200" i="90" s="1"/>
  <c r="K425" i="90"/>
  <c r="F425" i="90" s="1"/>
  <c r="G425" i="90" s="1"/>
  <c r="H425" i="90" s="1"/>
  <c r="I425" i="90" s="1"/>
  <c r="J425" i="90" s="1"/>
  <c r="K50" i="90"/>
  <c r="F50" i="90" s="1"/>
  <c r="G50" i="90" s="1"/>
  <c r="H50" i="90" s="1"/>
  <c r="I50" i="90" s="1"/>
  <c r="J50" i="90" s="1"/>
  <c r="K250" i="90"/>
  <c r="F250" i="90" s="1"/>
  <c r="G250" i="90" s="1"/>
  <c r="H250" i="90" s="1"/>
  <c r="I250" i="90" s="1"/>
  <c r="J250" i="90" s="1"/>
  <c r="K175" i="90"/>
  <c r="F175" i="90" s="1"/>
  <c r="G175" i="90" s="1"/>
  <c r="H175" i="90" s="1"/>
  <c r="I175" i="90" s="1"/>
  <c r="J175" i="90" s="1"/>
  <c r="K375" i="90"/>
  <c r="F375" i="90" s="1"/>
  <c r="G375" i="90" s="1"/>
  <c r="H375" i="90" s="1"/>
  <c r="I375" i="90" s="1"/>
  <c r="J375" i="90" s="1"/>
  <c r="K400" i="90"/>
  <c r="F400" i="90" s="1"/>
  <c r="G400" i="90" s="1"/>
  <c r="H400" i="90" s="1"/>
  <c r="I400" i="90" s="1"/>
  <c r="J400" i="90" s="1"/>
  <c r="E88" i="84"/>
  <c r="Q88" i="84"/>
  <c r="H88" i="84"/>
  <c r="F325" i="90"/>
  <c r="G325" i="90" s="1"/>
  <c r="H325" i="90" s="1"/>
  <c r="I325" i="90" s="1"/>
  <c r="J325" i="90" s="1"/>
  <c r="K26" i="90"/>
  <c r="F26" i="90" s="1"/>
  <c r="G26" i="90" s="1"/>
  <c r="H26" i="90" s="1"/>
  <c r="I26" i="90" s="1"/>
  <c r="J26" i="90" s="1"/>
  <c r="AE34" i="84" l="1"/>
  <c r="AE39" i="84"/>
  <c r="AE43" i="84"/>
  <c r="AE37" i="84" l="1"/>
  <c r="AE28" i="84"/>
  <c r="AE42" i="84"/>
  <c r="AE36" i="84"/>
  <c r="AE35" i="84"/>
  <c r="AE33" i="84"/>
  <c r="AE32" i="84"/>
  <c r="AE41" i="84"/>
  <c r="AE31" i="84"/>
  <c r="AE29" i="84"/>
  <c r="AE38" i="84"/>
  <c r="AE30" i="84" l="1"/>
  <c r="D6" i="67" l="1"/>
  <c r="E6" i="67" l="1"/>
  <c r="H7" i="67"/>
  <c r="D7" i="67"/>
  <c r="H8" i="67" l="1"/>
  <c r="H9" i="67"/>
  <c r="H6" i="67"/>
  <c r="F7" i="44" s="1"/>
  <c r="K7" i="44" s="1"/>
  <c r="H10" i="67"/>
  <c r="E7" i="67"/>
  <c r="F8" i="44" s="1"/>
  <c r="K8" i="44" s="1"/>
  <c r="D8" i="67"/>
  <c r="F6" i="67"/>
  <c r="F19" i="67" l="1"/>
  <c r="H98" i="67"/>
  <c r="F23" i="67"/>
  <c r="G86" i="67"/>
  <c r="G77" i="67"/>
  <c r="F38" i="67"/>
  <c r="F74" i="67"/>
  <c r="D104" i="67"/>
  <c r="F82" i="67"/>
  <c r="F57" i="67"/>
  <c r="F42" i="67"/>
  <c r="F104" i="67"/>
  <c r="G74" i="67"/>
  <c r="G53" i="67"/>
  <c r="F81" i="67"/>
  <c r="F32" i="67"/>
  <c r="G71" i="67"/>
  <c r="F48" i="67"/>
  <c r="F76" i="67"/>
  <c r="F17" i="67"/>
  <c r="G16" i="67"/>
  <c r="G13" i="67"/>
  <c r="F59" i="67"/>
  <c r="G57" i="67"/>
  <c r="G82" i="67"/>
  <c r="F18" i="67"/>
  <c r="G12" i="67"/>
  <c r="E103" i="67"/>
  <c r="G46" i="67"/>
  <c r="G56" i="67"/>
  <c r="F21" i="67"/>
  <c r="F58" i="67"/>
  <c r="F53" i="67"/>
  <c r="G102" i="67"/>
  <c r="G6" i="67"/>
  <c r="F79" i="67"/>
  <c r="G41" i="67"/>
  <c r="H100" i="67"/>
  <c r="E100" i="67"/>
  <c r="G64" i="67"/>
  <c r="E104" i="67"/>
  <c r="G81" i="67"/>
  <c r="G84" i="67"/>
  <c r="G73" i="67"/>
  <c r="F46" i="67"/>
  <c r="F63" i="67"/>
  <c r="F88" i="67"/>
  <c r="F56" i="67"/>
  <c r="F20" i="67"/>
  <c r="G89" i="67"/>
  <c r="F100" i="67"/>
  <c r="F35" i="67"/>
  <c r="G44" i="67"/>
  <c r="F24" i="67"/>
  <c r="F84" i="67"/>
  <c r="G22" i="67"/>
  <c r="G32" i="67"/>
  <c r="F13" i="67"/>
  <c r="F77" i="67"/>
  <c r="D98" i="67"/>
  <c r="G79" i="67"/>
  <c r="G31" i="67"/>
  <c r="D100" i="67"/>
  <c r="G33" i="67"/>
  <c r="F40" i="67"/>
  <c r="F50" i="67"/>
  <c r="G49" i="67"/>
  <c r="F44" i="67"/>
  <c r="F31" i="67"/>
  <c r="G97" i="67"/>
  <c r="F96" i="67"/>
  <c r="F39" i="67"/>
  <c r="G14" i="67"/>
  <c r="E105" i="67"/>
  <c r="G24" i="67"/>
  <c r="G98" i="67"/>
  <c r="G88" i="67"/>
  <c r="G78" i="67"/>
  <c r="F22" i="67"/>
  <c r="E96" i="67"/>
  <c r="F16" i="67"/>
  <c r="F62" i="67"/>
  <c r="G47" i="67"/>
  <c r="G72" i="67"/>
  <c r="F72" i="67"/>
  <c r="F86" i="67"/>
  <c r="G51" i="67"/>
  <c r="E8" i="67"/>
  <c r="F9" i="44" s="1"/>
  <c r="K9" i="44" s="1"/>
  <c r="G38" i="67"/>
  <c r="F64" i="67"/>
  <c r="G48" i="67"/>
  <c r="D97" i="67"/>
  <c r="G7" i="44"/>
  <c r="D7" i="44"/>
  <c r="G52" i="67"/>
  <c r="F11" i="67"/>
  <c r="G76" i="67"/>
  <c r="F51" i="67"/>
  <c r="F37" i="67"/>
  <c r="G34" i="67"/>
  <c r="H96" i="67"/>
  <c r="F47" i="67"/>
  <c r="G96" i="67"/>
  <c r="F87" i="67"/>
  <c r="F71" i="67"/>
  <c r="G63" i="67"/>
  <c r="G83" i="67"/>
  <c r="D103" i="67"/>
  <c r="D105" i="67"/>
  <c r="F33" i="67"/>
  <c r="F103" i="67"/>
  <c r="E98" i="67"/>
  <c r="F99" i="44" s="1"/>
  <c r="F36" i="67"/>
  <c r="G21" i="67"/>
  <c r="G42" i="67"/>
  <c r="F73" i="67"/>
  <c r="G23" i="67"/>
  <c r="E97" i="67"/>
  <c r="F80" i="67"/>
  <c r="F52" i="67"/>
  <c r="F41" i="67"/>
  <c r="F7" i="67"/>
  <c r="F55" i="67"/>
  <c r="F45" i="67"/>
  <c r="G104" i="67"/>
  <c r="F60" i="67"/>
  <c r="H99" i="67"/>
  <c r="F97" i="67"/>
  <c r="H97" i="67"/>
  <c r="F78" i="67"/>
  <c r="F83" i="67"/>
  <c r="F49" i="67"/>
  <c r="G39" i="67"/>
  <c r="F75" i="67"/>
  <c r="F85" i="67"/>
  <c r="G54" i="67"/>
  <c r="E99" i="67"/>
  <c r="F54" i="67"/>
  <c r="G62" i="67"/>
  <c r="G87" i="67"/>
  <c r="G37" i="67"/>
  <c r="D96" i="67"/>
  <c r="G43" i="67"/>
  <c r="F90" i="67"/>
  <c r="G18" i="67"/>
  <c r="F65" i="67"/>
  <c r="G58" i="67"/>
  <c r="F25" i="67"/>
  <c r="F105" i="67"/>
  <c r="G103" i="67"/>
  <c r="D99" i="67"/>
  <c r="G17" i="67"/>
  <c r="F98" i="67"/>
  <c r="G11" i="67"/>
  <c r="G59" i="67"/>
  <c r="G99" i="67"/>
  <c r="G19" i="67"/>
  <c r="F34" i="67"/>
  <c r="F14" i="67"/>
  <c r="F89" i="67"/>
  <c r="G61" i="67"/>
  <c r="D9" i="67"/>
  <c r="G36" i="67"/>
  <c r="F12" i="67"/>
  <c r="D102" i="67"/>
  <c r="F99" i="67"/>
  <c r="F43" i="67"/>
  <c r="F61" i="67"/>
  <c r="D101" i="67"/>
  <c r="F100" i="44" l="1"/>
  <c r="F98" i="44"/>
  <c r="E101" i="67"/>
  <c r="E103" i="44"/>
  <c r="E87" i="67"/>
  <c r="H103" i="67"/>
  <c r="H19" i="67"/>
  <c r="E30" i="67"/>
  <c r="H68" i="67"/>
  <c r="H30" i="67"/>
  <c r="F27" i="67"/>
  <c r="F29" i="67"/>
  <c r="H69" i="67"/>
  <c r="H71" i="67"/>
  <c r="E20" i="67"/>
  <c r="E88" i="67"/>
  <c r="H60" i="67"/>
  <c r="E77" i="67"/>
  <c r="H47" i="67"/>
  <c r="G68" i="67"/>
  <c r="E71" i="67"/>
  <c r="F72" i="44" s="1"/>
  <c r="K72" i="44" s="1"/>
  <c r="E23" i="67"/>
  <c r="E42" i="67"/>
  <c r="H67" i="67"/>
  <c r="H38" i="67"/>
  <c r="H104" i="67"/>
  <c r="F105" i="44" s="1"/>
  <c r="E70" i="67"/>
  <c r="E89" i="67"/>
  <c r="H16" i="67"/>
  <c r="E36" i="67"/>
  <c r="H86" i="67"/>
  <c r="E25" i="67"/>
  <c r="H77" i="67"/>
  <c r="G99" i="44"/>
  <c r="H99" i="44"/>
  <c r="E99" i="44"/>
  <c r="D99" i="44"/>
  <c r="E63" i="67"/>
  <c r="E90" i="67"/>
  <c r="H84" i="67"/>
  <c r="F104" i="44"/>
  <c r="G25" i="67"/>
  <c r="E41" i="67"/>
  <c r="H40" i="67"/>
  <c r="E75" i="67"/>
  <c r="E61" i="67"/>
  <c r="E39" i="67"/>
  <c r="E11" i="67"/>
  <c r="E67" i="67"/>
  <c r="F68" i="44" s="1"/>
  <c r="K68" i="44" s="1"/>
  <c r="H85" i="67"/>
  <c r="E18" i="67"/>
  <c r="F26" i="67"/>
  <c r="H101" i="67"/>
  <c r="G105" i="67"/>
  <c r="G35" i="67"/>
  <c r="H100" i="44"/>
  <c r="E100" i="44"/>
  <c r="G100" i="44"/>
  <c r="D100" i="44"/>
  <c r="E52" i="67"/>
  <c r="E13" i="67"/>
  <c r="E72" i="67"/>
  <c r="E97" i="44"/>
  <c r="H97" i="44"/>
  <c r="G97" i="44"/>
  <c r="D97" i="44"/>
  <c r="G30" i="67"/>
  <c r="E68" i="67"/>
  <c r="F69" i="44" s="1"/>
  <c r="K69" i="44" s="1"/>
  <c r="E81" i="67"/>
  <c r="H82" i="67"/>
  <c r="E29" i="67"/>
  <c r="E79" i="67"/>
  <c r="E59" i="67"/>
  <c r="G55" i="67"/>
  <c r="H46" i="67"/>
  <c r="E62" i="67"/>
  <c r="F68" i="67"/>
  <c r="E82" i="67"/>
  <c r="F97" i="44"/>
  <c r="E50" i="67"/>
  <c r="G60" i="67"/>
  <c r="G20" i="67"/>
  <c r="G65" i="67"/>
  <c r="E66" i="67"/>
  <c r="F70" i="67"/>
  <c r="E85" i="67"/>
  <c r="F86" i="44" s="1"/>
  <c r="K86" i="44" s="1"/>
  <c r="F101" i="44"/>
  <c r="E16" i="67"/>
  <c r="F17" i="44" s="1"/>
  <c r="K17" i="44" s="1"/>
  <c r="H90" i="67"/>
  <c r="G70" i="67"/>
  <c r="E73" i="67"/>
  <c r="H83" i="67"/>
  <c r="E38" i="67"/>
  <c r="F39" i="44" s="1"/>
  <c r="K39" i="44" s="1"/>
  <c r="H66" i="67"/>
  <c r="F28" i="67"/>
  <c r="G105" i="44"/>
  <c r="H105" i="44"/>
  <c r="E105" i="44"/>
  <c r="D105" i="44"/>
  <c r="G28" i="67"/>
  <c r="E55" i="67"/>
  <c r="H57" i="67"/>
  <c r="H79" i="67"/>
  <c r="H48" i="67"/>
  <c r="E86" i="67"/>
  <c r="F87" i="44" s="1"/>
  <c r="K87" i="44" s="1"/>
  <c r="E26" i="67"/>
  <c r="E80" i="67"/>
  <c r="E53" i="67"/>
  <c r="E57" i="67"/>
  <c r="H78" i="67"/>
  <c r="H54" i="67"/>
  <c r="E65" i="67"/>
  <c r="F8" i="67"/>
  <c r="D8" i="44"/>
  <c r="G8" i="44"/>
  <c r="E17" i="67"/>
  <c r="E48" i="67"/>
  <c r="E54" i="67"/>
  <c r="F55" i="44" s="1"/>
  <c r="K55" i="44" s="1"/>
  <c r="E106" i="44"/>
  <c r="D106" i="44"/>
  <c r="G104" i="44"/>
  <c r="H104" i="44"/>
  <c r="E104" i="44"/>
  <c r="D104" i="44"/>
  <c r="G67" i="67"/>
  <c r="H55" i="67"/>
  <c r="E43" i="67"/>
  <c r="H29" i="67"/>
  <c r="G29" i="67"/>
  <c r="H63" i="67"/>
  <c r="E51" i="67"/>
  <c r="H58" i="67"/>
  <c r="G66" i="67"/>
  <c r="E37" i="67"/>
  <c r="G101" i="44"/>
  <c r="D101" i="44"/>
  <c r="H28" i="67"/>
  <c r="E24" i="67"/>
  <c r="D10" i="67"/>
  <c r="E102" i="67"/>
  <c r="H70" i="67"/>
  <c r="E7" i="44"/>
  <c r="J7" i="44" s="1"/>
  <c r="L7" i="44" s="1"/>
  <c r="H7" i="44"/>
  <c r="M7" i="44" s="1"/>
  <c r="E49" i="67"/>
  <c r="E60" i="67"/>
  <c r="F61" i="44" s="1"/>
  <c r="K61" i="44" s="1"/>
  <c r="E76" i="67"/>
  <c r="H50" i="67"/>
  <c r="E22" i="67"/>
  <c r="G40" i="67"/>
  <c r="H89" i="67"/>
  <c r="G7" i="67"/>
  <c r="E74" i="67"/>
  <c r="E14" i="67"/>
  <c r="H44" i="67"/>
  <c r="E69" i="67"/>
  <c r="F70" i="44" s="1"/>
  <c r="K70" i="44" s="1"/>
  <c r="F69" i="67"/>
  <c r="E19" i="67"/>
  <c r="F20" i="44" s="1"/>
  <c r="K20" i="44" s="1"/>
  <c r="E46" i="67"/>
  <c r="F47" i="44" s="1"/>
  <c r="K47" i="44" s="1"/>
  <c r="E58" i="67"/>
  <c r="F59" i="44" s="1"/>
  <c r="K59" i="44" s="1"/>
  <c r="G75" i="67"/>
  <c r="G45" i="67"/>
  <c r="G50" i="67"/>
  <c r="G90" i="67"/>
  <c r="G69" i="67"/>
  <c r="H18" i="67"/>
  <c r="E45" i="67"/>
  <c r="G26" i="67"/>
  <c r="F66" i="67"/>
  <c r="H88" i="67"/>
  <c r="E27" i="67"/>
  <c r="H102" i="67"/>
  <c r="H103" i="44" s="1"/>
  <c r="G80" i="67"/>
  <c r="G100" i="67"/>
  <c r="H101" i="44" s="1"/>
  <c r="G98" i="44"/>
  <c r="E98" i="44"/>
  <c r="H98" i="44"/>
  <c r="D98" i="44"/>
  <c r="E78" i="67"/>
  <c r="F79" i="44" s="1"/>
  <c r="K79" i="44" s="1"/>
  <c r="F15" i="67"/>
  <c r="E83" i="67"/>
  <c r="F84" i="44" s="1"/>
  <c r="K84" i="44" s="1"/>
  <c r="E56" i="67"/>
  <c r="F30" i="67"/>
  <c r="G85" i="67"/>
  <c r="F67" i="67"/>
  <c r="E84" i="67"/>
  <c r="F85" i="44" s="1"/>
  <c r="K85" i="44" s="1"/>
  <c r="E28" i="67"/>
  <c r="F29" i="44" s="1"/>
  <c r="E9" i="67"/>
  <c r="F10" i="44" s="1"/>
  <c r="K10" i="44" s="1"/>
  <c r="E47" i="67"/>
  <c r="F48" i="44" s="1"/>
  <c r="K48" i="44" s="1"/>
  <c r="E40" i="67"/>
  <c r="F41" i="44" s="1"/>
  <c r="K41" i="44" s="1"/>
  <c r="G27" i="67"/>
  <c r="E64" i="67"/>
  <c r="H75" i="67"/>
  <c r="E21" i="67"/>
  <c r="H59" i="67"/>
  <c r="H52" i="67"/>
  <c r="F83" i="44" l="1"/>
  <c r="K83" i="44" s="1"/>
  <c r="N7" i="44"/>
  <c r="H20" i="67"/>
  <c r="F21" i="44" s="1"/>
  <c r="K21" i="44" s="1"/>
  <c r="H56" i="67"/>
  <c r="H72" i="67"/>
  <c r="G101" i="67"/>
  <c r="D86" i="67"/>
  <c r="F103" i="44"/>
  <c r="D81" i="67"/>
  <c r="H25" i="67"/>
  <c r="E15" i="67"/>
  <c r="H61" i="67"/>
  <c r="F67" i="44"/>
  <c r="K67" i="44" s="1"/>
  <c r="H27" i="67"/>
  <c r="F80" i="44"/>
  <c r="K80" i="44" s="1"/>
  <c r="G8" i="67"/>
  <c r="F62" i="44"/>
  <c r="K62" i="44" s="1"/>
  <c r="D31" i="67"/>
  <c r="F91" i="44"/>
  <c r="K91" i="44" s="1"/>
  <c r="H73" i="67"/>
  <c r="F74" i="44" s="1"/>
  <c r="K74" i="44" s="1"/>
  <c r="E10" i="67"/>
  <c r="F11" i="44" s="1"/>
  <c r="K11" i="44" s="1"/>
  <c r="D11" i="67"/>
  <c r="F78" i="44"/>
  <c r="K78" i="44" s="1"/>
  <c r="H17" i="67"/>
  <c r="H65" i="67"/>
  <c r="H45" i="67"/>
  <c r="F31" i="44"/>
  <c r="F9" i="67"/>
  <c r="H49" i="67"/>
  <c r="H23" i="67"/>
  <c r="F24" i="44" s="1"/>
  <c r="K24" i="44" s="1"/>
  <c r="F50" i="44"/>
  <c r="K50" i="44" s="1"/>
  <c r="D36" i="67"/>
  <c r="H39" i="67"/>
  <c r="E101" i="44"/>
  <c r="F49" i="44"/>
  <c r="K49" i="44" s="1"/>
  <c r="F66" i="44"/>
  <c r="K66" i="44" s="1"/>
  <c r="F58" i="44"/>
  <c r="K58" i="44" s="1"/>
  <c r="D41" i="67"/>
  <c r="F60" i="44"/>
  <c r="K60" i="44" s="1"/>
  <c r="F53" i="44"/>
  <c r="K53" i="44" s="1"/>
  <c r="F19" i="44"/>
  <c r="K19" i="44" s="1"/>
  <c r="F76" i="44"/>
  <c r="K76" i="44" s="1"/>
  <c r="H22" i="67"/>
  <c r="F26" i="44"/>
  <c r="K26" i="44" s="1"/>
  <c r="D16" i="67"/>
  <c r="F90" i="44"/>
  <c r="K90" i="44" s="1"/>
  <c r="H87" i="67"/>
  <c r="F88" i="44" s="1"/>
  <c r="K88" i="44" s="1"/>
  <c r="F89" i="44"/>
  <c r="K89" i="44" s="1"/>
  <c r="F102" i="44"/>
  <c r="K29" i="44"/>
  <c r="F94" i="44"/>
  <c r="K94" i="44" s="1"/>
  <c r="F57" i="44"/>
  <c r="K57" i="44" s="1"/>
  <c r="H43" i="67"/>
  <c r="F44" i="44" s="1"/>
  <c r="K44" i="44" s="1"/>
  <c r="H41" i="67"/>
  <c r="F42" i="44" s="1"/>
  <c r="K42" i="44" s="1"/>
  <c r="F102" i="67"/>
  <c r="D21" i="67"/>
  <c r="D71" i="67"/>
  <c r="H64" i="67"/>
  <c r="F65" i="44" s="1"/>
  <c r="K65" i="44" s="1"/>
  <c r="H8" i="44"/>
  <c r="M8" i="44" s="1"/>
  <c r="E8" i="44"/>
  <c r="J8" i="44" s="1"/>
  <c r="L8" i="44" s="1"/>
  <c r="H26" i="67"/>
  <c r="F27" i="44" s="1"/>
  <c r="H21" i="67"/>
  <c r="F22" i="44" s="1"/>
  <c r="K22" i="44" s="1"/>
  <c r="D51" i="67"/>
  <c r="H76" i="67"/>
  <c r="F77" i="44" s="1"/>
  <c r="K77" i="44" s="1"/>
  <c r="D26" i="67"/>
  <c r="D76" i="67"/>
  <c r="F56" i="44"/>
  <c r="K56" i="44" s="1"/>
  <c r="H74" i="67"/>
  <c r="F75" i="44" s="1"/>
  <c r="K75" i="44" s="1"/>
  <c r="E44" i="67"/>
  <c r="F45" i="44" s="1"/>
  <c r="K45" i="44" s="1"/>
  <c r="F51" i="44"/>
  <c r="K51" i="44" s="1"/>
  <c r="H53" i="67"/>
  <c r="F54" i="44" s="1"/>
  <c r="K54" i="44" s="1"/>
  <c r="F30" i="44"/>
  <c r="F73" i="44"/>
  <c r="K73" i="44" s="1"/>
  <c r="E12" i="67"/>
  <c r="F40" i="44"/>
  <c r="K40" i="44" s="1"/>
  <c r="G15" i="67"/>
  <c r="D46" i="67"/>
  <c r="F71" i="44"/>
  <c r="K71" i="44" s="1"/>
  <c r="D61" i="67"/>
  <c r="H80" i="67"/>
  <c r="F81" i="44" s="1"/>
  <c r="K81" i="44" s="1"/>
  <c r="F101" i="67"/>
  <c r="H15" i="67"/>
  <c r="H42" i="67"/>
  <c r="F43" i="44" s="1"/>
  <c r="K43" i="44" s="1"/>
  <c r="H24" i="67"/>
  <c r="F25" i="44" s="1"/>
  <c r="K25" i="44" s="1"/>
  <c r="F28" i="44"/>
  <c r="F46" i="44"/>
  <c r="K46" i="44" s="1"/>
  <c r="F23" i="44"/>
  <c r="K23" i="44" s="1"/>
  <c r="H62" i="67"/>
  <c r="F63" i="44" s="1"/>
  <c r="K63" i="44" s="1"/>
  <c r="F18" i="44"/>
  <c r="K18" i="44" s="1"/>
  <c r="H51" i="67"/>
  <c r="F52" i="44" s="1"/>
  <c r="K52" i="44" s="1"/>
  <c r="G9" i="44"/>
  <c r="D9" i="44"/>
  <c r="H105" i="67"/>
  <c r="H37" i="67"/>
  <c r="F38" i="44" s="1"/>
  <c r="K38" i="44" s="1"/>
  <c r="D66" i="67"/>
  <c r="H36" i="67"/>
  <c r="F37" i="44" s="1"/>
  <c r="K37" i="44" s="1"/>
  <c r="F64" i="44"/>
  <c r="K64" i="44" s="1"/>
  <c r="H81" i="67"/>
  <c r="F82" i="44" s="1"/>
  <c r="K82" i="44" s="1"/>
  <c r="D56" i="67"/>
  <c r="N8" i="44" l="1"/>
  <c r="F92" i="44"/>
  <c r="K92" i="44" s="1"/>
  <c r="K27" i="44"/>
  <c r="D57" i="67"/>
  <c r="F95" i="44"/>
  <c r="K95" i="44" s="1"/>
  <c r="K30" i="44"/>
  <c r="D72" i="67"/>
  <c r="E77" i="44"/>
  <c r="H77" i="44"/>
  <c r="G77" i="44"/>
  <c r="D77" i="44"/>
  <c r="E52" i="44"/>
  <c r="H52" i="44"/>
  <c r="G52" i="44"/>
  <c r="D52" i="44"/>
  <c r="G22" i="44"/>
  <c r="H22" i="44"/>
  <c r="E22" i="44"/>
  <c r="D22" i="44"/>
  <c r="D52" i="67"/>
  <c r="D77" i="67"/>
  <c r="D22" i="67"/>
  <c r="D37" i="67"/>
  <c r="F96" i="44"/>
  <c r="K96" i="44" s="1"/>
  <c r="K31" i="44"/>
  <c r="D82" i="67"/>
  <c r="H67" i="44"/>
  <c r="E67" i="44"/>
  <c r="G67" i="44"/>
  <c r="D67" i="44"/>
  <c r="G106" i="44"/>
  <c r="H106" i="44"/>
  <c r="F106" i="44"/>
  <c r="D12" i="67"/>
  <c r="D87" i="67"/>
  <c r="G102" i="44"/>
  <c r="D102" i="44"/>
  <c r="G9" i="67"/>
  <c r="D62" i="67"/>
  <c r="D103" i="44"/>
  <c r="G103" i="44"/>
  <c r="D32" i="67"/>
  <c r="D42" i="67"/>
  <c r="H37" i="44"/>
  <c r="E37" i="44"/>
  <c r="G37" i="44"/>
  <c r="D37" i="44"/>
  <c r="H9" i="44"/>
  <c r="M9" i="44" s="1"/>
  <c r="E9" i="44"/>
  <c r="J9" i="44" s="1"/>
  <c r="L9" i="44" s="1"/>
  <c r="E82" i="44"/>
  <c r="H82" i="44"/>
  <c r="G82" i="44"/>
  <c r="D82" i="44"/>
  <c r="E87" i="44"/>
  <c r="G87" i="44"/>
  <c r="H87" i="44"/>
  <c r="D87" i="44"/>
  <c r="H102" i="44"/>
  <c r="E102" i="44"/>
  <c r="F10" i="67"/>
  <c r="K28" i="44"/>
  <c r="F93" i="44"/>
  <c r="K93" i="44" s="1"/>
  <c r="H13" i="67"/>
  <c r="F14" i="44" s="1"/>
  <c r="K14" i="44" s="1"/>
  <c r="H62" i="44"/>
  <c r="E62" i="44"/>
  <c r="G62" i="44"/>
  <c r="D62" i="44"/>
  <c r="E47" i="44"/>
  <c r="H47" i="44"/>
  <c r="G47" i="44"/>
  <c r="D47" i="44"/>
  <c r="K99" i="44"/>
  <c r="K104" i="44"/>
  <c r="G17" i="44"/>
  <c r="H17" i="44"/>
  <c r="E17" i="44"/>
  <c r="D17" i="44"/>
  <c r="G42" i="44"/>
  <c r="H42" i="44"/>
  <c r="E42" i="44"/>
  <c r="D42" i="44"/>
  <c r="G10" i="44"/>
  <c r="D10" i="44"/>
  <c r="D47" i="67"/>
  <c r="H57" i="44"/>
  <c r="E57" i="44"/>
  <c r="G57" i="44"/>
  <c r="D57" i="44"/>
  <c r="H12" i="67"/>
  <c r="F13" i="44" s="1"/>
  <c r="K13" i="44" s="1"/>
  <c r="D67" i="67"/>
  <c r="H27" i="44"/>
  <c r="H92" i="44" s="1"/>
  <c r="E27" i="44"/>
  <c r="E92" i="44" s="1"/>
  <c r="G27" i="44"/>
  <c r="D27" i="44"/>
  <c r="E72" i="44"/>
  <c r="G72" i="44"/>
  <c r="H72" i="44"/>
  <c r="D72" i="44"/>
  <c r="D27" i="67"/>
  <c r="E12" i="44"/>
  <c r="D12" i="44"/>
  <c r="E32" i="44"/>
  <c r="D32" i="44"/>
  <c r="F16" i="44"/>
  <c r="K16" i="44" s="1"/>
  <c r="D17" i="67"/>
  <c r="M52" i="44" l="1"/>
  <c r="M77" i="44"/>
  <c r="M37" i="44"/>
  <c r="J42" i="44"/>
  <c r="L42" i="44" s="1"/>
  <c r="J17" i="44"/>
  <c r="L17" i="44" s="1"/>
  <c r="M47" i="44"/>
  <c r="J12" i="44"/>
  <c r="J57" i="44"/>
  <c r="L57" i="44" s="1"/>
  <c r="J62" i="44"/>
  <c r="L62" i="44" s="1"/>
  <c r="J67" i="44"/>
  <c r="L67" i="44" s="1"/>
  <c r="J72" i="44"/>
  <c r="L72" i="44" s="1"/>
  <c r="M87" i="44"/>
  <c r="J77" i="44"/>
  <c r="L77" i="44" s="1"/>
  <c r="M62" i="44"/>
  <c r="N9" i="44"/>
  <c r="J47" i="44"/>
  <c r="L47" i="44" s="1"/>
  <c r="M22" i="44"/>
  <c r="J52" i="44"/>
  <c r="L52" i="44" s="1"/>
  <c r="D38" i="67"/>
  <c r="D88" i="67"/>
  <c r="D58" i="67"/>
  <c r="N47" i="44"/>
  <c r="H14" i="67"/>
  <c r="F15" i="44" s="1"/>
  <c r="K15" i="44" s="1"/>
  <c r="G83" i="44"/>
  <c r="H83" i="44"/>
  <c r="E83" i="44"/>
  <c r="D83" i="44"/>
  <c r="D78" i="67"/>
  <c r="K106" i="44"/>
  <c r="K101" i="44"/>
  <c r="D48" i="67"/>
  <c r="E78" i="44"/>
  <c r="G78" i="44"/>
  <c r="H78" i="44"/>
  <c r="D78" i="44"/>
  <c r="J22" i="44"/>
  <c r="L22" i="44" s="1"/>
  <c r="D43" i="67"/>
  <c r="H73" i="44"/>
  <c r="E73" i="44"/>
  <c r="G73" i="44"/>
  <c r="D73" i="44"/>
  <c r="H18" i="44"/>
  <c r="E18" i="44"/>
  <c r="G18" i="44"/>
  <c r="D18" i="44"/>
  <c r="D28" i="67"/>
  <c r="J27" i="44"/>
  <c r="L27" i="44" s="1"/>
  <c r="D92" i="44"/>
  <c r="J92" i="44" s="1"/>
  <c r="D68" i="67"/>
  <c r="D53" i="67"/>
  <c r="D13" i="67"/>
  <c r="H63" i="44"/>
  <c r="E63" i="44"/>
  <c r="G63" i="44"/>
  <c r="D63" i="44"/>
  <c r="H10" i="44"/>
  <c r="M10" i="44" s="1"/>
  <c r="E10" i="44"/>
  <c r="J10" i="44" s="1"/>
  <c r="L10" i="44" s="1"/>
  <c r="D73" i="67"/>
  <c r="H11" i="67"/>
  <c r="J32" i="44"/>
  <c r="H28" i="44"/>
  <c r="G28" i="44"/>
  <c r="E28" i="44"/>
  <c r="D28" i="44"/>
  <c r="M27" i="44"/>
  <c r="G92" i="44"/>
  <c r="M92" i="44" s="1"/>
  <c r="G68" i="44"/>
  <c r="E68" i="44"/>
  <c r="H68" i="44"/>
  <c r="D68" i="44"/>
  <c r="M57" i="44"/>
  <c r="N57" i="44" s="1"/>
  <c r="K98" i="44"/>
  <c r="K103" i="44"/>
  <c r="G11" i="44"/>
  <c r="D11" i="44"/>
  <c r="J87" i="44"/>
  <c r="L87" i="44" s="1"/>
  <c r="N87" i="44" s="1"/>
  <c r="J82" i="44"/>
  <c r="L82" i="44" s="1"/>
  <c r="D23" i="67"/>
  <c r="D33" i="67"/>
  <c r="H38" i="44"/>
  <c r="G38" i="44"/>
  <c r="E38" i="44"/>
  <c r="D38" i="44"/>
  <c r="K105" i="44"/>
  <c r="K100" i="44"/>
  <c r="D18" i="67"/>
  <c r="G10" i="67"/>
  <c r="M72" i="44"/>
  <c r="N72" i="44" s="1"/>
  <c r="G48" i="44"/>
  <c r="H48" i="44"/>
  <c r="E48" i="44"/>
  <c r="D48" i="44"/>
  <c r="M42" i="44"/>
  <c r="N42" i="44" s="1"/>
  <c r="M17" i="44"/>
  <c r="N17" i="44" s="1"/>
  <c r="M82" i="44"/>
  <c r="J37" i="44"/>
  <c r="L37" i="44" s="1"/>
  <c r="N37" i="44" s="1"/>
  <c r="H43" i="44"/>
  <c r="E43" i="44"/>
  <c r="G43" i="44"/>
  <c r="D43" i="44"/>
  <c r="E33" i="44"/>
  <c r="D33" i="44"/>
  <c r="E88" i="44"/>
  <c r="H88" i="44"/>
  <c r="G88" i="44"/>
  <c r="D88" i="44"/>
  <c r="E13" i="44"/>
  <c r="G13" i="44"/>
  <c r="H13" i="44"/>
  <c r="D13" i="44"/>
  <c r="D63" i="67"/>
  <c r="M67" i="44"/>
  <c r="E23" i="44"/>
  <c r="H23" i="44"/>
  <c r="G23" i="44"/>
  <c r="D23" i="44"/>
  <c r="H53" i="44"/>
  <c r="E53" i="44"/>
  <c r="G53" i="44"/>
  <c r="D53" i="44"/>
  <c r="D83" i="67"/>
  <c r="G58" i="44"/>
  <c r="H58" i="44"/>
  <c r="E58" i="44"/>
  <c r="D58" i="44"/>
  <c r="K97" i="44"/>
  <c r="K102" i="44"/>
  <c r="N67" i="44" l="1"/>
  <c r="N77" i="44"/>
  <c r="N22" i="44"/>
  <c r="N52" i="44"/>
  <c r="M83" i="44"/>
  <c r="M88" i="44"/>
  <c r="M63" i="44"/>
  <c r="M58" i="44"/>
  <c r="N62" i="44"/>
  <c r="J53" i="44"/>
  <c r="L53" i="44" s="1"/>
  <c r="M48" i="44"/>
  <c r="M68" i="44"/>
  <c r="E93" i="44"/>
  <c r="J78" i="44"/>
  <c r="L78" i="44" s="1"/>
  <c r="M53" i="44"/>
  <c r="M23" i="44"/>
  <c r="J18" i="44"/>
  <c r="L18" i="44" s="1"/>
  <c r="J73" i="44"/>
  <c r="L73" i="44" s="1"/>
  <c r="J58" i="44"/>
  <c r="L58" i="44" s="1"/>
  <c r="E84" i="44"/>
  <c r="G84" i="44"/>
  <c r="H84" i="44"/>
  <c r="D84" i="44"/>
  <c r="J13" i="44"/>
  <c r="L13" i="44" s="1"/>
  <c r="J88" i="44"/>
  <c r="L88" i="44" s="1"/>
  <c r="D44" i="67"/>
  <c r="M43" i="44"/>
  <c r="D34" i="67"/>
  <c r="E11" i="44"/>
  <c r="J11" i="44" s="1"/>
  <c r="L11" i="44" s="1"/>
  <c r="H11" i="44"/>
  <c r="M11" i="44" s="1"/>
  <c r="D89" i="67"/>
  <c r="J38" i="44"/>
  <c r="L38" i="44" s="1"/>
  <c r="D29" i="67"/>
  <c r="E34" i="44"/>
  <c r="D34" i="44"/>
  <c r="D74" i="67"/>
  <c r="H24" i="44"/>
  <c r="G24" i="44"/>
  <c r="E24" i="44"/>
  <c r="D24" i="44"/>
  <c r="D69" i="67"/>
  <c r="J68" i="44"/>
  <c r="L68" i="44" s="1"/>
  <c r="N68" i="44" s="1"/>
  <c r="M97" i="44"/>
  <c r="M102" i="44"/>
  <c r="G93" i="44"/>
  <c r="M28" i="44"/>
  <c r="D90" i="67"/>
  <c r="F12" i="44"/>
  <c r="K12" i="44" s="1"/>
  <c r="L12" i="44" s="1"/>
  <c r="H12" i="44"/>
  <c r="G12" i="44"/>
  <c r="D19" i="67"/>
  <c r="D55" i="67"/>
  <c r="H14" i="44"/>
  <c r="G14" i="44"/>
  <c r="E14" i="44"/>
  <c r="D14" i="44"/>
  <c r="E54" i="44"/>
  <c r="G54" i="44"/>
  <c r="H54" i="44"/>
  <c r="D54" i="44"/>
  <c r="J102" i="44"/>
  <c r="L102" i="44" s="1"/>
  <c r="J97" i="44"/>
  <c r="L97" i="44" s="1"/>
  <c r="L92" i="44"/>
  <c r="N92" i="44" s="1"/>
  <c r="M18" i="44"/>
  <c r="M73" i="44"/>
  <c r="E44" i="44"/>
  <c r="H44" i="44"/>
  <c r="G44" i="44"/>
  <c r="D44" i="44"/>
  <c r="M78" i="44"/>
  <c r="E79" i="44"/>
  <c r="H79" i="44"/>
  <c r="G79" i="44"/>
  <c r="D79" i="44"/>
  <c r="D84" i="67"/>
  <c r="D80" i="67"/>
  <c r="N10" i="44"/>
  <c r="D59" i="67"/>
  <c r="D45" i="67"/>
  <c r="N82" i="44"/>
  <c r="H93" i="44"/>
  <c r="E74" i="44"/>
  <c r="G74" i="44"/>
  <c r="H74" i="44"/>
  <c r="D74" i="44"/>
  <c r="J63" i="44"/>
  <c r="L63" i="44" s="1"/>
  <c r="N63" i="44" s="1"/>
  <c r="D75" i="67"/>
  <c r="D64" i="67"/>
  <c r="D85" i="67"/>
  <c r="N27" i="44"/>
  <c r="J83" i="44"/>
  <c r="L83" i="44" s="1"/>
  <c r="D20" i="67"/>
  <c r="D50" i="67"/>
  <c r="J23" i="44"/>
  <c r="L23" i="44" s="1"/>
  <c r="D25" i="67"/>
  <c r="G64" i="44"/>
  <c r="H64" i="44"/>
  <c r="E64" i="44"/>
  <c r="D64" i="44"/>
  <c r="M13" i="44"/>
  <c r="J48" i="44"/>
  <c r="L48" i="44" s="1"/>
  <c r="N48" i="44" s="1"/>
  <c r="M38" i="44"/>
  <c r="J28" i="44"/>
  <c r="L28" i="44" s="1"/>
  <c r="D93" i="44"/>
  <c r="J93" i="44" s="1"/>
  <c r="D70" i="67"/>
  <c r="H69" i="44"/>
  <c r="E69" i="44"/>
  <c r="G69" i="44"/>
  <c r="D69" i="44"/>
  <c r="D79" i="67"/>
  <c r="H29" i="44"/>
  <c r="G29" i="44"/>
  <c r="E29" i="44"/>
  <c r="D29" i="44"/>
  <c r="H49" i="44"/>
  <c r="G49" i="44"/>
  <c r="E49" i="44"/>
  <c r="D49" i="44"/>
  <c r="D65" i="67"/>
  <c r="E89" i="44"/>
  <c r="H89" i="44"/>
  <c r="G89" i="44"/>
  <c r="D89" i="44"/>
  <c r="D30" i="67"/>
  <c r="J33" i="44"/>
  <c r="J43" i="44"/>
  <c r="L43" i="44" s="1"/>
  <c r="D39" i="67"/>
  <c r="H19" i="44"/>
  <c r="E19" i="44"/>
  <c r="G19" i="44"/>
  <c r="D19" i="44"/>
  <c r="D24" i="67"/>
  <c r="D54" i="67"/>
  <c r="D40" i="67"/>
  <c r="D14" i="67"/>
  <c r="D49" i="67"/>
  <c r="N18" i="44"/>
  <c r="N73" i="44"/>
  <c r="D35" i="67"/>
  <c r="G59" i="44"/>
  <c r="E59" i="44"/>
  <c r="H59" i="44"/>
  <c r="D59" i="44"/>
  <c r="G39" i="44"/>
  <c r="H39" i="44"/>
  <c r="E39" i="44"/>
  <c r="D39" i="44"/>
  <c r="D60" i="67"/>
  <c r="N43" i="44" l="1"/>
  <c r="N53" i="44"/>
  <c r="N88" i="44"/>
  <c r="N83" i="44"/>
  <c r="N58" i="44"/>
  <c r="N23" i="44"/>
  <c r="N28" i="44"/>
  <c r="M19" i="44"/>
  <c r="M79" i="44"/>
  <c r="J44" i="44"/>
  <c r="L44" i="44" s="1"/>
  <c r="N78" i="44"/>
  <c r="M49" i="44"/>
  <c r="J64" i="44"/>
  <c r="L64" i="44" s="1"/>
  <c r="M64" i="44"/>
  <c r="M74" i="44"/>
  <c r="M84" i="44"/>
  <c r="J89" i="44"/>
  <c r="L89" i="44" s="1"/>
  <c r="M39" i="44"/>
  <c r="M59" i="44"/>
  <c r="M89" i="44"/>
  <c r="J39" i="44"/>
  <c r="L39" i="44" s="1"/>
  <c r="J19" i="44"/>
  <c r="L19" i="44" s="1"/>
  <c r="J49" i="44"/>
  <c r="L49" i="44" s="1"/>
  <c r="H94" i="44"/>
  <c r="M69" i="44"/>
  <c r="E36" i="44"/>
  <c r="D36" i="44"/>
  <c r="H66" i="44"/>
  <c r="E66" i="44"/>
  <c r="G66" i="44"/>
  <c r="D66" i="44"/>
  <c r="M29" i="44"/>
  <c r="G94" i="44"/>
  <c r="J69" i="44"/>
  <c r="L69" i="44" s="1"/>
  <c r="H71" i="44"/>
  <c r="E71" i="44"/>
  <c r="G71" i="44"/>
  <c r="D71" i="44"/>
  <c r="D15" i="67"/>
  <c r="H86" i="44"/>
  <c r="E86" i="44"/>
  <c r="G86" i="44"/>
  <c r="D86" i="44"/>
  <c r="H81" i="44"/>
  <c r="G81" i="44"/>
  <c r="E81" i="44"/>
  <c r="D81" i="44"/>
  <c r="J79" i="44"/>
  <c r="L79" i="44" s="1"/>
  <c r="N79" i="44" s="1"/>
  <c r="M54" i="44"/>
  <c r="M14" i="44"/>
  <c r="H20" i="44"/>
  <c r="E20" i="44"/>
  <c r="G20" i="44"/>
  <c r="D20" i="44"/>
  <c r="M93" i="44"/>
  <c r="J24" i="44"/>
  <c r="L24" i="44" s="1"/>
  <c r="E75" i="44"/>
  <c r="G75" i="44"/>
  <c r="H75" i="44"/>
  <c r="D75" i="44"/>
  <c r="N38" i="44"/>
  <c r="G45" i="44"/>
  <c r="H45" i="44"/>
  <c r="E45" i="44"/>
  <c r="D45" i="44"/>
  <c r="E15" i="44"/>
  <c r="G15" i="44"/>
  <c r="H15" i="44"/>
  <c r="D15" i="44"/>
  <c r="E55" i="44"/>
  <c r="G55" i="44"/>
  <c r="H55" i="44"/>
  <c r="D55" i="44"/>
  <c r="E40" i="44"/>
  <c r="H40" i="44"/>
  <c r="G40" i="44"/>
  <c r="D40" i="44"/>
  <c r="E76" i="44"/>
  <c r="H76" i="44"/>
  <c r="G76" i="44"/>
  <c r="D76" i="44"/>
  <c r="E60" i="44"/>
  <c r="H60" i="44"/>
  <c r="G60" i="44"/>
  <c r="D60" i="44"/>
  <c r="E85" i="44"/>
  <c r="H85" i="44"/>
  <c r="G85" i="44"/>
  <c r="D85" i="44"/>
  <c r="E61" i="44"/>
  <c r="G61" i="44"/>
  <c r="H61" i="44"/>
  <c r="D61" i="44"/>
  <c r="G50" i="44"/>
  <c r="H50" i="44"/>
  <c r="E50" i="44"/>
  <c r="D50" i="44"/>
  <c r="G41" i="44"/>
  <c r="H41" i="44"/>
  <c r="E41" i="44"/>
  <c r="D41" i="44"/>
  <c r="J29" i="44"/>
  <c r="L29" i="44" s="1"/>
  <c r="D94" i="44"/>
  <c r="J98" i="44"/>
  <c r="L98" i="44" s="1"/>
  <c r="J103" i="44"/>
  <c r="L103" i="44" s="1"/>
  <c r="L93" i="44"/>
  <c r="N64" i="44"/>
  <c r="H65" i="44"/>
  <c r="E65" i="44"/>
  <c r="G65" i="44"/>
  <c r="D65" i="44"/>
  <c r="M44" i="44"/>
  <c r="N44" i="44" s="1"/>
  <c r="J54" i="44"/>
  <c r="L54" i="44" s="1"/>
  <c r="J14" i="44"/>
  <c r="L14" i="44" s="1"/>
  <c r="H56" i="44"/>
  <c r="G56" i="44"/>
  <c r="E56" i="44"/>
  <c r="D56" i="44"/>
  <c r="M12" i="44"/>
  <c r="N12" i="44" s="1"/>
  <c r="G91" i="44"/>
  <c r="H91" i="44"/>
  <c r="E91" i="44"/>
  <c r="D91" i="44"/>
  <c r="G70" i="44"/>
  <c r="H70" i="44"/>
  <c r="E70" i="44"/>
  <c r="D70" i="44"/>
  <c r="M24" i="44"/>
  <c r="J34" i="44"/>
  <c r="G90" i="44"/>
  <c r="H90" i="44"/>
  <c r="E90" i="44"/>
  <c r="D90" i="44"/>
  <c r="E35" i="44"/>
  <c r="D35" i="44"/>
  <c r="N13" i="44"/>
  <c r="N39" i="44"/>
  <c r="J59" i="44"/>
  <c r="L59" i="44" s="1"/>
  <c r="N11" i="44"/>
  <c r="H25" i="44"/>
  <c r="E25" i="44"/>
  <c r="G25" i="44"/>
  <c r="D25" i="44"/>
  <c r="H31" i="44"/>
  <c r="H96" i="44" s="1"/>
  <c r="E31" i="44"/>
  <c r="E96" i="44" s="1"/>
  <c r="G31" i="44"/>
  <c r="D31" i="44"/>
  <c r="E94" i="44"/>
  <c r="H80" i="44"/>
  <c r="E80" i="44"/>
  <c r="G80" i="44"/>
  <c r="D80" i="44"/>
  <c r="E26" i="44"/>
  <c r="H26" i="44"/>
  <c r="G26" i="44"/>
  <c r="M26" i="44" s="1"/>
  <c r="D26" i="44"/>
  <c r="G51" i="44"/>
  <c r="E51" i="44"/>
  <c r="H51" i="44"/>
  <c r="D51" i="44"/>
  <c r="H21" i="44"/>
  <c r="G21" i="44"/>
  <c r="E21" i="44"/>
  <c r="D21" i="44"/>
  <c r="J74" i="44"/>
  <c r="L74" i="44" s="1"/>
  <c r="N74" i="44" s="1"/>
  <c r="E46" i="44"/>
  <c r="G46" i="44"/>
  <c r="H46" i="44"/>
  <c r="D46" i="44"/>
  <c r="N97" i="44"/>
  <c r="N102" i="44"/>
  <c r="H30" i="44"/>
  <c r="E30" i="44"/>
  <c r="E95" i="44" s="1"/>
  <c r="G30" i="44"/>
  <c r="D30" i="44"/>
  <c r="J84" i="44"/>
  <c r="L84" i="44" s="1"/>
  <c r="J86" i="44" l="1"/>
  <c r="L86" i="44" s="1"/>
  <c r="N54" i="44"/>
  <c r="N19" i="44"/>
  <c r="N29" i="44"/>
  <c r="N84" i="44"/>
  <c r="N59" i="44"/>
  <c r="N14" i="44"/>
  <c r="J81" i="44"/>
  <c r="L81" i="44" s="1"/>
  <c r="J36" i="44"/>
  <c r="M80" i="44"/>
  <c r="J25" i="44"/>
  <c r="L25" i="44" s="1"/>
  <c r="N49" i="44"/>
  <c r="M61" i="44"/>
  <c r="M65" i="44"/>
  <c r="N93" i="44"/>
  <c r="J20" i="44"/>
  <c r="L20" i="44" s="1"/>
  <c r="M86" i="44"/>
  <c r="N86" i="44" s="1"/>
  <c r="J66" i="44"/>
  <c r="L66" i="44" s="1"/>
  <c r="J70" i="44"/>
  <c r="L70" i="44" s="1"/>
  <c r="J91" i="44"/>
  <c r="L91" i="44" s="1"/>
  <c r="H95" i="44"/>
  <c r="J21" i="44"/>
  <c r="L21" i="44" s="1"/>
  <c r="J51" i="44"/>
  <c r="L51" i="44" s="1"/>
  <c r="J26" i="44"/>
  <c r="L26" i="44" s="1"/>
  <c r="N26" i="44" s="1"/>
  <c r="J80" i="44"/>
  <c r="L80" i="44" s="1"/>
  <c r="M70" i="44"/>
  <c r="M91" i="44"/>
  <c r="M56" i="44"/>
  <c r="M94" i="44"/>
  <c r="M99" i="44" s="1"/>
  <c r="N89" i="44"/>
  <c r="M45" i="44"/>
  <c r="M75" i="44"/>
  <c r="J46" i="44"/>
  <c r="L46" i="44" s="1"/>
  <c r="J55" i="44"/>
  <c r="L55" i="44" s="1"/>
  <c r="J15" i="44"/>
  <c r="L15" i="44" s="1"/>
  <c r="J45" i="44"/>
  <c r="L45" i="44" s="1"/>
  <c r="M81" i="44"/>
  <c r="N81" i="44" s="1"/>
  <c r="N69" i="44"/>
  <c r="M51" i="44"/>
  <c r="N51" i="44" s="1"/>
  <c r="J35" i="44"/>
  <c r="J90" i="44"/>
  <c r="L90" i="44" s="1"/>
  <c r="J65" i="44"/>
  <c r="L65" i="44" s="1"/>
  <c r="N65" i="44" s="1"/>
  <c r="J94" i="44"/>
  <c r="M40" i="44"/>
  <c r="M98" i="44"/>
  <c r="M103" i="44"/>
  <c r="M71" i="44"/>
  <c r="G10" i="66"/>
  <c r="G95" i="44"/>
  <c r="M95" i="44" s="1"/>
  <c r="M30" i="44"/>
  <c r="M46" i="44"/>
  <c r="D96" i="44"/>
  <c r="J96" i="44" s="1"/>
  <c r="J31" i="44"/>
  <c r="L31" i="44" s="1"/>
  <c r="N70" i="44"/>
  <c r="N91" i="44"/>
  <c r="V7" i="44"/>
  <c r="M41" i="44"/>
  <c r="M50" i="44"/>
  <c r="J85" i="44"/>
  <c r="L85" i="44" s="1"/>
  <c r="J60" i="44"/>
  <c r="L60" i="44" s="1"/>
  <c r="J76" i="44"/>
  <c r="L76" i="44" s="1"/>
  <c r="M55" i="44"/>
  <c r="N55" i="44" s="1"/>
  <c r="M15" i="44"/>
  <c r="N15" i="44" s="1"/>
  <c r="N45" i="44"/>
  <c r="H16" i="44"/>
  <c r="E16" i="44"/>
  <c r="G16" i="44"/>
  <c r="D16" i="44"/>
  <c r="J30" i="44"/>
  <c r="L30" i="44" s="1"/>
  <c r="D95" i="44"/>
  <c r="J95" i="44" s="1"/>
  <c r="M21" i="44"/>
  <c r="N21" i="44" s="1"/>
  <c r="G96" i="44"/>
  <c r="M96" i="44" s="1"/>
  <c r="M31" i="44"/>
  <c r="M25" i="44"/>
  <c r="N25" i="44" s="1"/>
  <c r="M90" i="44"/>
  <c r="J56" i="44"/>
  <c r="L56" i="44" s="1"/>
  <c r="N56" i="44" s="1"/>
  <c r="J41" i="44"/>
  <c r="L41" i="44" s="1"/>
  <c r="N41" i="44" s="1"/>
  <c r="J50" i="44"/>
  <c r="L50" i="44" s="1"/>
  <c r="N50" i="44" s="1"/>
  <c r="J61" i="44"/>
  <c r="L61" i="44" s="1"/>
  <c r="M85" i="44"/>
  <c r="M60" i="44"/>
  <c r="M76" i="44"/>
  <c r="J40" i="44"/>
  <c r="L40" i="44" s="1"/>
  <c r="N40" i="44" s="1"/>
  <c r="J75" i="44"/>
  <c r="L75" i="44" s="1"/>
  <c r="N75" i="44" s="1"/>
  <c r="N24" i="44"/>
  <c r="M20" i="44"/>
  <c r="N20" i="44" s="1"/>
  <c r="J71" i="44"/>
  <c r="L71" i="44" s="1"/>
  <c r="N71" i="44" s="1"/>
  <c r="M66" i="44"/>
  <c r="N66" i="44" s="1"/>
  <c r="V20" i="44" l="1"/>
  <c r="N80" i="44"/>
  <c r="N61" i="44"/>
  <c r="N46" i="44"/>
  <c r="N30" i="44"/>
  <c r="J16" i="44"/>
  <c r="L16" i="44" s="1"/>
  <c r="M104" i="44"/>
  <c r="M16" i="44"/>
  <c r="N98" i="44"/>
  <c r="V13" i="44"/>
  <c r="N103" i="44"/>
  <c r="V9" i="44"/>
  <c r="V16" i="44"/>
  <c r="V18" i="44"/>
  <c r="V15" i="44"/>
  <c r="N76" i="44"/>
  <c r="J105" i="44"/>
  <c r="L105" i="44" s="1"/>
  <c r="L95" i="44"/>
  <c r="N95" i="44" s="1"/>
  <c r="P95" i="44" s="1"/>
  <c r="Q95" i="44" s="1"/>
  <c r="R95" i="44" s="1"/>
  <c r="J100" i="44"/>
  <c r="L100" i="44" s="1"/>
  <c r="N16" i="44"/>
  <c r="V10" i="44"/>
  <c r="N31" i="44"/>
  <c r="P31" i="44" s="1"/>
  <c r="Q31" i="44" s="1"/>
  <c r="R31" i="44" s="1"/>
  <c r="M105" i="44"/>
  <c r="M100" i="44"/>
  <c r="J99" i="44"/>
  <c r="L99" i="44" s="1"/>
  <c r="J104" i="44"/>
  <c r="L104" i="44" s="1"/>
  <c r="L94" i="44"/>
  <c r="N94" i="44" s="1"/>
  <c r="M106" i="44"/>
  <c r="M101" i="44"/>
  <c r="N60" i="44"/>
  <c r="V17" i="44" s="1"/>
  <c r="N85" i="44"/>
  <c r="L96" i="44"/>
  <c r="N96" i="44" s="1"/>
  <c r="P96" i="44" s="1"/>
  <c r="Q96" i="44" s="1"/>
  <c r="R96" i="44" s="1"/>
  <c r="J106" i="44"/>
  <c r="L106" i="44" s="1"/>
  <c r="J101" i="44"/>
  <c r="L101" i="44" s="1"/>
  <c r="P16" i="44"/>
  <c r="Q16" i="44" s="1"/>
  <c r="R16" i="44" s="1"/>
  <c r="P40" i="44"/>
  <c r="Q40" i="44" s="1"/>
  <c r="R40" i="44" s="1"/>
  <c r="P64" i="44"/>
  <c r="Q64" i="44" s="1"/>
  <c r="R64" i="44" s="1"/>
  <c r="P10" i="44"/>
  <c r="Q10" i="44" s="1"/>
  <c r="R10" i="44" s="1"/>
  <c r="P15" i="44"/>
  <c r="Q15" i="44" s="1"/>
  <c r="R15" i="44" s="1"/>
  <c r="P9" i="44"/>
  <c r="Q9" i="44" s="1"/>
  <c r="R9" i="44" s="1"/>
  <c r="P70" i="44"/>
  <c r="Q70" i="44" s="1"/>
  <c r="R70" i="44" s="1"/>
  <c r="P42" i="44"/>
  <c r="Q42" i="44" s="1"/>
  <c r="R42" i="44" s="1"/>
  <c r="P51" i="44"/>
  <c r="Q51" i="44" s="1"/>
  <c r="R51" i="44" s="1"/>
  <c r="P62" i="44"/>
  <c r="Q62" i="44" s="1"/>
  <c r="R62" i="44" s="1"/>
  <c r="P20" i="44"/>
  <c r="Q20" i="44" s="1"/>
  <c r="R20" i="44" s="1"/>
  <c r="P8" i="44"/>
  <c r="Q8" i="44" s="1"/>
  <c r="R8" i="44" s="1"/>
  <c r="P7" i="44"/>
  <c r="Q7" i="44" s="1"/>
  <c r="R7" i="44" s="1"/>
  <c r="P82" i="44"/>
  <c r="Q82" i="44" s="1"/>
  <c r="R82" i="44" s="1"/>
  <c r="P72" i="44"/>
  <c r="Q72" i="44" s="1"/>
  <c r="R72" i="44" s="1"/>
  <c r="P71" i="44"/>
  <c r="Q71" i="44" s="1"/>
  <c r="R71" i="44" s="1"/>
  <c r="P11" i="44"/>
  <c r="Q11" i="44" s="1"/>
  <c r="R11" i="44" s="1"/>
  <c r="P86" i="44"/>
  <c r="Q86" i="44" s="1"/>
  <c r="R86" i="44" s="1"/>
  <c r="P13" i="44"/>
  <c r="Q13" i="44" s="1"/>
  <c r="R13" i="44" s="1"/>
  <c r="P24" i="44"/>
  <c r="Q24" i="44" s="1"/>
  <c r="R24" i="44" s="1"/>
  <c r="P59" i="44"/>
  <c r="Q59" i="44" s="1"/>
  <c r="R59" i="44" s="1"/>
  <c r="P83" i="44"/>
  <c r="Q83" i="44" s="1"/>
  <c r="R83" i="44" s="1"/>
  <c r="P39" i="44"/>
  <c r="Q39" i="44" s="1"/>
  <c r="R39" i="44" s="1"/>
  <c r="P76" i="44"/>
  <c r="Q76" i="44" s="1"/>
  <c r="R76" i="44" s="1"/>
  <c r="P89" i="44"/>
  <c r="Q89" i="44" s="1"/>
  <c r="R89" i="44" s="1"/>
  <c r="P54" i="44"/>
  <c r="Q54" i="44" s="1"/>
  <c r="R54" i="44" s="1"/>
  <c r="P57" i="44"/>
  <c r="Q57" i="44" s="1"/>
  <c r="R57" i="44" s="1"/>
  <c r="P77" i="44"/>
  <c r="Q77" i="44" s="1"/>
  <c r="R77" i="44" s="1"/>
  <c r="P102" i="44"/>
  <c r="Q102" i="44" s="1"/>
  <c r="R102" i="44" s="1"/>
  <c r="P55" i="44"/>
  <c r="Q55" i="44" s="1"/>
  <c r="R55" i="44" s="1"/>
  <c r="P41" i="44"/>
  <c r="Q41" i="44" s="1"/>
  <c r="R41" i="44" s="1"/>
  <c r="P53" i="44"/>
  <c r="Q53" i="44" s="1"/>
  <c r="R53" i="44" s="1"/>
  <c r="P18" i="44"/>
  <c r="Q18" i="44" s="1"/>
  <c r="R18" i="44" s="1"/>
  <c r="P67" i="44"/>
  <c r="Q67" i="44" s="1"/>
  <c r="R67" i="44" s="1"/>
  <c r="P66" i="44"/>
  <c r="Q66" i="44" s="1"/>
  <c r="R66" i="44" s="1"/>
  <c r="P61" i="44"/>
  <c r="Q61" i="44" s="1"/>
  <c r="R61" i="44" s="1"/>
  <c r="P27" i="44"/>
  <c r="Q27" i="44" s="1"/>
  <c r="R27" i="44" s="1"/>
  <c r="P93" i="44"/>
  <c r="Q93" i="44" s="1"/>
  <c r="R93" i="44" s="1"/>
  <c r="P30" i="44"/>
  <c r="Q30" i="44" s="1"/>
  <c r="R30" i="44" s="1"/>
  <c r="P50" i="44"/>
  <c r="Q50" i="44" s="1"/>
  <c r="R50" i="44" s="1"/>
  <c r="P29" i="44"/>
  <c r="Q29" i="44" s="1"/>
  <c r="R29" i="44" s="1"/>
  <c r="P19" i="44"/>
  <c r="Q19" i="44" s="1"/>
  <c r="R19" i="44" s="1"/>
  <c r="P97" i="44"/>
  <c r="Q97" i="44" s="1"/>
  <c r="R97" i="44" s="1"/>
  <c r="P49" i="44"/>
  <c r="Q49" i="44" s="1"/>
  <c r="R49" i="44" s="1"/>
  <c r="P81" i="44"/>
  <c r="Q81" i="44" s="1"/>
  <c r="R81" i="44" s="1"/>
  <c r="P17" i="44"/>
  <c r="Q17" i="44" s="1"/>
  <c r="R17" i="44" s="1"/>
  <c r="P91" i="44"/>
  <c r="Q91" i="44" s="1"/>
  <c r="R91" i="44" s="1"/>
  <c r="P14" i="44"/>
  <c r="Q14" i="44" s="1"/>
  <c r="R14" i="44" s="1"/>
  <c r="P12" i="44"/>
  <c r="Q12" i="44" s="1"/>
  <c r="R12" i="44" s="1"/>
  <c r="P23" i="44"/>
  <c r="Q23" i="44" s="1"/>
  <c r="R23" i="44" s="1"/>
  <c r="P37" i="44"/>
  <c r="Q37" i="44" s="1"/>
  <c r="R37" i="44" s="1"/>
  <c r="P22" i="44"/>
  <c r="Q22" i="44" s="1"/>
  <c r="R22" i="44" s="1"/>
  <c r="P84" i="44"/>
  <c r="Q84" i="44" s="1"/>
  <c r="R84" i="44" s="1"/>
  <c r="P78" i="44"/>
  <c r="Q78" i="44" s="1"/>
  <c r="R78" i="44" s="1"/>
  <c r="P44" i="44"/>
  <c r="Q44" i="44" s="1"/>
  <c r="R44" i="44" s="1"/>
  <c r="P69" i="44"/>
  <c r="Q69" i="44" s="1"/>
  <c r="R69" i="44" s="1"/>
  <c r="P87" i="44"/>
  <c r="Q87" i="44" s="1"/>
  <c r="R87" i="44" s="1"/>
  <c r="P65" i="44"/>
  <c r="Q65" i="44" s="1"/>
  <c r="R65" i="44" s="1"/>
  <c r="P88" i="44"/>
  <c r="Q88" i="44" s="1"/>
  <c r="R88" i="44" s="1"/>
  <c r="P52" i="44"/>
  <c r="Q52" i="44" s="1"/>
  <c r="R52" i="44" s="1"/>
  <c r="P28" i="44"/>
  <c r="Q28" i="44" s="1"/>
  <c r="R28" i="44" s="1"/>
  <c r="P58" i="44"/>
  <c r="Q58" i="44" s="1"/>
  <c r="R58" i="44" s="1"/>
  <c r="P56" i="44"/>
  <c r="Q56" i="44" s="1"/>
  <c r="R56" i="44" s="1"/>
  <c r="P26" i="44"/>
  <c r="Q26" i="44" s="1"/>
  <c r="R26" i="44" s="1"/>
  <c r="P75" i="44"/>
  <c r="Q75" i="44" s="1"/>
  <c r="R75" i="44" s="1"/>
  <c r="P103" i="44"/>
  <c r="Q103" i="44" s="1"/>
  <c r="R103" i="44" s="1"/>
  <c r="P79" i="44"/>
  <c r="Q79" i="44" s="1"/>
  <c r="R79" i="44" s="1"/>
  <c r="P74" i="44"/>
  <c r="Q74" i="44" s="1"/>
  <c r="R74" i="44" s="1"/>
  <c r="P47" i="44"/>
  <c r="Q47" i="44" s="1"/>
  <c r="R47" i="44" s="1"/>
  <c r="P98" i="44"/>
  <c r="Q98" i="44" s="1"/>
  <c r="R98" i="44" s="1"/>
  <c r="P85" i="44"/>
  <c r="Q85" i="44" s="1"/>
  <c r="R85" i="44" s="1"/>
  <c r="P43" i="44"/>
  <c r="Q43" i="44" s="1"/>
  <c r="R43" i="44" s="1"/>
  <c r="P80" i="44"/>
  <c r="Q80" i="44" s="1"/>
  <c r="R80" i="44" s="1"/>
  <c r="P63" i="44"/>
  <c r="Q63" i="44" s="1"/>
  <c r="R63" i="44" s="1"/>
  <c r="P45" i="44"/>
  <c r="Q45" i="44" s="1"/>
  <c r="R45" i="44" s="1"/>
  <c r="P25" i="44"/>
  <c r="Q25" i="44" s="1"/>
  <c r="R25" i="44" s="1"/>
  <c r="P94" i="44"/>
  <c r="Q94" i="44" s="1"/>
  <c r="R94" i="44" s="1"/>
  <c r="P73" i="44"/>
  <c r="Q73" i="44" s="1"/>
  <c r="R73" i="44" s="1"/>
  <c r="P68" i="44"/>
  <c r="Q68" i="44" s="1"/>
  <c r="R68" i="44" s="1"/>
  <c r="P92" i="44"/>
  <c r="Q92" i="44" s="1"/>
  <c r="R92" i="44" s="1"/>
  <c r="P48" i="44"/>
  <c r="Q48" i="44" s="1"/>
  <c r="R48" i="44" s="1"/>
  <c r="P21" i="44"/>
  <c r="Q21" i="44" s="1"/>
  <c r="R21" i="44" s="1"/>
  <c r="P38" i="44"/>
  <c r="Q38" i="44" s="1"/>
  <c r="R38" i="44" s="1"/>
  <c r="N90" i="44"/>
  <c r="P60" i="44" l="1"/>
  <c r="Q60" i="44" s="1"/>
  <c r="R60" i="44" s="1"/>
  <c r="P46" i="44"/>
  <c r="Q46" i="44" s="1"/>
  <c r="R46" i="44" s="1"/>
  <c r="AA35" i="84" s="1"/>
  <c r="V14" i="44"/>
  <c r="AA37" i="84"/>
  <c r="AA29" i="84"/>
  <c r="AA36" i="84"/>
  <c r="AA30" i="84"/>
  <c r="AA27" i="84"/>
  <c r="V22" i="44"/>
  <c r="AA34" i="84"/>
  <c r="AA39" i="84"/>
  <c r="N100" i="44"/>
  <c r="P100" i="44" s="1"/>
  <c r="Q100" i="44" s="1"/>
  <c r="R100" i="44" s="1"/>
  <c r="N105" i="44"/>
  <c r="P105" i="44" s="1"/>
  <c r="Q105" i="44" s="1"/>
  <c r="R105" i="44" s="1"/>
  <c r="V8" i="44"/>
  <c r="AA41" i="84"/>
  <c r="N106" i="44"/>
  <c r="N101" i="44"/>
  <c r="P101" i="44" s="1"/>
  <c r="Q101" i="44" s="1"/>
  <c r="R101" i="44" s="1"/>
  <c r="AA38" i="84"/>
  <c r="AA40" i="84"/>
  <c r="V21" i="44"/>
  <c r="N104" i="44"/>
  <c r="N99" i="44"/>
  <c r="V11" i="44"/>
  <c r="P90" i="44"/>
  <c r="Q90" i="44" s="1"/>
  <c r="R90" i="44" s="1"/>
  <c r="AA31" i="84"/>
  <c r="AA42" i="84"/>
  <c r="AA43" i="84" l="1"/>
  <c r="P99" i="44"/>
  <c r="Q99" i="44" s="1"/>
  <c r="R99" i="44" s="1"/>
  <c r="V19" i="44"/>
  <c r="P106" i="44"/>
  <c r="Q106" i="44" s="1"/>
  <c r="R106" i="44" s="1"/>
  <c r="P104" i="44"/>
  <c r="Q104" i="44" s="1"/>
  <c r="R104" i="44" s="1"/>
  <c r="AA28" i="84" l="1"/>
  <c r="AA32" i="84"/>
  <c r="E31" i="67" l="1"/>
  <c r="E95" i="67"/>
  <c r="E91" i="67"/>
  <c r="E35" i="67"/>
  <c r="E92" i="67"/>
  <c r="H31" i="67"/>
  <c r="E34" i="67"/>
  <c r="E94" i="67"/>
  <c r="E33" i="67"/>
  <c r="H33" i="67"/>
  <c r="E93" i="67"/>
  <c r="H34" i="67" l="1"/>
  <c r="F35" i="44" s="1"/>
  <c r="K35" i="44" s="1"/>
  <c r="L35" i="44" s="1"/>
  <c r="F94" i="67"/>
  <c r="F93" i="67"/>
  <c r="H35" i="67"/>
  <c r="F34" i="44"/>
  <c r="K34" i="44" s="1"/>
  <c r="L34" i="44" s="1"/>
  <c r="F32" i="44"/>
  <c r="K32" i="44" s="1"/>
  <c r="L32" i="44" s="1"/>
  <c r="E32" i="67"/>
  <c r="F91" i="67"/>
  <c r="F95" i="67"/>
  <c r="H32" i="67"/>
  <c r="D91" i="67"/>
  <c r="F92" i="67"/>
  <c r="G34" i="44"/>
  <c r="H34" i="44"/>
  <c r="G32" i="44"/>
  <c r="H32" i="44"/>
  <c r="F33" i="44" l="1"/>
  <c r="K33" i="44" s="1"/>
  <c r="L33" i="44" s="1"/>
  <c r="M32" i="44"/>
  <c r="N32" i="44" s="1"/>
  <c r="D92" i="67"/>
  <c r="M34" i="44"/>
  <c r="N34" i="44" s="1"/>
  <c r="P34" i="44" s="1"/>
  <c r="Q34" i="44" s="1"/>
  <c r="R34" i="44" s="1"/>
  <c r="G33" i="44"/>
  <c r="H33" i="44"/>
  <c r="G92" i="67"/>
  <c r="G93" i="67"/>
  <c r="H36" i="44"/>
  <c r="G36" i="44"/>
  <c r="G95" i="67"/>
  <c r="H94" i="67"/>
  <c r="H91" i="67"/>
  <c r="H93" i="67"/>
  <c r="F36" i="44"/>
  <c r="K36" i="44" s="1"/>
  <c r="L36" i="44" s="1"/>
  <c r="H95" i="67"/>
  <c r="G91" i="67"/>
  <c r="H92" i="67"/>
  <c r="G94" i="67"/>
  <c r="H35" i="44"/>
  <c r="G35" i="44"/>
  <c r="M35" i="44" l="1"/>
  <c r="N35" i="44" s="1"/>
  <c r="P35" i="44" s="1"/>
  <c r="Q35" i="44" s="1"/>
  <c r="R35" i="44" s="1"/>
  <c r="M33" i="44"/>
  <c r="N33" i="44" s="1"/>
  <c r="P33" i="44" s="1"/>
  <c r="Q33" i="44" s="1"/>
  <c r="R33" i="44" s="1"/>
  <c r="M36" i="44"/>
  <c r="N36" i="44" s="1"/>
  <c r="P36" i="44" s="1"/>
  <c r="Q36" i="44" s="1"/>
  <c r="R36" i="44" s="1"/>
  <c r="P32" i="44"/>
  <c r="Q32" i="44" s="1"/>
  <c r="R32" i="44" s="1"/>
  <c r="D93" i="67"/>
  <c r="D94" i="67" l="1"/>
  <c r="AA33" i="84"/>
  <c r="V12" i="44"/>
  <c r="V23" i="44" s="1"/>
  <c r="AA44" i="84" l="1"/>
  <c r="D95" i="67"/>
  <c r="K135" i="90" l="1"/>
  <c r="E53" i="84"/>
  <c r="E60" i="84"/>
  <c r="K310" i="90"/>
  <c r="K311" i="90"/>
  <c r="K235" i="90"/>
  <c r="E57" i="84"/>
  <c r="K236" i="90"/>
  <c r="K136" i="90"/>
  <c r="K32" i="84" l="1"/>
  <c r="K28" i="84"/>
  <c r="E61" i="84"/>
  <c r="K335" i="90"/>
  <c r="K336" i="90"/>
  <c r="K261" i="90"/>
  <c r="K260" i="90"/>
  <c r="E58" i="84"/>
  <c r="K30" i="84" l="1"/>
  <c r="K36" i="84"/>
  <c r="K33" i="84"/>
  <c r="K43" i="84"/>
  <c r="K41" i="84"/>
  <c r="K31" i="84"/>
  <c r="K35" i="84"/>
  <c r="K42" i="84"/>
  <c r="K38" i="84"/>
  <c r="K40" i="84" l="1"/>
  <c r="K34" i="84"/>
  <c r="J44" i="84" l="1"/>
  <c r="K27" i="84"/>
  <c r="K44" i="84" l="1"/>
  <c r="S75" i="84" l="1"/>
  <c r="S85" i="84"/>
  <c r="S73" i="84"/>
  <c r="R72" i="84"/>
  <c r="K72" i="84"/>
  <c r="T72" i="84" s="1"/>
  <c r="K74" i="84"/>
  <c r="T74" i="84" s="1"/>
  <c r="R74" i="84"/>
  <c r="K76" i="84"/>
  <c r="T76" i="84" s="1"/>
  <c r="R76" i="84"/>
  <c r="R78" i="84"/>
  <c r="K78" i="84"/>
  <c r="T78" i="84" s="1"/>
  <c r="R80" i="84"/>
  <c r="K80" i="84"/>
  <c r="T80" i="84" s="1"/>
  <c r="R82" i="84"/>
  <c r="K82" i="84"/>
  <c r="T82" i="84" s="1"/>
  <c r="K84" i="84"/>
  <c r="T84" i="84" s="1"/>
  <c r="R84" i="84"/>
  <c r="R86" i="84"/>
  <c r="K86" i="84"/>
  <c r="T86" i="84" s="1"/>
  <c r="S77" i="84"/>
  <c r="S83" i="84"/>
  <c r="S72" i="84"/>
  <c r="S74" i="84"/>
  <c r="S76" i="84"/>
  <c r="S78" i="84"/>
  <c r="S80" i="84"/>
  <c r="S82" i="84"/>
  <c r="S84" i="84"/>
  <c r="S86" i="84"/>
  <c r="J88" i="84"/>
  <c r="S71" i="84"/>
  <c r="S79" i="84"/>
  <c r="S81" i="84"/>
  <c r="S87" i="84"/>
  <c r="I88" i="84"/>
  <c r="R71" i="84"/>
  <c r="K71" i="84"/>
  <c r="K73" i="84"/>
  <c r="T73" i="84" s="1"/>
  <c r="R73" i="84"/>
  <c r="R75" i="84"/>
  <c r="K75" i="84"/>
  <c r="T75" i="84" s="1"/>
  <c r="R77" i="84"/>
  <c r="K77" i="84"/>
  <c r="T77" i="84" s="1"/>
  <c r="R79" i="84"/>
  <c r="K79" i="84"/>
  <c r="T79" i="84" s="1"/>
  <c r="R81" i="84"/>
  <c r="K81" i="84"/>
  <c r="T81" i="84" s="1"/>
  <c r="R83" i="84"/>
  <c r="K83" i="84"/>
  <c r="T83" i="84" s="1"/>
  <c r="K85" i="84"/>
  <c r="T85" i="84" s="1"/>
  <c r="R85" i="84"/>
  <c r="R87" i="84"/>
  <c r="K87" i="84"/>
  <c r="T87" i="84" s="1"/>
  <c r="S88" i="84" l="1"/>
  <c r="T71" i="84"/>
  <c r="T88" i="84" s="1"/>
  <c r="K88" i="84"/>
  <c r="R88" i="84"/>
  <c r="K282" i="90" l="1"/>
  <c r="K382" i="90" l="1"/>
  <c r="K207" i="90"/>
  <c r="K232" i="90"/>
  <c r="K182" i="90"/>
  <c r="K82" i="90"/>
  <c r="K57" i="90"/>
  <c r="K32" i="90"/>
  <c r="K7" i="90"/>
  <c r="K407" i="90"/>
  <c r="K132" i="90"/>
  <c r="K6" i="90"/>
  <c r="N27" i="84"/>
  <c r="K307" i="90"/>
  <c r="K107" i="90"/>
  <c r="K281" i="90"/>
  <c r="N38" i="84"/>
  <c r="K257" i="90"/>
  <c r="K332" i="90"/>
  <c r="K357" i="90"/>
  <c r="K157" i="90"/>
  <c r="K131" i="90" l="1"/>
  <c r="N32" i="84"/>
  <c r="K331" i="90"/>
  <c r="N40" i="84"/>
  <c r="K231" i="90"/>
  <c r="N36" i="84"/>
  <c r="K156" i="90"/>
  <c r="N33" i="84"/>
  <c r="K356" i="90"/>
  <c r="N41" i="84"/>
  <c r="K56" i="90"/>
  <c r="N29" i="84"/>
  <c r="K206" i="90"/>
  <c r="N35" i="84"/>
  <c r="K306" i="90"/>
  <c r="N39" i="84"/>
  <c r="K256" i="90"/>
  <c r="N37" i="84"/>
  <c r="M44" i="84"/>
  <c r="K81" i="90"/>
  <c r="N30" i="84"/>
  <c r="K31" i="90"/>
  <c r="N28" i="84"/>
  <c r="K381" i="90"/>
  <c r="N42" i="84"/>
  <c r="N34" i="84"/>
  <c r="K181" i="90"/>
  <c r="L44" i="84"/>
  <c r="K406" i="90" l="1"/>
  <c r="N43" i="84"/>
  <c r="N31" i="84"/>
  <c r="K106" i="90"/>
  <c r="N44" i="84" l="1"/>
  <c r="AE40" i="84" l="1"/>
  <c r="AC44" i="84" l="1"/>
  <c r="AE27" i="84"/>
  <c r="AE44" i="84" s="1"/>
  <c r="AD44" i="84"/>
  <c r="K411" i="90" l="1"/>
  <c r="E64" i="84"/>
  <c r="K410" i="90"/>
  <c r="K161" i="90" l="1"/>
  <c r="K160" i="90"/>
  <c r="E54" i="84"/>
  <c r="K36" i="90" l="1"/>
  <c r="K35" i="90"/>
  <c r="E49" i="84"/>
  <c r="K61" i="90"/>
  <c r="E50" i="84"/>
  <c r="K60" i="90"/>
  <c r="K361" i="90" l="1"/>
  <c r="E62" i="84"/>
  <c r="K360" i="90"/>
  <c r="K210" i="90" l="1"/>
  <c r="E56" i="84"/>
  <c r="E55" i="84"/>
  <c r="K185" i="90"/>
  <c r="E51" i="84"/>
  <c r="K85" i="90"/>
  <c r="K186" i="90"/>
  <c r="K86" i="90"/>
  <c r="K211" i="90"/>
  <c r="K386" i="90" l="1"/>
  <c r="E63" i="84"/>
  <c r="K385" i="90"/>
  <c r="E59" i="84"/>
  <c r="K285" i="90"/>
  <c r="K286" i="90"/>
  <c r="E52" i="84" l="1"/>
  <c r="K110" i="90"/>
  <c r="K111" i="90"/>
  <c r="K11" i="90" l="1"/>
  <c r="D65" i="84"/>
  <c r="C65" i="84"/>
  <c r="K10" i="90"/>
  <c r="E48" i="84"/>
  <c r="E65" i="84" s="1"/>
  <c r="W9" i="44" l="1"/>
  <c r="W19" i="44"/>
  <c r="W13" i="44"/>
  <c r="W12" i="44"/>
  <c r="W10" i="44" l="1"/>
  <c r="W15" i="44"/>
  <c r="W18" i="44"/>
  <c r="W14" i="44"/>
  <c r="W16" i="44"/>
  <c r="W22" i="44"/>
  <c r="W17" i="44"/>
  <c r="W20" i="44"/>
  <c r="W11" i="44"/>
  <c r="W21" i="44"/>
  <c r="W7" i="44" l="1"/>
  <c r="W26" i="44" s="1"/>
  <c r="F6" i="66" s="1"/>
  <c r="X32" i="84"/>
  <c r="D32" i="84" s="1"/>
  <c r="P32" i="84" s="1"/>
  <c r="W32" i="84"/>
  <c r="C32" i="84" s="1"/>
  <c r="W8" i="44"/>
  <c r="X39" i="84" l="1"/>
  <c r="D39" i="84" s="1"/>
  <c r="P39" i="84" s="1"/>
  <c r="W39" i="84"/>
  <c r="C39" i="84" s="1"/>
  <c r="W34" i="84"/>
  <c r="C34" i="84" s="1"/>
  <c r="X34" i="84"/>
  <c r="D34" i="84" s="1"/>
  <c r="P34" i="84" s="1"/>
  <c r="X33" i="84"/>
  <c r="D33" i="84" s="1"/>
  <c r="P33" i="84" s="1"/>
  <c r="W33" i="84"/>
  <c r="C33" i="84" s="1"/>
  <c r="W31" i="84"/>
  <c r="C31" i="84" s="1"/>
  <c r="X31" i="84"/>
  <c r="D31" i="84" s="1"/>
  <c r="P31" i="84" s="1"/>
  <c r="W43" i="84"/>
  <c r="C43" i="84" s="1"/>
  <c r="X43" i="84"/>
  <c r="D43" i="84" s="1"/>
  <c r="P43" i="84" s="1"/>
  <c r="W42" i="84"/>
  <c r="C42" i="84" s="1"/>
  <c r="X42" i="84"/>
  <c r="D42" i="84" s="1"/>
  <c r="P42" i="84" s="1"/>
  <c r="X41" i="84"/>
  <c r="D41" i="84" s="1"/>
  <c r="P41" i="84" s="1"/>
  <c r="W41" i="84"/>
  <c r="C41" i="84" s="1"/>
  <c r="W35" i="84"/>
  <c r="C35" i="84" s="1"/>
  <c r="X35" i="84"/>
  <c r="D35" i="84" s="1"/>
  <c r="P35" i="84" s="1"/>
  <c r="O32" i="84"/>
  <c r="E32" i="84"/>
  <c r="Q32" i="84" s="1"/>
  <c r="X40" i="84"/>
  <c r="D40" i="84" s="1"/>
  <c r="P40" i="84" s="1"/>
  <c r="W40" i="84"/>
  <c r="C40" i="84" s="1"/>
  <c r="W38" i="84"/>
  <c r="C38" i="84" s="1"/>
  <c r="X38" i="84"/>
  <c r="D38" i="84" s="1"/>
  <c r="P38" i="84" s="1"/>
  <c r="D11" i="84"/>
  <c r="H11" i="84" s="1"/>
  <c r="K130" i="90"/>
  <c r="U23" i="44"/>
  <c r="W23" i="44" s="1"/>
  <c r="W30" i="84"/>
  <c r="C30" i="84" s="1"/>
  <c r="X30" i="84"/>
  <c r="D30" i="84" s="1"/>
  <c r="P30" i="84" s="1"/>
  <c r="W28" i="84"/>
  <c r="C28" i="84" s="1"/>
  <c r="X28" i="84"/>
  <c r="D28" i="84" s="1"/>
  <c r="P28" i="84" s="1"/>
  <c r="W36" i="84"/>
  <c r="C36" i="84" s="1"/>
  <c r="X36" i="84"/>
  <c r="D36" i="84" s="1"/>
  <c r="P36" i="84" s="1"/>
  <c r="X37" i="84"/>
  <c r="D37" i="84" s="1"/>
  <c r="P37" i="84" s="1"/>
  <c r="W37" i="84"/>
  <c r="C37" i="84" s="1"/>
  <c r="D15" i="84" l="1"/>
  <c r="H15" i="84" s="1"/>
  <c r="K230" i="90"/>
  <c r="K80" i="90"/>
  <c r="D9" i="84"/>
  <c r="H9" i="84" s="1"/>
  <c r="K330" i="90"/>
  <c r="D19" i="84"/>
  <c r="H19" i="84" s="1"/>
  <c r="K205" i="90"/>
  <c r="D14" i="84"/>
  <c r="H14" i="84" s="1"/>
  <c r="K380" i="90"/>
  <c r="D21" i="84"/>
  <c r="H21" i="84" s="1"/>
  <c r="O31" i="84"/>
  <c r="E31" i="84"/>
  <c r="Q31" i="84" s="1"/>
  <c r="D18" i="84"/>
  <c r="H18" i="84" s="1"/>
  <c r="K305" i="90"/>
  <c r="X27" i="84"/>
  <c r="W27" i="84"/>
  <c r="O36" i="84"/>
  <c r="E36" i="84"/>
  <c r="Q36" i="84" s="1"/>
  <c r="O30" i="84"/>
  <c r="E30" i="84"/>
  <c r="Q30" i="84" s="1"/>
  <c r="K280" i="90"/>
  <c r="D17" i="84"/>
  <c r="H17" i="84" s="1"/>
  <c r="O35" i="84"/>
  <c r="E35" i="84"/>
  <c r="Q35" i="84" s="1"/>
  <c r="O42" i="84"/>
  <c r="E42" i="84"/>
  <c r="Q42" i="84" s="1"/>
  <c r="E33" i="84"/>
  <c r="Q33" i="84" s="1"/>
  <c r="O33" i="84"/>
  <c r="K180" i="90"/>
  <c r="D13" i="84"/>
  <c r="H13" i="84" s="1"/>
  <c r="W29" i="84"/>
  <c r="C29" i="84" s="1"/>
  <c r="X29" i="84"/>
  <c r="D29" i="84" s="1"/>
  <c r="P29" i="84" s="1"/>
  <c r="E37" i="84"/>
  <c r="Q37" i="84" s="1"/>
  <c r="O37" i="84"/>
  <c r="K30" i="90"/>
  <c r="D7" i="84"/>
  <c r="H7" i="84" s="1"/>
  <c r="O38" i="84"/>
  <c r="E38" i="84"/>
  <c r="Q38" i="84" s="1"/>
  <c r="K129" i="90"/>
  <c r="C11" i="84"/>
  <c r="O41" i="84"/>
  <c r="E41" i="84"/>
  <c r="Q41" i="84" s="1"/>
  <c r="K405" i="90"/>
  <c r="D22" i="84"/>
  <c r="H22" i="84" s="1"/>
  <c r="K155" i="90"/>
  <c r="D12" i="84"/>
  <c r="H12" i="84" s="1"/>
  <c r="O34" i="84"/>
  <c r="E34" i="84"/>
  <c r="Q34" i="84" s="1"/>
  <c r="K255" i="90"/>
  <c r="D16" i="84"/>
  <c r="H16" i="84" s="1"/>
  <c r="O28" i="84"/>
  <c r="E28" i="84"/>
  <c r="Q28" i="84" s="1"/>
  <c r="K148" i="90"/>
  <c r="E40" i="84"/>
  <c r="Q40" i="84" s="1"/>
  <c r="O40" i="84"/>
  <c r="K355" i="90"/>
  <c r="D20" i="84"/>
  <c r="H20" i="84" s="1"/>
  <c r="O43" i="84"/>
  <c r="E43" i="84"/>
  <c r="Q43" i="84" s="1"/>
  <c r="K105" i="90"/>
  <c r="D10" i="84"/>
  <c r="H10" i="84" s="1"/>
  <c r="E39" i="84"/>
  <c r="Q39" i="84" s="1"/>
  <c r="O39" i="84"/>
  <c r="F148" i="90" l="1"/>
  <c r="K373" i="90"/>
  <c r="K329" i="90"/>
  <c r="C19" i="84"/>
  <c r="K123" i="90"/>
  <c r="K179" i="90"/>
  <c r="C13" i="84"/>
  <c r="K173" i="90"/>
  <c r="K154" i="90"/>
  <c r="C12" i="84"/>
  <c r="K379" i="90"/>
  <c r="C21" i="84"/>
  <c r="K229" i="90"/>
  <c r="C15" i="84"/>
  <c r="X44" i="84"/>
  <c r="D27" i="84"/>
  <c r="K223" i="90"/>
  <c r="K348" i="90"/>
  <c r="K423" i="90"/>
  <c r="C18" i="84"/>
  <c r="K304" i="90"/>
  <c r="K29" i="90"/>
  <c r="C7" i="84"/>
  <c r="K273" i="90"/>
  <c r="K48" i="90"/>
  <c r="K55" i="90"/>
  <c r="D8" i="84"/>
  <c r="H8" i="84" s="1"/>
  <c r="K98" i="90"/>
  <c r="K248" i="90"/>
  <c r="K354" i="90"/>
  <c r="C20" i="84"/>
  <c r="E29" i="84"/>
  <c r="Q29" i="84" s="1"/>
  <c r="O29" i="84"/>
  <c r="K198" i="90"/>
  <c r="K204" i="90"/>
  <c r="C14" i="84"/>
  <c r="K79" i="90"/>
  <c r="C9" i="84"/>
  <c r="K323" i="90"/>
  <c r="K104" i="90"/>
  <c r="C10" i="84"/>
  <c r="K404" i="90"/>
  <c r="C22" i="84"/>
  <c r="G11" i="84"/>
  <c r="F11" i="84"/>
  <c r="K279" i="90"/>
  <c r="C17" i="84"/>
  <c r="C16" i="84"/>
  <c r="K254" i="90"/>
  <c r="K298" i="90"/>
  <c r="W44" i="84"/>
  <c r="C27" i="84"/>
  <c r="K398" i="90"/>
  <c r="F248" i="90" l="1"/>
  <c r="F48" i="90"/>
  <c r="F223" i="90"/>
  <c r="F123" i="90"/>
  <c r="F98" i="90"/>
  <c r="F273" i="90"/>
  <c r="F173" i="90"/>
  <c r="F298" i="90"/>
  <c r="F323" i="90"/>
  <c r="F423" i="90"/>
  <c r="F398" i="90"/>
  <c r="F198" i="90"/>
  <c r="F348" i="90"/>
  <c r="F373" i="90"/>
  <c r="G148" i="90"/>
  <c r="O27" i="84"/>
  <c r="E27" i="84"/>
  <c r="C44" i="84"/>
  <c r="F16" i="84"/>
  <c r="G16" i="84"/>
  <c r="F10" i="84"/>
  <c r="G10" i="84"/>
  <c r="D44" i="84"/>
  <c r="P27" i="84"/>
  <c r="F14" i="84"/>
  <c r="G14" i="84"/>
  <c r="F20" i="84"/>
  <c r="G20" i="84"/>
  <c r="G18" i="84"/>
  <c r="F18" i="84"/>
  <c r="F21" i="84"/>
  <c r="G21" i="84"/>
  <c r="F9" i="84"/>
  <c r="G9" i="84"/>
  <c r="K54" i="90"/>
  <c r="C8" i="84"/>
  <c r="K73" i="90"/>
  <c r="G12" i="84"/>
  <c r="F12" i="84"/>
  <c r="F19" i="84"/>
  <c r="G19" i="84"/>
  <c r="G17" i="84"/>
  <c r="F17" i="84"/>
  <c r="I11" i="84"/>
  <c r="K147" i="90"/>
  <c r="G22" i="84"/>
  <c r="F22" i="84"/>
  <c r="F7" i="84"/>
  <c r="G7" i="84"/>
  <c r="G15" i="84"/>
  <c r="F15" i="84"/>
  <c r="F13" i="84"/>
  <c r="G13" i="84"/>
  <c r="F147" i="90" l="1"/>
  <c r="H148" i="90"/>
  <c r="G398" i="90"/>
  <c r="G173" i="90"/>
  <c r="G98" i="90"/>
  <c r="G123" i="90"/>
  <c r="G248" i="90"/>
  <c r="F73" i="90"/>
  <c r="G373" i="90"/>
  <c r="G348" i="90"/>
  <c r="G198" i="90"/>
  <c r="G423" i="90"/>
  <c r="G323" i="90"/>
  <c r="G298" i="90"/>
  <c r="G273" i="90"/>
  <c r="G223" i="90"/>
  <c r="G48" i="90"/>
  <c r="I15" i="84"/>
  <c r="K247" i="90"/>
  <c r="K172" i="90"/>
  <c r="I12" i="84"/>
  <c r="G8" i="84"/>
  <c r="F8" i="84"/>
  <c r="K97" i="90"/>
  <c r="I9" i="84"/>
  <c r="I18" i="84"/>
  <c r="K322" i="90"/>
  <c r="I10" i="84"/>
  <c r="K122" i="90"/>
  <c r="Q27" i="84"/>
  <c r="Q44" i="84" s="1"/>
  <c r="E44" i="84"/>
  <c r="I21" i="84"/>
  <c r="K397" i="90"/>
  <c r="K272" i="90"/>
  <c r="I16" i="84"/>
  <c r="O44" i="84"/>
  <c r="K4" i="90"/>
  <c r="C6" i="84"/>
  <c r="I7" i="84"/>
  <c r="K47" i="90"/>
  <c r="I13" i="84"/>
  <c r="K197" i="90"/>
  <c r="I22" i="84"/>
  <c r="K422" i="90"/>
  <c r="K347" i="90"/>
  <c r="I19" i="84"/>
  <c r="K297" i="90"/>
  <c r="I17" i="84"/>
  <c r="K372" i="90"/>
  <c r="I20" i="84"/>
  <c r="K222" i="90"/>
  <c r="I14" i="84"/>
  <c r="K5" i="90"/>
  <c r="P44" i="84"/>
  <c r="D6" i="84"/>
  <c r="F422" i="90" l="1"/>
  <c r="F47" i="90"/>
  <c r="F97" i="90"/>
  <c r="F297" i="90"/>
  <c r="F322" i="90"/>
  <c r="F172" i="90"/>
  <c r="H48" i="90"/>
  <c r="H273" i="90"/>
  <c r="H323" i="90"/>
  <c r="H198" i="90"/>
  <c r="H373" i="90"/>
  <c r="H248" i="90"/>
  <c r="H98" i="90"/>
  <c r="H398" i="90"/>
  <c r="F222" i="90"/>
  <c r="F247" i="90"/>
  <c r="F197" i="90"/>
  <c r="F272" i="90"/>
  <c r="F372" i="90"/>
  <c r="F347" i="90"/>
  <c r="F397" i="90"/>
  <c r="F122" i="90"/>
  <c r="H223" i="90"/>
  <c r="H298" i="90"/>
  <c r="H423" i="90"/>
  <c r="H348" i="90"/>
  <c r="G73" i="90"/>
  <c r="H123" i="90"/>
  <c r="H173" i="90"/>
  <c r="I148" i="90"/>
  <c r="G147" i="90"/>
  <c r="C23" i="84"/>
  <c r="G6" i="84"/>
  <c r="F6" i="84"/>
  <c r="F23" i="84" s="1"/>
  <c r="H6" i="84"/>
  <c r="D23" i="84"/>
  <c r="I8" i="84"/>
  <c r="K72" i="90"/>
  <c r="F72" i="90" l="1"/>
  <c r="J148" i="90"/>
  <c r="I123" i="90"/>
  <c r="I348" i="90"/>
  <c r="I298" i="90"/>
  <c r="G122" i="90"/>
  <c r="G372" i="90"/>
  <c r="G272" i="90"/>
  <c r="G247" i="90"/>
  <c r="I398" i="90"/>
  <c r="I248" i="90"/>
  <c r="I198" i="90"/>
  <c r="I273" i="90"/>
  <c r="G172" i="90"/>
  <c r="G297" i="90"/>
  <c r="G47" i="90"/>
  <c r="H147" i="90"/>
  <c r="I173" i="90"/>
  <c r="H73" i="90"/>
  <c r="I423" i="90"/>
  <c r="I223" i="90"/>
  <c r="G397" i="90"/>
  <c r="G347" i="90"/>
  <c r="G197" i="90"/>
  <c r="G222" i="90"/>
  <c r="I98" i="90"/>
  <c r="I373" i="90"/>
  <c r="I323" i="90"/>
  <c r="I48" i="90"/>
  <c r="G322" i="90"/>
  <c r="G97" i="90"/>
  <c r="G422" i="90"/>
  <c r="I6" i="84"/>
  <c r="I23" i="84" s="1"/>
  <c r="G23" i="84"/>
  <c r="K22" i="90"/>
  <c r="H23" i="84"/>
  <c r="K23" i="90"/>
  <c r="F23" i="90" l="1"/>
  <c r="F22" i="90"/>
  <c r="H422" i="90"/>
  <c r="H322" i="90"/>
  <c r="J323" i="90"/>
  <c r="J98" i="90"/>
  <c r="H197" i="90"/>
  <c r="H397" i="90"/>
  <c r="J423" i="90"/>
  <c r="J173" i="90"/>
  <c r="H47" i="90"/>
  <c r="H172" i="90"/>
  <c r="J198" i="90"/>
  <c r="J398" i="90"/>
  <c r="H272" i="90"/>
  <c r="H122" i="90"/>
  <c r="J348" i="90"/>
  <c r="H97" i="90"/>
  <c r="J48" i="90"/>
  <c r="J373" i="90"/>
  <c r="H222" i="90"/>
  <c r="H347" i="90"/>
  <c r="J223" i="90"/>
  <c r="I73" i="90"/>
  <c r="I147" i="90"/>
  <c r="H297" i="90"/>
  <c r="J273" i="90"/>
  <c r="J248" i="90"/>
  <c r="H247" i="90"/>
  <c r="H372" i="90"/>
  <c r="J298" i="90"/>
  <c r="J123" i="90"/>
  <c r="G72" i="90"/>
  <c r="H72" i="90" l="1"/>
  <c r="I247" i="90"/>
  <c r="J147" i="90"/>
  <c r="I372" i="90"/>
  <c r="I297" i="90"/>
  <c r="J73" i="90"/>
  <c r="I347" i="90"/>
  <c r="I97" i="90"/>
  <c r="I122" i="90"/>
  <c r="I172" i="90"/>
  <c r="I397" i="90"/>
  <c r="I322" i="90"/>
  <c r="G22" i="90"/>
  <c r="I222" i="90"/>
  <c r="I272" i="90"/>
  <c r="I47" i="90"/>
  <c r="I197" i="90"/>
  <c r="I422" i="90"/>
  <c r="G23" i="90"/>
  <c r="H23" i="90" l="1"/>
  <c r="J272" i="90"/>
  <c r="J422" i="90"/>
  <c r="J47" i="90"/>
  <c r="J222" i="90"/>
  <c r="J322" i="90"/>
  <c r="J172" i="90"/>
  <c r="J97" i="90"/>
  <c r="J372" i="90"/>
  <c r="J247" i="90"/>
  <c r="J197" i="90"/>
  <c r="H22" i="90"/>
  <c r="J397" i="90"/>
  <c r="J122" i="90"/>
  <c r="J347" i="90"/>
  <c r="J297" i="90"/>
  <c r="I72" i="90"/>
  <c r="I22" i="90" l="1"/>
  <c r="J72" i="90"/>
  <c r="I23" i="90"/>
  <c r="J23" i="90" l="1"/>
  <c r="J22" i="90"/>
</calcChain>
</file>

<file path=xl/sharedStrings.xml><?xml version="1.0" encoding="utf-8"?>
<sst xmlns="http://schemas.openxmlformats.org/spreadsheetml/2006/main" count="5985" uniqueCount="1015">
  <si>
    <t>%</t>
  </si>
  <si>
    <t>000s</t>
  </si>
  <si>
    <t>£m</t>
  </si>
  <si>
    <t>nr</t>
  </si>
  <si>
    <t>ANH</t>
  </si>
  <si>
    <t>NES</t>
  </si>
  <si>
    <t>NWT</t>
  </si>
  <si>
    <t>SRN</t>
  </si>
  <si>
    <t>SVT</t>
  </si>
  <si>
    <t>TMS</t>
  </si>
  <si>
    <t>WSX</t>
  </si>
  <si>
    <t>YKY</t>
  </si>
  <si>
    <t>AFW</t>
  </si>
  <si>
    <t>BRL</t>
  </si>
  <si>
    <t>DVW</t>
  </si>
  <si>
    <t>PRT</t>
  </si>
  <si>
    <t>SES</t>
  </si>
  <si>
    <t>SEW</t>
  </si>
  <si>
    <t>SSC</t>
  </si>
  <si>
    <t>SWB</t>
  </si>
  <si>
    <t>Company</t>
  </si>
  <si>
    <t>Triangulation weights</t>
  </si>
  <si>
    <t>Model</t>
  </si>
  <si>
    <t>WSH</t>
  </si>
  <si>
    <t>2020-21</t>
  </si>
  <si>
    <t>2021-22</t>
  </si>
  <si>
    <t>2022-23</t>
  </si>
  <si>
    <t>2023-24</t>
  </si>
  <si>
    <t>2024-25</t>
  </si>
  <si>
    <t>Acronym</t>
  </si>
  <si>
    <t>Reference</t>
  </si>
  <si>
    <t>Item description</t>
  </si>
  <si>
    <t>Unit</t>
  </si>
  <si>
    <t>Total</t>
  </si>
  <si>
    <t>Frontier shift</t>
  </si>
  <si>
    <t>WRP1</t>
  </si>
  <si>
    <t>WRP2</t>
  </si>
  <si>
    <t>pctwatertreated36</t>
  </si>
  <si>
    <t>TWD1</t>
  </si>
  <si>
    <t>WW1</t>
  </si>
  <si>
    <t>WW2</t>
  </si>
  <si>
    <t>properties</t>
  </si>
  <si>
    <t>lengthsofmain</t>
  </si>
  <si>
    <t>wedensitywater</t>
  </si>
  <si>
    <t>km</t>
  </si>
  <si>
    <t>Nr</t>
  </si>
  <si>
    <t>Lengths of main</t>
  </si>
  <si>
    <t>% of water treated complexity levels bands 3-6</t>
  </si>
  <si>
    <t>Number of booster pumping stations per lenghts of main</t>
  </si>
  <si>
    <t>Weighted average density</t>
  </si>
  <si>
    <t>Squared Weighted average density</t>
  </si>
  <si>
    <t>Natural log</t>
  </si>
  <si>
    <t>Number of properties</t>
  </si>
  <si>
    <t>WRP</t>
  </si>
  <si>
    <t>TWD</t>
  </si>
  <si>
    <t>Original forecast data</t>
  </si>
  <si>
    <t>Transformed cost data</t>
  </si>
  <si>
    <t>Price Review 2019</t>
  </si>
  <si>
    <t>m.hd</t>
  </si>
  <si>
    <t>boosterperlength</t>
  </si>
  <si>
    <t>xy%</t>
  </si>
  <si>
    <t>Inputs to calculate modelled costs for 2020-25</t>
  </si>
  <si>
    <t>Text</t>
  </si>
  <si>
    <t>SVE21</t>
  </si>
  <si>
    <t>SVE22</t>
  </si>
  <si>
    <t>SVE23</t>
  </si>
  <si>
    <t>SVE24</t>
  </si>
  <si>
    <t>SVE25</t>
  </si>
  <si>
    <t>HDD21</t>
  </si>
  <si>
    <t>HDD22</t>
  </si>
  <si>
    <t>HDD23</t>
  </si>
  <si>
    <t>HDD24</t>
  </si>
  <si>
    <t>HDD25</t>
  </si>
  <si>
    <t>wac</t>
  </si>
  <si>
    <t>SVE</t>
  </si>
  <si>
    <t>HDD</t>
  </si>
  <si>
    <t>Weighted average water treatment complexity</t>
  </si>
  <si>
    <t>Business plan</t>
  </si>
  <si>
    <t>SVH</t>
  </si>
  <si>
    <t>SVH21</t>
  </si>
  <si>
    <t>SVH22</t>
  </si>
  <si>
    <t>SVH23</t>
  </si>
  <si>
    <t>SVH24</t>
  </si>
  <si>
    <t>SVH25</t>
  </si>
  <si>
    <t xml:space="preserve">Model weights </t>
  </si>
  <si>
    <t>Bottom up</t>
  </si>
  <si>
    <t>Top down</t>
  </si>
  <si>
    <t>Efficiency challenge parameters</t>
  </si>
  <si>
    <t>Within sector catch-up - historical</t>
  </si>
  <si>
    <t>Within sector catch-up - forward looking</t>
  </si>
  <si>
    <t>Historical</t>
  </si>
  <si>
    <t>Forward looking efficiency challenge</t>
  </si>
  <si>
    <t>Our view (average)</t>
  </si>
  <si>
    <t>Water resources pus</t>
  </si>
  <si>
    <t>Treated water distribution</t>
  </si>
  <si>
    <t>Wholesale water</t>
  </si>
  <si>
    <t>select &gt;&gt;</t>
  </si>
  <si>
    <t>Year</t>
  </si>
  <si>
    <t>Date &amp; Time for Model PR19CA004_OUT</t>
  </si>
  <si>
    <t>Name &amp; Path of Model PR19CA004_OUT</t>
  </si>
  <si>
    <t>Water resources</t>
  </si>
  <si>
    <t>Efficiency score - business plan</t>
  </si>
  <si>
    <t>FL upper quartile</t>
  </si>
  <si>
    <t>Code</t>
  </si>
  <si>
    <t>Wholesale water modelled base costs, £m (base year: 2017-18)</t>
  </si>
  <si>
    <t>Efficient costs (catch up)</t>
  </si>
  <si>
    <t>Efficient costs</t>
  </si>
  <si>
    <t>Final AMP7 allowances</t>
  </si>
  <si>
    <t>Modelled wholesale botex - triangulated</t>
  </si>
  <si>
    <t>WR defined benefit pension deficit recovery per IN13/17 real</t>
  </si>
  <si>
    <t>WN defined benefit pension deficit recovery per IN13/17 real</t>
  </si>
  <si>
    <t>C_WRPDR_PR19CA004</t>
  </si>
  <si>
    <t>C_WNPDR_PR19CA004</t>
  </si>
  <si>
    <t>PR19QA_CA004_OUT_1</t>
  </si>
  <si>
    <t>PR19QA_CA004_OUT_2</t>
  </si>
  <si>
    <t>Total costs</t>
  </si>
  <si>
    <t>Enhancement Costs</t>
  </si>
  <si>
    <t>Costs excluded from cost sharing</t>
  </si>
  <si>
    <t>Total costs excluded from costs sharing</t>
  </si>
  <si>
    <t>Other cash items</t>
  </si>
  <si>
    <t>Number of booster pumping station per km of mains length</t>
  </si>
  <si>
    <t>C_BOOSTERPL_PR19CA001</t>
  </si>
  <si>
    <t>Weighted average level of water treatment complexity</t>
  </si>
  <si>
    <t>C_WAWTCL_PR19CA001</t>
  </si>
  <si>
    <t>Percentage of water treated at levels 3-6</t>
  </si>
  <si>
    <t>C_PCTWTL36_PR19CA001</t>
  </si>
  <si>
    <t>Total length of mains</t>
  </si>
  <si>
    <t>C_MLENGTH_PR19CA001</t>
  </si>
  <si>
    <t>Connected properties - Water</t>
  </si>
  <si>
    <t>C_PROP_PR19CA001</t>
  </si>
  <si>
    <t>Treated water distribution - Total expenditure</t>
  </si>
  <si>
    <t>C_W3026TETWD_PR19CA001</t>
  </si>
  <si>
    <t>Water treatment - Total expenditure</t>
  </si>
  <si>
    <t>C_W3026TEWT_PR19CA001</t>
  </si>
  <si>
    <t>Raw water distribution - Total expenditure</t>
  </si>
  <si>
    <t>C_W3026TERWD_PR19CA001</t>
  </si>
  <si>
    <t>Water resources - Total expenditure</t>
  </si>
  <si>
    <t>C_W3026TEWR_PR19CA001</t>
  </si>
  <si>
    <t>Treated water distribution - Pension deficit recovery payments</t>
  </si>
  <si>
    <t>C_WS1022TWD_PR19CA001</t>
  </si>
  <si>
    <t>Treated water distribution - Grants and contributions (price control)</t>
  </si>
  <si>
    <t>C_WS1020TWD_PR19CA001</t>
  </si>
  <si>
    <t>Treated water distribution - Third party services</t>
  </si>
  <si>
    <t>C_WS1018TWD_PR19CA001</t>
  </si>
  <si>
    <t>C_WS1010TWD_PR19CA001</t>
  </si>
  <si>
    <t>Water treatment - Pension deficit recovery payments</t>
  </si>
  <si>
    <t>C_WS1022WT_PR19CA001</t>
  </si>
  <si>
    <t>Water treatment - Grants and contributions (price control)</t>
  </si>
  <si>
    <t>C_WS1020WT_PR19CA001</t>
  </si>
  <si>
    <t>Water treatment - Third party services</t>
  </si>
  <si>
    <t>C_WS1018WT_PR19CA001</t>
  </si>
  <si>
    <t>C_WS1010WT_PR19CA001</t>
  </si>
  <si>
    <t>Raw water distribution - Pension deficit recovery payments</t>
  </si>
  <si>
    <t>C_WS1022RWD_PR19CA001</t>
  </si>
  <si>
    <t>Raw water distribution - Grants and contributions (price control)</t>
  </si>
  <si>
    <t>C_WS1020RWD_PR19CA001</t>
  </si>
  <si>
    <t>Raw water distribution - Third party services</t>
  </si>
  <si>
    <t>C_WS1018RWD_PR19CA001</t>
  </si>
  <si>
    <t>C_WS1010RWD_PR19CA001</t>
  </si>
  <si>
    <t>Water resources - Pension deficit recovery payments</t>
  </si>
  <si>
    <t>C_WS1022WR_PR19CA001</t>
  </si>
  <si>
    <t>Water resources - Grants and contributions (price control)</t>
  </si>
  <si>
    <t>C_WS1020WR_PR19CA001</t>
  </si>
  <si>
    <t>Water resources - Third party services</t>
  </si>
  <si>
    <t>C_WS1018WR_PR19CA001</t>
  </si>
  <si>
    <t>C_WS1010WR_PR19CA001</t>
  </si>
  <si>
    <t>Wholesale water botex</t>
  </si>
  <si>
    <t>C_REALBOTEXWW_PR19CA001</t>
  </si>
  <si>
    <t>Water network plus botex</t>
  </si>
  <si>
    <t>C_REALBOTEXNPW_PR19CA001</t>
  </si>
  <si>
    <t>Water resources plus botex</t>
  </si>
  <si>
    <t>C_REALBOTEXWRP_PR19CA001</t>
  </si>
  <si>
    <t>Treated water distribution botex</t>
  </si>
  <si>
    <t>C_REALBOTEXTWD_PR19CA001</t>
  </si>
  <si>
    <t>Water resources botex</t>
  </si>
  <si>
    <t>C_REALBOTWR_PR19CA001</t>
  </si>
  <si>
    <t>Total network plus water - Maintaining the long term capability of the assets - non-infra</t>
  </si>
  <si>
    <t>C_CW00036NETPLUS_PR19CA001</t>
  </si>
  <si>
    <t>Total network plus water - Maintaining the long term capability of the assets - infra</t>
  </si>
  <si>
    <t>C_BC30445NETPLUS_PR19CA001</t>
  </si>
  <si>
    <t>Total network plus water - Total operating expenditure</t>
  </si>
  <si>
    <t>C_BM351NETPLUS_PR19CA001</t>
  </si>
  <si>
    <t>Water resources - Maintaining the long term capability of the assets - non-infra</t>
  </si>
  <si>
    <t>C_WS1013WR_PR19CA001</t>
  </si>
  <si>
    <t>Water resources - Maintaining the long term capability of the assets - infra</t>
  </si>
  <si>
    <t>C_WS1012WR_PR19CA001</t>
  </si>
  <si>
    <t>Water resources - Total operating expenditure</t>
  </si>
  <si>
    <t>C_WS1011WR_PR19CA001</t>
  </si>
  <si>
    <t>C_WADW_PR19CA001</t>
  </si>
  <si>
    <t>Calculation of totex allowances</t>
  </si>
  <si>
    <t>PR19CA004_IN_13636</t>
  </si>
  <si>
    <t>Real input price inflation</t>
  </si>
  <si>
    <t>Difference</t>
  </si>
  <si>
    <t>C_WRTOTEXFM_CS_PR19CA004</t>
  </si>
  <si>
    <t>C_WNTOTEXFM_CS_PR19CA004</t>
  </si>
  <si>
    <t>Final cost allowance for cost sharing for Water Resources</t>
  </si>
  <si>
    <t>Final cost allowance for cost sharing for Network Plus Water</t>
  </si>
  <si>
    <t>C_WROTHER_EXCPDR_PR19CA004</t>
  </si>
  <si>
    <t>C_WNOTHER_EXCPDR_PR19CA004</t>
  </si>
  <si>
    <t>WR - Other costs not subject to cost sharing excl PDR</t>
  </si>
  <si>
    <t>WN - Other costs not subject to cost sharing excl PDR</t>
  </si>
  <si>
    <t>Water network plus</t>
  </si>
  <si>
    <t>Net change</t>
  </si>
  <si>
    <t>Dummy controls</t>
  </si>
  <si>
    <t>Water resources - CACs</t>
  </si>
  <si>
    <t>Water network plus - CACs</t>
  </si>
  <si>
    <t>Ancillary calculation for modelled base costs</t>
  </si>
  <si>
    <t>Proportion of BP costs to water resources</t>
  </si>
  <si>
    <t>Unmodelled base costs (Abstraction charges / discharge consent)</t>
  </si>
  <si>
    <t>Unmodelled base costs (Local authority and cumulo rates )</t>
  </si>
  <si>
    <t>Third party services costs</t>
  </si>
  <si>
    <t>Pension deficit recovery payments</t>
  </si>
  <si>
    <t>Strategic Scheme Development Costs</t>
  </si>
  <si>
    <t>Costs exclude growth and low pressure, which are part of base</t>
  </si>
  <si>
    <t>C_TBC_WR_PR19CA004_OFWAT</t>
  </si>
  <si>
    <t>Total base costs exclude enhancemnt opex -  Water resources  - OFWAT view</t>
  </si>
  <si>
    <t>C_TBC_WN_PR19CA004_OFWAT</t>
  </si>
  <si>
    <t>Total base costs exclude enhancemnt opex -  Water network plus  - OFWAT view</t>
  </si>
  <si>
    <t>C_ENC_WR_PR19CA004_OFWAT</t>
  </si>
  <si>
    <t>C_ENC_WN_PR19CA004_OFWAT</t>
  </si>
  <si>
    <t>C_3PTYC_WR_PR19CA004_OFWAT</t>
  </si>
  <si>
    <t>C_3PTYC_WN_PR19CA004_OFWAT</t>
  </si>
  <si>
    <t>C_CSH_WR_PR19CA004_OFWAT</t>
  </si>
  <si>
    <t>C_CSH_WN_PR19CA004_OFWAT</t>
  </si>
  <si>
    <t>C_SSDC_WR_PR19CA004_OFWAT</t>
  </si>
  <si>
    <t>C_SSDC_WN_PR19CA004_OFWAT</t>
  </si>
  <si>
    <t>Enhancement Costs - Costs exclude growth and low pressure which are part of base -  Water resources  - OFWAT view</t>
  </si>
  <si>
    <t>Enhancement Costs - Costs exclude growth and low pressure which are part of base -  Water network plus  - OFWAT view</t>
  </si>
  <si>
    <t>Costs excluded from cost sharing - Third party services costs -  Water resources  - OFWAT view</t>
  </si>
  <si>
    <t>Costs excluded from cost sharing - Third party services costs -  Water network plus  - OFWAT view</t>
  </si>
  <si>
    <t>Costs excluded from cost sharing - Other cash items -  Water resources  - OFWAT view</t>
  </si>
  <si>
    <t>Costs excluded from cost sharing - Other cash items -  Water network plus  - OFWAT view</t>
  </si>
  <si>
    <t>Costs excluded from cost sharing - Strategic Scheme Development Costs -  Water resources  - OFWAT view</t>
  </si>
  <si>
    <t>Costs excluded from cost sharing - Strategic Scheme Development Costs -  Water network plus  - OFWAT view</t>
  </si>
  <si>
    <t>2020-25</t>
  </si>
  <si>
    <t>PR19CA004_OUT2</t>
  </si>
  <si>
    <t>Unmodelled base costs (Local authority and cumulo rates ) -  Water resources - OFWAT view</t>
  </si>
  <si>
    <t>Unmodelled base costs (Local authority and cumulo rates ) -  Water network plus - OFWAT view</t>
  </si>
  <si>
    <t xml:space="preserve">C_WRPDR_PR19CA004 </t>
  </si>
  <si>
    <t>No. of obs</t>
  </si>
  <si>
    <t>Lookup id/Boncode from F_inputs or to F_outputs</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</si>
  <si>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</si>
  <si>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</si>
  <si>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</si>
  <si>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</si>
  <si>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</si>
  <si>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</si>
  <si>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</si>
  <si>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</si>
  <si>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</si>
  <si>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</si>
  <si>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</si>
  <si>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</si>
  <si>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</si>
  <si>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</si>
  <si>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</si>
  <si>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</si>
  <si>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</si>
  <si>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</si>
  <si>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</si>
  <si>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</si>
  <si>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</si>
  <si>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</si>
  <si>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</si>
  <si>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</si>
  <si>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</si>
  <si>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</si>
  <si>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</si>
  <si>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</si>
  <si>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</si>
  <si>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</si>
  <si>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</si>
  <si>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</si>
  <si>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</si>
  <si>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</si>
  <si>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</si>
  <si>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</si>
  <si>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</si>
  <si>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</si>
  <si>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</si>
  <si>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</si>
  <si>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</si>
  <si>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</si>
  <si>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</si>
  <si>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</si>
  <si>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</si>
  <si>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</si>
  <si>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</si>
  <si>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</si>
  <si>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</si>
  <si>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</si>
  <si>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</si>
  <si>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</si>
  <si>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</si>
  <si>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</si>
  <si>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</si>
  <si>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</si>
  <si>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</si>
  <si>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</si>
  <si>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</si>
  <si>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</si>
  <si>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</si>
  <si>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</si>
  <si>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</si>
  <si>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</si>
  <si>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</si>
  <si>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</si>
  <si>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</si>
  <si>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</si>
  <si>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</si>
  <si>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</si>
  <si>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</si>
  <si>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</si>
  <si>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</si>
  <si>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</si>
  <si>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</si>
  <si>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FM_WW4</t>
  </si>
  <si>
    <t>C_UBC_WR_PR19CA004_OFWAT</t>
  </si>
  <si>
    <t>C_UBC_WN_PR19CA004_OFWAT</t>
  </si>
  <si>
    <t>C_DUMMYTOTEXFM_CS_PR19CA004</t>
  </si>
  <si>
    <t>Final cost allowance for cost sharing for Dummy</t>
  </si>
  <si>
    <t>Total base costs (net of enhancement opex)</t>
  </si>
  <si>
    <t>Non s-185 diversion costs</t>
  </si>
  <si>
    <t xml:space="preserve"> Enhancement opex implicit allowance percent adjustment</t>
  </si>
  <si>
    <t>Average</t>
  </si>
  <si>
    <t xml:space="preserve">Base adjustments </t>
  </si>
  <si>
    <t>Totex allowances for cost sharing</t>
  </si>
  <si>
    <t>WS1003_WW4_WR</t>
  </si>
  <si>
    <t>WS1003_WW4_WN</t>
  </si>
  <si>
    <t>Unmodelled base costs (Abstraction charges / discharge consent) WR</t>
  </si>
  <si>
    <t>Unmodelled base costs (Abstraction charges / discharge consent) WN</t>
  </si>
  <si>
    <t>APP28RR_W0002_3_WN</t>
  </si>
  <si>
    <t>Diversions expenditure - water    NRSWA + Other non-s185 WN</t>
  </si>
  <si>
    <t>APP28RR_W0002_3_WR</t>
  </si>
  <si>
    <t>Diversions expenditure - water    NRSWA + Other non-s185 WR</t>
  </si>
  <si>
    <t>Overall totex allowances (for PAYG)</t>
  </si>
  <si>
    <t>OK</t>
  </si>
  <si>
    <t>Variable code</t>
  </si>
  <si>
    <t>Variable name</t>
  </si>
  <si>
    <t>re1</t>
  </si>
  <si>
    <t>re2</t>
  </si>
  <si>
    <t>re3</t>
  </si>
  <si>
    <t>re4</t>
  </si>
  <si>
    <t>re5</t>
  </si>
  <si>
    <t>lnproperties</t>
  </si>
  <si>
    <t>ln (number of properties)</t>
  </si>
  <si>
    <t/>
  </si>
  <si>
    <t>% of water treated at complexity levels 3 to 6</t>
  </si>
  <si>
    <t>lnwac</t>
  </si>
  <si>
    <t>ln (weighted average water treatment complexity)</t>
  </si>
  <si>
    <t>lnwedensitywater</t>
  </si>
  <si>
    <t>ln (weighted average density)</t>
  </si>
  <si>
    <t>lnwedensitywater2</t>
  </si>
  <si>
    <t>(ln(weighted average density))^2</t>
  </si>
  <si>
    <t>lnlengthsofmain</t>
  </si>
  <si>
    <t>ln (lenghts of main)</t>
  </si>
  <si>
    <t>lnboosterperlength</t>
  </si>
  <si>
    <t>ln (number of booster pumping stations per lenghts of main)</t>
  </si>
  <si>
    <t>_cons</t>
  </si>
  <si>
    <t>Constant</t>
  </si>
  <si>
    <t>ANHC_WS1010WR_PR19CA001</t>
  </si>
  <si>
    <t>ANHC_WS1011WR_PR19CA001</t>
  </si>
  <si>
    <t>ANHC_WS1012WR_PR19CA001</t>
  </si>
  <si>
    <t>ANHC_WS1013WR_PR19CA001</t>
  </si>
  <si>
    <t>ANHC_WS1018WR_PR19CA001</t>
  </si>
  <si>
    <t>ANHC_WS1020WR_PR19CA001</t>
  </si>
  <si>
    <t>ANHC_WS1022WR_PR19CA001</t>
  </si>
  <si>
    <t>ANHC_W3026TEWR_PR19CA001</t>
  </si>
  <si>
    <t>ANHC_WS1010RWD_PR19CA001</t>
  </si>
  <si>
    <t>ANHC_WS1018RWD_PR19CA001</t>
  </si>
  <si>
    <t>ANHC_WS1020RWD_PR19CA001</t>
  </si>
  <si>
    <t>ANHC_WS1022RWD_PR19CA001</t>
  </si>
  <si>
    <t>ANHC_W3026TERWD_PR19CA001</t>
  </si>
  <si>
    <t>ANHC_WS1010WT_PR19CA001</t>
  </si>
  <si>
    <t>ANHC_WS1018WT_PR19CA001</t>
  </si>
  <si>
    <t>ANHC_WS1020WT_PR19CA001</t>
  </si>
  <si>
    <t>ANHC_WS1022WT_PR19CA001</t>
  </si>
  <si>
    <t>ANHC_W3026TEWT_PR19CA001</t>
  </si>
  <si>
    <t>ANHC_WS1010TWD_PR19CA001</t>
  </si>
  <si>
    <t>ANHC_WS1018TWD_PR19CA001</t>
  </si>
  <si>
    <t>ANHC_WS1020TWD_PR19CA001</t>
  </si>
  <si>
    <t>ANHC_WS1022TWD_PR19CA001</t>
  </si>
  <si>
    <t>ANHC_W3026TETWD_PR19CA001</t>
  </si>
  <si>
    <t>ANHC_BM351NETPLUS_PR19CA001</t>
  </si>
  <si>
    <t>ANHC_BC30445NETPLUS_PR19CA001</t>
  </si>
  <si>
    <t>ANHC_CW00036NETPLUS_PR19CA001</t>
  </si>
  <si>
    <t>ANHC_REALBOTWR_PR19CA001</t>
  </si>
  <si>
    <t>ANHC_REALBOTEXTWD_PR19CA001</t>
  </si>
  <si>
    <t>ANHC_REALBOTEXNPW_PR19CA001</t>
  </si>
  <si>
    <t>ANHC_REALBOTEXWW_PR19CA001</t>
  </si>
  <si>
    <t>ANHC_REALBOTEXWRP_PR19CA001</t>
  </si>
  <si>
    <t>ANHC_PROP_PR19CA001</t>
  </si>
  <si>
    <t>ANHC_MLENGTH_PR19CA001</t>
  </si>
  <si>
    <t>ANHC_PCTWTL36_PR19CA001</t>
  </si>
  <si>
    <t>ANHC_WAWTCL_PR19CA001</t>
  </si>
  <si>
    <t>ANHC_BOOSTERPL_PR19CA001</t>
  </si>
  <si>
    <t>NESC_WS1010WR_PR19CA001</t>
  </si>
  <si>
    <t>NESC_WS1011WR_PR19CA001</t>
  </si>
  <si>
    <t>NESC_WS1012WR_PR19CA001</t>
  </si>
  <si>
    <t>NESC_WS1013WR_PR19CA001</t>
  </si>
  <si>
    <t>NESC_WS1018WR_PR19CA001</t>
  </si>
  <si>
    <t>NESC_WS1020WR_PR19CA001</t>
  </si>
  <si>
    <t>NESC_WS1022WR_PR19CA001</t>
  </si>
  <si>
    <t>NESC_W3026TEWR_PR19CA001</t>
  </si>
  <si>
    <t>NESC_WS1010RWD_PR19CA001</t>
  </si>
  <si>
    <t>NESC_WS1018RWD_PR19CA001</t>
  </si>
  <si>
    <t>NESC_WS1020RWD_PR19CA001</t>
  </si>
  <si>
    <t>NESC_WS1022RWD_PR19CA001</t>
  </si>
  <si>
    <t>NESC_W3026TERWD_PR19CA001</t>
  </si>
  <si>
    <t>NESC_WS1010WT_PR19CA001</t>
  </si>
  <si>
    <t>NESC_WS1018WT_PR19CA001</t>
  </si>
  <si>
    <t>NESC_WS1020WT_PR19CA001</t>
  </si>
  <si>
    <t>NESC_WS1022WT_PR19CA001</t>
  </si>
  <si>
    <t>NESC_W3026TEWT_PR19CA001</t>
  </si>
  <si>
    <t>NESC_WS1010TWD_PR19CA001</t>
  </si>
  <si>
    <t>NESC_WS1018TWD_PR19CA001</t>
  </si>
  <si>
    <t>NESC_WS1020TWD_PR19CA001</t>
  </si>
  <si>
    <t>NESC_WS1022TWD_PR19CA001</t>
  </si>
  <si>
    <t>NESC_W3026TETWD_PR19CA001</t>
  </si>
  <si>
    <t>NESC_BM351NETPLUS_PR19CA001</t>
  </si>
  <si>
    <t>NESC_BC30445NETPLUS_PR19CA001</t>
  </si>
  <si>
    <t>NESC_CW00036NETPLUS_PR19CA001</t>
  </si>
  <si>
    <t>NESC_REALBOTWR_PR19CA001</t>
  </si>
  <si>
    <t>NESC_REALBOTEXTWD_PR19CA001</t>
  </si>
  <si>
    <t>NESC_REALBOTEXNPW_PR19CA001</t>
  </si>
  <si>
    <t>NESC_REALBOTEXWW_PR19CA001</t>
  </si>
  <si>
    <t>NESC_REALBOTEXWRP_PR19CA001</t>
  </si>
  <si>
    <t>NESC_PROP_PR19CA001</t>
  </si>
  <si>
    <t>NESC_MLENGTH_PR19CA001</t>
  </si>
  <si>
    <t>NESC_PCTWTL36_PR19CA001</t>
  </si>
  <si>
    <t>NESC_WAWTCL_PR19CA001</t>
  </si>
  <si>
    <t>NESC_BOOSTERPL_PR19CA001</t>
  </si>
  <si>
    <t>NWTC_WS1010WR_PR19CA001</t>
  </si>
  <si>
    <t>NWTC_WS1011WR_PR19CA001</t>
  </si>
  <si>
    <t>NWTC_WS1012WR_PR19CA001</t>
  </si>
  <si>
    <t>NWTC_WS1013WR_PR19CA001</t>
  </si>
  <si>
    <t>NWTC_WS1018WR_PR19CA001</t>
  </si>
  <si>
    <t>NWTC_WS1020WR_PR19CA001</t>
  </si>
  <si>
    <t>NWTC_WS1022WR_PR19CA001</t>
  </si>
  <si>
    <t>NWTC_W3026TEWR_PR19CA001</t>
  </si>
  <si>
    <t>NWTC_WS1010RWD_PR19CA001</t>
  </si>
  <si>
    <t>NWTC_WS1018RWD_PR19CA001</t>
  </si>
  <si>
    <t>NWTC_WS1020RWD_PR19CA001</t>
  </si>
  <si>
    <t>NWTC_WS1022RWD_PR19CA001</t>
  </si>
  <si>
    <t>NWTC_W3026TERWD_PR19CA001</t>
  </si>
  <si>
    <t>NWTC_WS1010WT_PR19CA001</t>
  </si>
  <si>
    <t>NWTC_WS1018WT_PR19CA001</t>
  </si>
  <si>
    <t>NWTC_WS1020WT_PR19CA001</t>
  </si>
  <si>
    <t>NWTC_WS1022WT_PR19CA001</t>
  </si>
  <si>
    <t>NWTC_W3026TEWT_PR19CA001</t>
  </si>
  <si>
    <t>NWTC_WS1010TWD_PR19CA001</t>
  </si>
  <si>
    <t>NWTC_WS1018TWD_PR19CA001</t>
  </si>
  <si>
    <t>NWTC_WS1020TWD_PR19CA001</t>
  </si>
  <si>
    <t>NWTC_WS1022TWD_PR19CA001</t>
  </si>
  <si>
    <t>NWTC_W3026TETWD_PR19CA001</t>
  </si>
  <si>
    <t>NWTC_BM351NETPLUS_PR19CA001</t>
  </si>
  <si>
    <t>NWTC_BC30445NETPLUS_PR19CA001</t>
  </si>
  <si>
    <t>NWTC_CW00036NETPLUS_PR19CA001</t>
  </si>
  <si>
    <t>NWTC_REALBOTWR_PR19CA001</t>
  </si>
  <si>
    <t>NWTC_REALBOTEXTWD_PR19CA001</t>
  </si>
  <si>
    <t>NWTC_REALBOTEXNPW_PR19CA001</t>
  </si>
  <si>
    <t>NWTC_REALBOTEXWW_PR19CA001</t>
  </si>
  <si>
    <t>NWTC_REALBOTEXWRP_PR19CA001</t>
  </si>
  <si>
    <t>NWTC_PROP_PR19CA001</t>
  </si>
  <si>
    <t>NWTC_MLENGTH_PR19CA001</t>
  </si>
  <si>
    <t>NWTC_PCTWTL36_PR19CA001</t>
  </si>
  <si>
    <t>NWTC_WAWTCL_PR19CA001</t>
  </si>
  <si>
    <t>NWTC_BOOSTERPL_PR19CA001</t>
  </si>
  <si>
    <t>SRNC_WS1010WR_PR19CA001</t>
  </si>
  <si>
    <t>SRNC_WS1011WR_PR19CA001</t>
  </si>
  <si>
    <t>SRNC_WS1012WR_PR19CA001</t>
  </si>
  <si>
    <t>SRNC_WS1013WR_PR19CA001</t>
  </si>
  <si>
    <t>SRNC_WS1018WR_PR19CA001</t>
  </si>
  <si>
    <t>SRNC_WS1020WR_PR19CA001</t>
  </si>
  <si>
    <t>SRNC_WS1022WR_PR19CA001</t>
  </si>
  <si>
    <t>SRNC_W3026TEWR_PR19CA001</t>
  </si>
  <si>
    <t>SRNC_WS1010RWD_PR19CA001</t>
  </si>
  <si>
    <t>SRNC_WS1018RWD_PR19CA001</t>
  </si>
  <si>
    <t>SRNC_WS1020RWD_PR19CA001</t>
  </si>
  <si>
    <t>SRNC_WS1022RWD_PR19CA001</t>
  </si>
  <si>
    <t>SRNC_W3026TERWD_PR19CA001</t>
  </si>
  <si>
    <t>SRNC_WS1010WT_PR19CA001</t>
  </si>
  <si>
    <t>SRNC_WS1018WT_PR19CA001</t>
  </si>
  <si>
    <t>SRNC_WS1020WT_PR19CA001</t>
  </si>
  <si>
    <t>SRNC_WS1022WT_PR19CA001</t>
  </si>
  <si>
    <t>SRNC_W3026TEWT_PR19CA001</t>
  </si>
  <si>
    <t>SRNC_WS1010TWD_PR19CA001</t>
  </si>
  <si>
    <t>SRNC_WS1018TWD_PR19CA001</t>
  </si>
  <si>
    <t>SRNC_WS1020TWD_PR19CA001</t>
  </si>
  <si>
    <t>SRNC_WS1022TWD_PR19CA001</t>
  </si>
  <si>
    <t>SRNC_W3026TETWD_PR19CA001</t>
  </si>
  <si>
    <t>SRNC_BM351NETPLUS_PR19CA001</t>
  </si>
  <si>
    <t>SRNC_BC30445NETPLUS_PR19CA001</t>
  </si>
  <si>
    <t>SRNC_CW00036NETPLUS_PR19CA001</t>
  </si>
  <si>
    <t>SRNC_REALBOTWR_PR19CA001</t>
  </si>
  <si>
    <t>SRNC_REALBOTEXTWD_PR19CA001</t>
  </si>
  <si>
    <t>SRNC_REALBOTEXNPW_PR19CA001</t>
  </si>
  <si>
    <t>SRNC_REALBOTEXWW_PR19CA001</t>
  </si>
  <si>
    <t>SRNC_REALBOTEXWRP_PR19CA001</t>
  </si>
  <si>
    <t>SRNC_PROP_PR19CA001</t>
  </si>
  <si>
    <t>SRNC_MLENGTH_PR19CA001</t>
  </si>
  <si>
    <t>SRNC_PCTWTL36_PR19CA001</t>
  </si>
  <si>
    <t>SRNC_WAWTCL_PR19CA001</t>
  </si>
  <si>
    <t>SRNC_BOOSTERPL_PR19CA001</t>
  </si>
  <si>
    <t>SWBC_WS1010WR_PR19CA001</t>
  </si>
  <si>
    <t>SWBC_WS1011WR_PR19CA001</t>
  </si>
  <si>
    <t>SWBC_WS1012WR_PR19CA001</t>
  </si>
  <si>
    <t>SWBC_WS1013WR_PR19CA001</t>
  </si>
  <si>
    <t>SWBC_WS1018WR_PR19CA001</t>
  </si>
  <si>
    <t>SWBC_WS1020WR_PR19CA001</t>
  </si>
  <si>
    <t>SWBC_WS1022WR_PR19CA001</t>
  </si>
  <si>
    <t>SWBC_W3026TEWR_PR19CA001</t>
  </si>
  <si>
    <t>SWBC_WS1010RWD_PR19CA001</t>
  </si>
  <si>
    <t>SWBC_WS1018RWD_PR19CA001</t>
  </si>
  <si>
    <t>SWBC_WS1020RWD_PR19CA001</t>
  </si>
  <si>
    <t>SWBC_WS1022RWD_PR19CA001</t>
  </si>
  <si>
    <t>SWBC_W3026TERWD_PR19CA001</t>
  </si>
  <si>
    <t>SWBC_WS1010WT_PR19CA001</t>
  </si>
  <si>
    <t>SWBC_WS1018WT_PR19CA001</t>
  </si>
  <si>
    <t>SWBC_WS1020WT_PR19CA001</t>
  </si>
  <si>
    <t>SWBC_WS1022WT_PR19CA001</t>
  </si>
  <si>
    <t>SWBC_W3026TEWT_PR19CA001</t>
  </si>
  <si>
    <t>SWBC_WS1010TWD_PR19CA001</t>
  </si>
  <si>
    <t>SWBC_WS1018TWD_PR19CA001</t>
  </si>
  <si>
    <t>SWBC_WS1020TWD_PR19CA001</t>
  </si>
  <si>
    <t>SWBC_WS1022TWD_PR19CA001</t>
  </si>
  <si>
    <t>SWBC_W3026TETWD_PR19CA001</t>
  </si>
  <si>
    <t>SWBC_BM351NETPLUS_PR19CA001</t>
  </si>
  <si>
    <t>SWBC_BC30445NETPLUS_PR19CA001</t>
  </si>
  <si>
    <t>SWBC_CW00036NETPLUS_PR19CA001</t>
  </si>
  <si>
    <t>SWBC_REALBOTWR_PR19CA001</t>
  </si>
  <si>
    <t>SWBC_REALBOTEXTWD_PR19CA001</t>
  </si>
  <si>
    <t>SWBC_REALBOTEXNPW_PR19CA001</t>
  </si>
  <si>
    <t>SWBC_REALBOTEXWW_PR19CA001</t>
  </si>
  <si>
    <t>SWBC_REALBOTEXWRP_PR19CA001</t>
  </si>
  <si>
    <t>SWBC_PROP_PR19CA001</t>
  </si>
  <si>
    <t>SWBC_MLENGTH_PR19CA001</t>
  </si>
  <si>
    <t>SWBC_PCTWTL36_PR19CA001</t>
  </si>
  <si>
    <t>SWBC_WAWTCL_PR19CA001</t>
  </si>
  <si>
    <t>SWBC_BOOSTERPL_PR19CA001</t>
  </si>
  <si>
    <t>TMSC_WS1010WR_PR19CA001</t>
  </si>
  <si>
    <t>TMSC_WS1011WR_PR19CA001</t>
  </si>
  <si>
    <t>TMSC_WS1012WR_PR19CA001</t>
  </si>
  <si>
    <t>TMSC_WS1013WR_PR19CA001</t>
  </si>
  <si>
    <t>TMSC_WS1018WR_PR19CA001</t>
  </si>
  <si>
    <t>TMSC_WS1020WR_PR19CA001</t>
  </si>
  <si>
    <t>TMSC_WS1022WR_PR19CA001</t>
  </si>
  <si>
    <t>TMSC_W3026TEWR_PR19CA001</t>
  </si>
  <si>
    <t>TMSC_WS1010RWD_PR19CA001</t>
  </si>
  <si>
    <t>TMSC_WS1018RWD_PR19CA001</t>
  </si>
  <si>
    <t>TMSC_WS1020RWD_PR19CA001</t>
  </si>
  <si>
    <t>TMSC_WS1022RWD_PR19CA001</t>
  </si>
  <si>
    <t>TMSC_W3026TERWD_PR19CA001</t>
  </si>
  <si>
    <t>TMSC_WS1010WT_PR19CA001</t>
  </si>
  <si>
    <t>TMSC_WS1018WT_PR19CA001</t>
  </si>
  <si>
    <t>TMSC_WS1020WT_PR19CA001</t>
  </si>
  <si>
    <t>TMSC_WS1022WT_PR19CA001</t>
  </si>
  <si>
    <t>TMSC_W3026TEWT_PR19CA001</t>
  </si>
  <si>
    <t>TMSC_WS1010TWD_PR19CA001</t>
  </si>
  <si>
    <t>TMSC_WS1018TWD_PR19CA001</t>
  </si>
  <si>
    <t>TMSC_WS1020TWD_PR19CA001</t>
  </si>
  <si>
    <t>TMSC_WS1022TWD_PR19CA001</t>
  </si>
  <si>
    <t>TMSC_W3026TETWD_PR19CA001</t>
  </si>
  <si>
    <t>TMSC_BM351NETPLUS_PR19CA001</t>
  </si>
  <si>
    <t>TMSC_BC30445NETPLUS_PR19CA001</t>
  </si>
  <si>
    <t>TMSC_CW00036NETPLUS_PR19CA001</t>
  </si>
  <si>
    <t>TMSC_REALBOTWR_PR19CA001</t>
  </si>
  <si>
    <t>TMSC_REALBOTEXTWD_PR19CA001</t>
  </si>
  <si>
    <t>TMSC_REALBOTEXNPW_PR19CA001</t>
  </si>
  <si>
    <t>TMSC_REALBOTEXWW_PR19CA001</t>
  </si>
  <si>
    <t>TMSC_REALBOTEXWRP_PR19CA001</t>
  </si>
  <si>
    <t>TMSC_PROP_PR19CA001</t>
  </si>
  <si>
    <t>TMSC_MLENGTH_PR19CA001</t>
  </si>
  <si>
    <t>TMSC_PCTWTL36_PR19CA001</t>
  </si>
  <si>
    <t>TMSC_WAWTCL_PR19CA001</t>
  </si>
  <si>
    <t>TMSC_BOOSTERPL_PR19CA001</t>
  </si>
  <si>
    <t>WSHC_WS1010WR_PR19CA001</t>
  </si>
  <si>
    <t>WSHC_WS1011WR_PR19CA001</t>
  </si>
  <si>
    <t>WSHC_WS1012WR_PR19CA001</t>
  </si>
  <si>
    <t>WSHC_WS1013WR_PR19CA001</t>
  </si>
  <si>
    <t>WSHC_WS1018WR_PR19CA001</t>
  </si>
  <si>
    <t>WSHC_WS1020WR_PR19CA001</t>
  </si>
  <si>
    <t>WSHC_WS1022WR_PR19CA001</t>
  </si>
  <si>
    <t>WSHC_W3026TEWR_PR19CA001</t>
  </si>
  <si>
    <t>WSHC_WS1010RWD_PR19CA001</t>
  </si>
  <si>
    <t>WSHC_WS1018RWD_PR19CA001</t>
  </si>
  <si>
    <t>WSHC_WS1020RWD_PR19CA001</t>
  </si>
  <si>
    <t>WSHC_WS1022RWD_PR19CA001</t>
  </si>
  <si>
    <t>WSHC_W3026TERWD_PR19CA001</t>
  </si>
  <si>
    <t>WSHC_WS1010WT_PR19CA001</t>
  </si>
  <si>
    <t>WSHC_WS1018WT_PR19CA001</t>
  </si>
  <si>
    <t>WSHC_WS1020WT_PR19CA001</t>
  </si>
  <si>
    <t>WSHC_WS1022WT_PR19CA001</t>
  </si>
  <si>
    <t>WSHC_W3026TEWT_PR19CA001</t>
  </si>
  <si>
    <t>WSHC_WS1010TWD_PR19CA001</t>
  </si>
  <si>
    <t>WSHC_WS1018TWD_PR19CA001</t>
  </si>
  <si>
    <t>WSHC_WS1020TWD_PR19CA001</t>
  </si>
  <si>
    <t>WSHC_WS1022TWD_PR19CA001</t>
  </si>
  <si>
    <t>WSHC_W3026TETWD_PR19CA001</t>
  </si>
  <si>
    <t>WSHC_BM351NETPLUS_PR19CA001</t>
  </si>
  <si>
    <t>WSHC_BC30445NETPLUS_PR19CA001</t>
  </si>
  <si>
    <t>WSHC_CW00036NETPLUS_PR19CA001</t>
  </si>
  <si>
    <t>WSHC_REALBOTWR_PR19CA001</t>
  </si>
  <si>
    <t>WSHC_REALBOTEXTWD_PR19CA001</t>
  </si>
  <si>
    <t>WSHC_REALBOTEXNPW_PR19CA001</t>
  </si>
  <si>
    <t>WSHC_REALBOTEXWW_PR19CA001</t>
  </si>
  <si>
    <t>WSHC_REALBOTEXWRP_PR19CA001</t>
  </si>
  <si>
    <t>WSHC_PROP_PR19CA001</t>
  </si>
  <si>
    <t>WSHC_MLENGTH_PR19CA001</t>
  </si>
  <si>
    <t>WSHC_PCTWTL36_PR19CA001</t>
  </si>
  <si>
    <t>WSHC_WAWTCL_PR19CA001</t>
  </si>
  <si>
    <t>WSHC_BOOSTERPL_PR19CA001</t>
  </si>
  <si>
    <t>WSXC_WS1010WR_PR19CA001</t>
  </si>
  <si>
    <t>WSXC_WS1011WR_PR19CA001</t>
  </si>
  <si>
    <t>WSXC_WS1012WR_PR19CA001</t>
  </si>
  <si>
    <t>WSXC_WS1013WR_PR19CA001</t>
  </si>
  <si>
    <t>WSXC_WS1018WR_PR19CA001</t>
  </si>
  <si>
    <t>WSXC_WS1020WR_PR19CA001</t>
  </si>
  <si>
    <t>WSXC_WS1022WR_PR19CA001</t>
  </si>
  <si>
    <t>WSXC_W3026TEWR_PR19CA001</t>
  </si>
  <si>
    <t>WSXC_WS1010RWD_PR19CA001</t>
  </si>
  <si>
    <t>WSXC_WS1018RWD_PR19CA001</t>
  </si>
  <si>
    <t>WSXC_WS1020RWD_PR19CA001</t>
  </si>
  <si>
    <t>WSXC_WS1022RWD_PR19CA001</t>
  </si>
  <si>
    <t>WSXC_W3026TERWD_PR19CA001</t>
  </si>
  <si>
    <t>WSXC_WS1010WT_PR19CA001</t>
  </si>
  <si>
    <t>WSXC_WS1018WT_PR19CA001</t>
  </si>
  <si>
    <t>WSXC_WS1020WT_PR19CA001</t>
  </si>
  <si>
    <t>WSXC_WS1022WT_PR19CA001</t>
  </si>
  <si>
    <t>WSXC_W3026TEWT_PR19CA001</t>
  </si>
  <si>
    <t>WSXC_WS1010TWD_PR19CA001</t>
  </si>
  <si>
    <t>WSXC_WS1018TWD_PR19CA001</t>
  </si>
  <si>
    <t>WSXC_WS1020TWD_PR19CA001</t>
  </si>
  <si>
    <t>WSXC_WS1022TWD_PR19CA001</t>
  </si>
  <si>
    <t>WSXC_W3026TETWD_PR19CA001</t>
  </si>
  <si>
    <t>WSXC_BM351NETPLUS_PR19CA001</t>
  </si>
  <si>
    <t>WSXC_BC30445NETPLUS_PR19CA001</t>
  </si>
  <si>
    <t>WSXC_CW00036NETPLUS_PR19CA001</t>
  </si>
  <si>
    <t>WSXC_REALBOTWR_PR19CA001</t>
  </si>
  <si>
    <t>WSXC_REALBOTEXTWD_PR19CA001</t>
  </si>
  <si>
    <t>WSXC_REALBOTEXNPW_PR19CA001</t>
  </si>
  <si>
    <t>WSXC_REALBOTEXWW_PR19CA001</t>
  </si>
  <si>
    <t>WSXC_REALBOTEXWRP_PR19CA001</t>
  </si>
  <si>
    <t>WSXC_PROP_PR19CA001</t>
  </si>
  <si>
    <t>WSXC_MLENGTH_PR19CA001</t>
  </si>
  <si>
    <t>WSXC_PCTWTL36_PR19CA001</t>
  </si>
  <si>
    <t>WSXC_WAWTCL_PR19CA001</t>
  </si>
  <si>
    <t>WSXC_BOOSTERPL_PR19CA001</t>
  </si>
  <si>
    <t>YKYC_WS1010WR_PR19CA001</t>
  </si>
  <si>
    <t>YKYC_WS1011WR_PR19CA001</t>
  </si>
  <si>
    <t>YKYC_WS1012WR_PR19CA001</t>
  </si>
  <si>
    <t>YKYC_WS1013WR_PR19CA001</t>
  </si>
  <si>
    <t>YKYC_WS1018WR_PR19CA001</t>
  </si>
  <si>
    <t>YKYC_WS1020WR_PR19CA001</t>
  </si>
  <si>
    <t>YKYC_WS1022WR_PR19CA001</t>
  </si>
  <si>
    <t>YKYC_W3026TEWR_PR19CA001</t>
  </si>
  <si>
    <t>YKYC_WS1010RWD_PR19CA001</t>
  </si>
  <si>
    <t>YKYC_WS1018RWD_PR19CA001</t>
  </si>
  <si>
    <t>YKYC_WS1020RWD_PR19CA001</t>
  </si>
  <si>
    <t>YKYC_WS1022RWD_PR19CA001</t>
  </si>
  <si>
    <t>YKYC_W3026TERWD_PR19CA001</t>
  </si>
  <si>
    <t>YKYC_WS1010WT_PR19CA001</t>
  </si>
  <si>
    <t>YKYC_WS1018WT_PR19CA001</t>
  </si>
  <si>
    <t>YKYC_WS1020WT_PR19CA001</t>
  </si>
  <si>
    <t>YKYC_WS1022WT_PR19CA001</t>
  </si>
  <si>
    <t>YKYC_W3026TEWT_PR19CA001</t>
  </si>
  <si>
    <t>YKYC_WS1010TWD_PR19CA001</t>
  </si>
  <si>
    <t>YKYC_WS1018TWD_PR19CA001</t>
  </si>
  <si>
    <t>YKYC_WS1020TWD_PR19CA001</t>
  </si>
  <si>
    <t>YKYC_WS1022TWD_PR19CA001</t>
  </si>
  <si>
    <t>YKYC_W3026TETWD_PR19CA001</t>
  </si>
  <si>
    <t>YKYC_BM351NETPLUS_PR19CA001</t>
  </si>
  <si>
    <t>YKYC_BC30445NETPLUS_PR19CA001</t>
  </si>
  <si>
    <t>YKYC_CW00036NETPLUS_PR19CA001</t>
  </si>
  <si>
    <t>YKYC_REALBOTWR_PR19CA001</t>
  </si>
  <si>
    <t>YKYC_REALBOTEXTWD_PR19CA001</t>
  </si>
  <si>
    <t>YKYC_REALBOTEXNPW_PR19CA001</t>
  </si>
  <si>
    <t>YKYC_REALBOTEXWW_PR19CA001</t>
  </si>
  <si>
    <t>YKYC_REALBOTEXWRP_PR19CA001</t>
  </si>
  <si>
    <t>YKYC_PROP_PR19CA001</t>
  </si>
  <si>
    <t>YKYC_MLENGTH_PR19CA001</t>
  </si>
  <si>
    <t>YKYC_PCTWTL36_PR19CA001</t>
  </si>
  <si>
    <t>YKYC_WAWTCL_PR19CA001</t>
  </si>
  <si>
    <t>YKYC_BOOSTERPL_PR19CA001</t>
  </si>
  <si>
    <t>AFWC_WS1010WR_PR19CA001</t>
  </si>
  <si>
    <t>AFWC_WS1011WR_PR19CA001</t>
  </si>
  <si>
    <t>AFWC_WS1012WR_PR19CA001</t>
  </si>
  <si>
    <t>AFWC_WS1013WR_PR19CA001</t>
  </si>
  <si>
    <t>AFWC_WS1018WR_PR19CA001</t>
  </si>
  <si>
    <t>AFWC_WS1020WR_PR19CA001</t>
  </si>
  <si>
    <t>AFWC_WS1022WR_PR19CA001</t>
  </si>
  <si>
    <t>AFWC_W3026TEWR_PR19CA001</t>
  </si>
  <si>
    <t>AFWC_WS1010RWD_PR19CA001</t>
  </si>
  <si>
    <t>AFWC_WS1018RWD_PR19CA001</t>
  </si>
  <si>
    <t>AFWC_WS1020RWD_PR19CA001</t>
  </si>
  <si>
    <t>AFWC_WS1022RWD_PR19CA001</t>
  </si>
  <si>
    <t>AFWC_W3026TERWD_PR19CA001</t>
  </si>
  <si>
    <t>AFWC_WS1010WT_PR19CA001</t>
  </si>
  <si>
    <t>AFWC_WS1018WT_PR19CA001</t>
  </si>
  <si>
    <t>AFWC_WS1020WT_PR19CA001</t>
  </si>
  <si>
    <t>AFWC_WS1022WT_PR19CA001</t>
  </si>
  <si>
    <t>AFWC_W3026TEWT_PR19CA001</t>
  </si>
  <si>
    <t>AFWC_WS1010TWD_PR19CA001</t>
  </si>
  <si>
    <t>AFWC_WS1018TWD_PR19CA001</t>
  </si>
  <si>
    <t>AFWC_WS1020TWD_PR19CA001</t>
  </si>
  <si>
    <t>AFWC_WS1022TWD_PR19CA001</t>
  </si>
  <si>
    <t>AFWC_W3026TETWD_PR19CA001</t>
  </si>
  <si>
    <t>AFWC_BM351NETPLUS_PR19CA001</t>
  </si>
  <si>
    <t>AFWC_BC30445NETPLUS_PR19CA001</t>
  </si>
  <si>
    <t>AFWC_CW00036NETPLUS_PR19CA001</t>
  </si>
  <si>
    <t>AFWC_REALBOTWR_PR19CA001</t>
  </si>
  <si>
    <t>AFWC_REALBOTEXTWD_PR19CA001</t>
  </si>
  <si>
    <t>AFWC_REALBOTEXNPW_PR19CA001</t>
  </si>
  <si>
    <t>AFWC_REALBOTEXWW_PR19CA001</t>
  </si>
  <si>
    <t>AFWC_REALBOTEXWRP_PR19CA001</t>
  </si>
  <si>
    <t>AFWC_PROP_PR19CA001</t>
  </si>
  <si>
    <t>AFWC_MLENGTH_PR19CA001</t>
  </si>
  <si>
    <t>AFWC_PCTWTL36_PR19CA001</t>
  </si>
  <si>
    <t>AFWC_WAWTCL_PR19CA001</t>
  </si>
  <si>
    <t>AFWC_BOOSTERPL_PR19CA001</t>
  </si>
  <si>
    <t>BRLC_WS1010WR_PR19CA001</t>
  </si>
  <si>
    <t>BRLC_WS1011WR_PR19CA001</t>
  </si>
  <si>
    <t>BRLC_WS1012WR_PR19CA001</t>
  </si>
  <si>
    <t>BRLC_WS1013WR_PR19CA001</t>
  </si>
  <si>
    <t>BRLC_WS1018WR_PR19CA001</t>
  </si>
  <si>
    <t>BRLC_WS1020WR_PR19CA001</t>
  </si>
  <si>
    <t>BRLC_WS1022WR_PR19CA001</t>
  </si>
  <si>
    <t>BRLC_W3026TEWR_PR19CA001</t>
  </si>
  <si>
    <t>BRLC_WS1010RWD_PR19CA001</t>
  </si>
  <si>
    <t>BRLC_WS1018RWD_PR19CA001</t>
  </si>
  <si>
    <t>BRLC_WS1020RWD_PR19CA001</t>
  </si>
  <si>
    <t>BRLC_WS1022RWD_PR19CA001</t>
  </si>
  <si>
    <t>BRLC_W3026TERWD_PR19CA001</t>
  </si>
  <si>
    <t>BRLC_WS1010WT_PR19CA001</t>
  </si>
  <si>
    <t>BRLC_WS1018WT_PR19CA001</t>
  </si>
  <si>
    <t>BRLC_WS1020WT_PR19CA001</t>
  </si>
  <si>
    <t>BRLC_WS1022WT_PR19CA001</t>
  </si>
  <si>
    <t>BRLC_W3026TEWT_PR19CA001</t>
  </si>
  <si>
    <t>BRLC_WS1010TWD_PR19CA001</t>
  </si>
  <si>
    <t>BRLC_WS1018TWD_PR19CA001</t>
  </si>
  <si>
    <t>BRLC_WS1020TWD_PR19CA001</t>
  </si>
  <si>
    <t>BRLC_WS1022TWD_PR19CA001</t>
  </si>
  <si>
    <t>BRLC_W3026TETWD_PR19CA001</t>
  </si>
  <si>
    <t>BRLC_BM351NETPLUS_PR19CA001</t>
  </si>
  <si>
    <t>BRLC_BC30445NETPLUS_PR19CA001</t>
  </si>
  <si>
    <t>BRLC_CW00036NETPLUS_PR19CA001</t>
  </si>
  <si>
    <t>BRLC_REALBOTWR_PR19CA001</t>
  </si>
  <si>
    <t>BRLC_REALBOTEXTWD_PR19CA001</t>
  </si>
  <si>
    <t>BRLC_REALBOTEXNPW_PR19CA001</t>
  </si>
  <si>
    <t>BRLC_REALBOTEXWW_PR19CA001</t>
  </si>
  <si>
    <t>BRLC_REALBOTEXWRP_PR19CA001</t>
  </si>
  <si>
    <t>BRLC_PROP_PR19CA001</t>
  </si>
  <si>
    <t>BRLC_MLENGTH_PR19CA001</t>
  </si>
  <si>
    <t>BRLC_PCTWTL36_PR19CA001</t>
  </si>
  <si>
    <t>BRLC_WAWTCL_PR19CA001</t>
  </si>
  <si>
    <t>BRLC_BOOSTERPL_PR19CA001</t>
  </si>
  <si>
    <t>PRTC_WS1010WR_PR19CA001</t>
  </si>
  <si>
    <t>PRTC_WS1011WR_PR19CA001</t>
  </si>
  <si>
    <t>PRTC_WS1012WR_PR19CA001</t>
  </si>
  <si>
    <t>PRTC_WS1013WR_PR19CA001</t>
  </si>
  <si>
    <t>PRTC_WS1018WR_PR19CA001</t>
  </si>
  <si>
    <t>PRTC_WS1020WR_PR19CA001</t>
  </si>
  <si>
    <t>PRTC_WS1022WR_PR19CA001</t>
  </si>
  <si>
    <t>PRTC_W3026TEWR_PR19CA001</t>
  </si>
  <si>
    <t>PRTC_WS1010RWD_PR19CA001</t>
  </si>
  <si>
    <t>PRTC_WS1018RWD_PR19CA001</t>
  </si>
  <si>
    <t>PRTC_WS1020RWD_PR19CA001</t>
  </si>
  <si>
    <t>PRTC_WS1022RWD_PR19CA001</t>
  </si>
  <si>
    <t>PRTC_W3026TERWD_PR19CA001</t>
  </si>
  <si>
    <t>PRTC_WS1010WT_PR19CA001</t>
  </si>
  <si>
    <t>PRTC_WS1018WT_PR19CA001</t>
  </si>
  <si>
    <t>PRTC_WS1020WT_PR19CA001</t>
  </si>
  <si>
    <t>PRTC_WS1022WT_PR19CA001</t>
  </si>
  <si>
    <t>PRTC_W3026TEWT_PR19CA001</t>
  </si>
  <si>
    <t>PRTC_WS1010TWD_PR19CA001</t>
  </si>
  <si>
    <t>PRTC_WS1018TWD_PR19CA001</t>
  </si>
  <si>
    <t>PRTC_WS1020TWD_PR19CA001</t>
  </si>
  <si>
    <t>PRTC_WS1022TWD_PR19CA001</t>
  </si>
  <si>
    <t>PRTC_W3026TETWD_PR19CA001</t>
  </si>
  <si>
    <t>PRTC_BM351NETPLUS_PR19CA001</t>
  </si>
  <si>
    <t>PRTC_BC30445NETPLUS_PR19CA001</t>
  </si>
  <si>
    <t>PRTC_CW00036NETPLUS_PR19CA001</t>
  </si>
  <si>
    <t>PRTC_REALBOTWR_PR19CA001</t>
  </si>
  <si>
    <t>PRTC_REALBOTEXTWD_PR19CA001</t>
  </si>
  <si>
    <t>PRTC_REALBOTEXNPW_PR19CA001</t>
  </si>
  <si>
    <t>PRTC_REALBOTEXWW_PR19CA001</t>
  </si>
  <si>
    <t>PRTC_REALBOTEXWRP_PR19CA001</t>
  </si>
  <si>
    <t>PRTC_PROP_PR19CA001</t>
  </si>
  <si>
    <t>PRTC_MLENGTH_PR19CA001</t>
  </si>
  <si>
    <t>PRTC_PCTWTL36_PR19CA001</t>
  </si>
  <si>
    <t>PRTC_WAWTCL_PR19CA001</t>
  </si>
  <si>
    <t>PRTC_BOOSTERPL_PR19CA001</t>
  </si>
  <si>
    <t>SESC_WS1010WR_PR19CA001</t>
  </si>
  <si>
    <t>SESC_WS1011WR_PR19CA001</t>
  </si>
  <si>
    <t>SESC_WS1012WR_PR19CA001</t>
  </si>
  <si>
    <t>SESC_WS1013WR_PR19CA001</t>
  </si>
  <si>
    <t>SESC_WS1018WR_PR19CA001</t>
  </si>
  <si>
    <t>SESC_WS1020WR_PR19CA001</t>
  </si>
  <si>
    <t>SESC_WS1022WR_PR19CA001</t>
  </si>
  <si>
    <t>SESC_W3026TEWR_PR19CA001</t>
  </si>
  <si>
    <t>SESC_WS1010RWD_PR19CA001</t>
  </si>
  <si>
    <t>SESC_WS1018RWD_PR19CA001</t>
  </si>
  <si>
    <t>SESC_WS1020RWD_PR19CA001</t>
  </si>
  <si>
    <t>SESC_WS1022RWD_PR19CA001</t>
  </si>
  <si>
    <t>SESC_W3026TERWD_PR19CA001</t>
  </si>
  <si>
    <t>SESC_WS1010WT_PR19CA001</t>
  </si>
  <si>
    <t>SESC_WS1018WT_PR19CA001</t>
  </si>
  <si>
    <t>SESC_WS1020WT_PR19CA001</t>
  </si>
  <si>
    <t>SESC_WS1022WT_PR19CA001</t>
  </si>
  <si>
    <t>SESC_W3026TEWT_PR19CA001</t>
  </si>
  <si>
    <t>SESC_WS1010TWD_PR19CA001</t>
  </si>
  <si>
    <t>SESC_WS1018TWD_PR19CA001</t>
  </si>
  <si>
    <t>SESC_WS1020TWD_PR19CA001</t>
  </si>
  <si>
    <t>SESC_WS1022TWD_PR19CA001</t>
  </si>
  <si>
    <t>SESC_W3026TETWD_PR19CA001</t>
  </si>
  <si>
    <t>SESC_BM351NETPLUS_PR19CA001</t>
  </si>
  <si>
    <t>SESC_BC30445NETPLUS_PR19CA001</t>
  </si>
  <si>
    <t>SESC_CW00036NETPLUS_PR19CA001</t>
  </si>
  <si>
    <t>SESC_REALBOTWR_PR19CA001</t>
  </si>
  <si>
    <t>SESC_REALBOTEXTWD_PR19CA001</t>
  </si>
  <si>
    <t>SESC_REALBOTEXNPW_PR19CA001</t>
  </si>
  <si>
    <t>SESC_REALBOTEXWW_PR19CA001</t>
  </si>
  <si>
    <t>SESC_REALBOTEXWRP_PR19CA001</t>
  </si>
  <si>
    <t>SESC_PROP_PR19CA001</t>
  </si>
  <si>
    <t>SESC_MLENGTH_PR19CA001</t>
  </si>
  <si>
    <t>SESC_PCTWTL36_PR19CA001</t>
  </si>
  <si>
    <t>SESC_WAWTCL_PR19CA001</t>
  </si>
  <si>
    <t>SESC_BOOSTERPL_PR19CA001</t>
  </si>
  <si>
    <t>SEWC_WS1010WR_PR19CA001</t>
  </si>
  <si>
    <t>SEWC_WS1011WR_PR19CA001</t>
  </si>
  <si>
    <t>SEWC_WS1012WR_PR19CA001</t>
  </si>
  <si>
    <t>SEWC_WS1013WR_PR19CA001</t>
  </si>
  <si>
    <t>SEWC_WS1018WR_PR19CA001</t>
  </si>
  <si>
    <t>SEWC_WS1020WR_PR19CA001</t>
  </si>
  <si>
    <t>SEWC_WS1022WR_PR19CA001</t>
  </si>
  <si>
    <t>SEWC_W3026TEWR_PR19CA001</t>
  </si>
  <si>
    <t>SEWC_WS1010RWD_PR19CA001</t>
  </si>
  <si>
    <t>SEWC_WS1018RWD_PR19CA001</t>
  </si>
  <si>
    <t>SEWC_WS1020RWD_PR19CA001</t>
  </si>
  <si>
    <t>SEWC_WS1022RWD_PR19CA001</t>
  </si>
  <si>
    <t>SEWC_W3026TERWD_PR19CA001</t>
  </si>
  <si>
    <t>SEWC_WS1010WT_PR19CA001</t>
  </si>
  <si>
    <t>SEWC_WS1018WT_PR19CA001</t>
  </si>
  <si>
    <t>SEWC_WS1020WT_PR19CA001</t>
  </si>
  <si>
    <t>SEWC_WS1022WT_PR19CA001</t>
  </si>
  <si>
    <t>SEWC_W3026TEWT_PR19CA001</t>
  </si>
  <si>
    <t>SEWC_WS1010TWD_PR19CA001</t>
  </si>
  <si>
    <t>SEWC_WS1018TWD_PR19CA001</t>
  </si>
  <si>
    <t>SEWC_WS1020TWD_PR19CA001</t>
  </si>
  <si>
    <t>SEWC_WS1022TWD_PR19CA001</t>
  </si>
  <si>
    <t>SEWC_W3026TETWD_PR19CA001</t>
  </si>
  <si>
    <t>SEWC_BM351NETPLUS_PR19CA001</t>
  </si>
  <si>
    <t>SEWC_BC30445NETPLUS_PR19CA001</t>
  </si>
  <si>
    <t>SEWC_CW00036NETPLUS_PR19CA001</t>
  </si>
  <si>
    <t>SEWC_REALBOTWR_PR19CA001</t>
  </si>
  <si>
    <t>SEWC_REALBOTEXTWD_PR19CA001</t>
  </si>
  <si>
    <t>SEWC_REALBOTEXNPW_PR19CA001</t>
  </si>
  <si>
    <t>SEWC_REALBOTEXWW_PR19CA001</t>
  </si>
  <si>
    <t>SEWC_REALBOTEXWRP_PR19CA001</t>
  </si>
  <si>
    <t>SEWC_PROP_PR19CA001</t>
  </si>
  <si>
    <t>SEWC_MLENGTH_PR19CA001</t>
  </si>
  <si>
    <t>SEWC_PCTWTL36_PR19CA001</t>
  </si>
  <si>
    <t>SEWC_WAWTCL_PR19CA001</t>
  </si>
  <si>
    <t>SEWC_BOOSTERPL_PR19CA001</t>
  </si>
  <si>
    <t>SSCC_WS1010WR_PR19CA001</t>
  </si>
  <si>
    <t>SSCC_WS1011WR_PR19CA001</t>
  </si>
  <si>
    <t>SSCC_WS1012WR_PR19CA001</t>
  </si>
  <si>
    <t>SSCC_WS1013WR_PR19CA001</t>
  </si>
  <si>
    <t>SSCC_WS1018WR_PR19CA001</t>
  </si>
  <si>
    <t>SSCC_WS1020WR_PR19CA001</t>
  </si>
  <si>
    <t>SSCC_WS1022WR_PR19CA001</t>
  </si>
  <si>
    <t>SSCC_W3026TEWR_PR19CA001</t>
  </si>
  <si>
    <t>SSCC_WS1010RWD_PR19CA001</t>
  </si>
  <si>
    <t>SSCC_WS1018RWD_PR19CA001</t>
  </si>
  <si>
    <t>SSCC_WS1020RWD_PR19CA001</t>
  </si>
  <si>
    <t>SSCC_WS1022RWD_PR19CA001</t>
  </si>
  <si>
    <t>SSCC_W3026TERWD_PR19CA001</t>
  </si>
  <si>
    <t>SSCC_WS1010WT_PR19CA001</t>
  </si>
  <si>
    <t>SSCC_WS1018WT_PR19CA001</t>
  </si>
  <si>
    <t>SSCC_WS1020WT_PR19CA001</t>
  </si>
  <si>
    <t>SSCC_WS1022WT_PR19CA001</t>
  </si>
  <si>
    <t>SSCC_W3026TEWT_PR19CA001</t>
  </si>
  <si>
    <t>SSCC_WS1010TWD_PR19CA001</t>
  </si>
  <si>
    <t>SSCC_WS1018TWD_PR19CA001</t>
  </si>
  <si>
    <t>SSCC_WS1020TWD_PR19CA001</t>
  </si>
  <si>
    <t>SSCC_WS1022TWD_PR19CA001</t>
  </si>
  <si>
    <t>SSCC_W3026TETWD_PR19CA001</t>
  </si>
  <si>
    <t>SSCC_BM351NETPLUS_PR19CA001</t>
  </si>
  <si>
    <t>SSCC_BC30445NETPLUS_PR19CA001</t>
  </si>
  <si>
    <t>SSCC_CW00036NETPLUS_PR19CA001</t>
  </si>
  <si>
    <t>SSCC_REALBOTWR_PR19CA001</t>
  </si>
  <si>
    <t>SSCC_REALBOTEXTWD_PR19CA001</t>
  </si>
  <si>
    <t>SSCC_REALBOTEXNPW_PR19CA001</t>
  </si>
  <si>
    <t>SSCC_REALBOTEXWW_PR19CA001</t>
  </si>
  <si>
    <t>SSCC_REALBOTEXWRP_PR19CA001</t>
  </si>
  <si>
    <t>SSCC_PROP_PR19CA001</t>
  </si>
  <si>
    <t>SSCC_MLENGTH_PR19CA001</t>
  </si>
  <si>
    <t>SSCC_PCTWTL36_PR19CA001</t>
  </si>
  <si>
    <t>SSCC_WAWTCL_PR19CA001</t>
  </si>
  <si>
    <t>SSCC_BOOSTERPL_PR19CA001</t>
  </si>
  <si>
    <t>SVEC_WS1010WR_PR19CA001</t>
  </si>
  <si>
    <t>SVEC_WS1011WR_PR19CA001</t>
  </si>
  <si>
    <t>SVEC_WS1012WR_PR19CA001</t>
  </si>
  <si>
    <t>SVEC_WS1013WR_PR19CA001</t>
  </si>
  <si>
    <t>SVEC_WS1018WR_PR19CA001</t>
  </si>
  <si>
    <t>SVEC_WS1020WR_PR19CA001</t>
  </si>
  <si>
    <t>SVEC_WS1022WR_PR19CA001</t>
  </si>
  <si>
    <t>SVEC_W3026TEWR_PR19CA001</t>
  </si>
  <si>
    <t>SVEC_WS1010RWD_PR19CA001</t>
  </si>
  <si>
    <t>SVEC_WS1018RWD_PR19CA001</t>
  </si>
  <si>
    <t>SVEC_WS1020RWD_PR19CA001</t>
  </si>
  <si>
    <t>SVEC_WS1022RWD_PR19CA001</t>
  </si>
  <si>
    <t>SVEC_W3026TERWD_PR19CA001</t>
  </si>
  <si>
    <t>SVEC_WS1010WT_PR19CA001</t>
  </si>
  <si>
    <t>SVEC_WS1018WT_PR19CA001</t>
  </si>
  <si>
    <t>SVEC_WS1020WT_PR19CA001</t>
  </si>
  <si>
    <t>SVEC_WS1022WT_PR19CA001</t>
  </si>
  <si>
    <t>SVEC_W3026TEWT_PR19CA001</t>
  </si>
  <si>
    <t>SVEC_WS1010TWD_PR19CA001</t>
  </si>
  <si>
    <t>SVEC_WS1018TWD_PR19CA001</t>
  </si>
  <si>
    <t>SVEC_WS1020TWD_PR19CA001</t>
  </si>
  <si>
    <t>SVEC_WS1022TWD_PR19CA001</t>
  </si>
  <si>
    <t>SVEC_W3026TETWD_PR19CA001</t>
  </si>
  <si>
    <t>SVEC_BM351NETPLUS_PR19CA001</t>
  </si>
  <si>
    <t>SVEC_BC30445NETPLUS_PR19CA001</t>
  </si>
  <si>
    <t>SVEC_CW00036NETPLUS_PR19CA001</t>
  </si>
  <si>
    <t>SVEC_REALBOTWR_PR19CA001</t>
  </si>
  <si>
    <t>SVEC_REALBOTEXTWD_PR19CA001</t>
  </si>
  <si>
    <t>SVEC_REALBOTEXNPW_PR19CA001</t>
  </si>
  <si>
    <t>SVEC_REALBOTEXWW_PR19CA001</t>
  </si>
  <si>
    <t>SVEC_REALBOTEXWRP_PR19CA001</t>
  </si>
  <si>
    <t>SVEC_PROP_PR19CA001</t>
  </si>
  <si>
    <t>SVEC_MLENGTH_PR19CA001</t>
  </si>
  <si>
    <t>SVEC_PCTWTL36_PR19CA001</t>
  </si>
  <si>
    <t>SVEC_WAWTCL_PR19CA001</t>
  </si>
  <si>
    <t>SVEC_BOOSTERPL_PR19CA001</t>
  </si>
  <si>
    <t>HDDC_WS1010WR_PR19CA001</t>
  </si>
  <si>
    <t>HDDC_WS1011WR_PR19CA001</t>
  </si>
  <si>
    <t>HDDC_WS1012WR_PR19CA001</t>
  </si>
  <si>
    <t>HDDC_WS1013WR_PR19CA001</t>
  </si>
  <si>
    <t>HDDC_WS1018WR_PR19CA001</t>
  </si>
  <si>
    <t>HDDC_WS1020WR_PR19CA001</t>
  </si>
  <si>
    <t>HDDC_WS1022WR_PR19CA001</t>
  </si>
  <si>
    <t>HDDC_W3026TEWR_PR19CA001</t>
  </si>
  <si>
    <t>HDDC_WS1010RWD_PR19CA001</t>
  </si>
  <si>
    <t>HDDC_WS1018RWD_PR19CA001</t>
  </si>
  <si>
    <t>HDDC_WS1020RWD_PR19CA001</t>
  </si>
  <si>
    <t>HDDC_WS1022RWD_PR19CA001</t>
  </si>
  <si>
    <t>HDDC_W3026TERWD_PR19CA001</t>
  </si>
  <si>
    <t>HDDC_WS1010WT_PR19CA001</t>
  </si>
  <si>
    <t>HDDC_WS1018WT_PR19CA001</t>
  </si>
  <si>
    <t>HDDC_WS1020WT_PR19CA001</t>
  </si>
  <si>
    <t>HDDC_WS1022WT_PR19CA001</t>
  </si>
  <si>
    <t>HDDC_W3026TEWT_PR19CA001</t>
  </si>
  <si>
    <t>HDDC_WS1010TWD_PR19CA001</t>
  </si>
  <si>
    <t>HDDC_WS1018TWD_PR19CA001</t>
  </si>
  <si>
    <t>HDDC_WS1020TWD_PR19CA001</t>
  </si>
  <si>
    <t>HDDC_WS1022TWD_PR19CA001</t>
  </si>
  <si>
    <t>HDDC_W3026TETWD_PR19CA001</t>
  </si>
  <si>
    <t>HDDC_BM351NETPLUS_PR19CA001</t>
  </si>
  <si>
    <t>HDDC_BC30445NETPLUS_PR19CA001</t>
  </si>
  <si>
    <t>HDDC_CW00036NETPLUS_PR19CA001</t>
  </si>
  <si>
    <t>HDDC_REALBOTWR_PR19CA001</t>
  </si>
  <si>
    <t>HDDC_REALBOTEXTWD_PR19CA001</t>
  </si>
  <si>
    <t>HDDC_REALBOTEXNPW_PR19CA001</t>
  </si>
  <si>
    <t>HDDC_REALBOTEXWW_PR19CA001</t>
  </si>
  <si>
    <t>HDDC_REALBOTEXWRP_PR19CA001</t>
  </si>
  <si>
    <t>HDDC_PROP_PR19CA001</t>
  </si>
  <si>
    <t>HDDC_MLENGTH_PR19CA001</t>
  </si>
  <si>
    <t>HDDC_PCTWTL36_PR19CA001</t>
  </si>
  <si>
    <t>HDDC_WAWTCL_PR19CA001</t>
  </si>
  <si>
    <t>HDDC_BOOSTERPL_PR19CA001</t>
  </si>
  <si>
    <t>SVHC_WS1010WR_PR19CA001</t>
  </si>
  <si>
    <t>SVHC_WS1011WR_PR19CA001</t>
  </si>
  <si>
    <t>SVHC_WS1012WR_PR19CA001</t>
  </si>
  <si>
    <t>SVHC_WS1013WR_PR19CA001</t>
  </si>
  <si>
    <t>SVHC_WS1018WR_PR19CA001</t>
  </si>
  <si>
    <t>SVHC_WS1020WR_PR19CA001</t>
  </si>
  <si>
    <t>SVHC_WS1022WR_PR19CA001</t>
  </si>
  <si>
    <t>SVHC_W3026TEWR_PR19CA001</t>
  </si>
  <si>
    <t>SVHC_WS1010RWD_PR19CA001</t>
  </si>
  <si>
    <t>SVHC_WS1018RWD_PR19CA001</t>
  </si>
  <si>
    <t>SVHC_WS1020RWD_PR19CA001</t>
  </si>
  <si>
    <t>SVHC_WS1022RWD_PR19CA001</t>
  </si>
  <si>
    <t>SVHC_W3026TERWD_PR19CA001</t>
  </si>
  <si>
    <t>SVHC_WS1010WT_PR19CA001</t>
  </si>
  <si>
    <t>SVHC_WS1018WT_PR19CA001</t>
  </si>
  <si>
    <t>SVHC_WS1020WT_PR19CA001</t>
  </si>
  <si>
    <t>SVHC_WS1022WT_PR19CA001</t>
  </si>
  <si>
    <t>SVHC_W3026TEWT_PR19CA001</t>
  </si>
  <si>
    <t>SVHC_WS1010TWD_PR19CA001</t>
  </si>
  <si>
    <t>SVHC_WS1018TWD_PR19CA001</t>
  </si>
  <si>
    <t>SVHC_WS1020TWD_PR19CA001</t>
  </si>
  <si>
    <t>SVHC_WS1022TWD_PR19CA001</t>
  </si>
  <si>
    <t>SVHC_W3026TETWD_PR19CA001</t>
  </si>
  <si>
    <t>SVHC_BM351NETPLUS_PR19CA001</t>
  </si>
  <si>
    <t>SVHC_BC30445NETPLUS_PR19CA001</t>
  </si>
  <si>
    <t>SVHC_CW00036NETPLUS_PR19CA001</t>
  </si>
  <si>
    <t>SVHC_REALBOTWR_PR19CA001</t>
  </si>
  <si>
    <t>SVHC_REALBOTEXTWD_PR19CA001</t>
  </si>
  <si>
    <t>SVHC_REALBOTEXNPW_PR19CA001</t>
  </si>
  <si>
    <t>SVHC_REALBOTEXWW_PR19CA001</t>
  </si>
  <si>
    <t>SVHC_REALBOTEXWRP_PR19CA001</t>
  </si>
  <si>
    <t>SVHC_PROP_PR19CA001</t>
  </si>
  <si>
    <t>SVHC_MLENGTH_PR19CA001</t>
  </si>
  <si>
    <t>SVHC_PCTWTL36_PR19CA001</t>
  </si>
  <si>
    <t>SVHC_WAWTCL_PR19CA001</t>
  </si>
  <si>
    <t>SVHC_BOOSTERPL_PR19CA001</t>
  </si>
  <si>
    <t>Version 1.0. 16th December 2019</t>
  </si>
  <si>
    <r>
      <rPr>
        <u/>
        <sz val="11"/>
        <color theme="1"/>
        <rFont val="Arial"/>
        <family val="2"/>
      </rPr>
      <t>Objective</t>
    </r>
    <r>
      <rPr>
        <sz val="11"/>
        <color theme="1"/>
        <rFont val="Arial"/>
        <family val="2"/>
      </rPr>
      <t xml:space="preserve">
To calculate an efficient cost allowance for water resources and water network plus controls. 
</t>
    </r>
    <r>
      <rPr>
        <u/>
        <sz val="11"/>
        <color theme="1"/>
        <rFont val="Arial"/>
        <family val="2"/>
      </rPr>
      <t>Guide to the model</t>
    </r>
    <r>
      <rPr>
        <sz val="11"/>
        <color theme="1"/>
        <rFont val="Arial"/>
        <family val="2"/>
      </rPr>
      <t xml:space="preserve">
Inputs: the model takes as inputs the coefficients from our econometric models, the forecasts of the cost drivers, the catch-up and frontier shift challenge. We assign the same weights of our econometric models as in feeder model 2.
Base modelled costs are estimated in the “Modelled costs” worksheet by multiplying the coefficients by the forecast of costs drivers.   
       The coefficients are produced by the econometric models as reported in feeder model FM_WW2 (see worksheet named “Coeffs”) ; and  
       Forecast of costs drivers are imported from feeder model FM_WW3 (see worksheet named “Forecast drivers”).
Base modelled costs at different levels of aggregation are triangulated to estimate wholesale base modelled costs.
We apply the historical catch-up efficiency (produced by feeder model FM_WW2) and frontier shift (as specified in our summary document) to obtain efficient costs
Totex allowances are calculated in the “Final allowances” worksheet, 
       The wholesale water modelled base allowance is apportioned into each price control (water resources and network plus water) using companies’ business plan data. 
       Information on other costs produced by other models is incorporated, namely unmodelled base costs, enhancement costs and cost adjustment claims 
Information on weights given to each econometric model across different levels of aggregation, catch-up (including hypothetical forward looking) and frontier shift efficiency challenges can be found in the “Controls” worksheet.  
The models also calculates totex split by capex and opex in the tab named "Financial model inputs".
All results are summarised in the "Interface tab".</t>
    </r>
  </si>
  <si>
    <t>The catch up efficiency challenge produced by feeder model 2 is based on wholesale triangulated totex. We apply the same challenge for both price controls.</t>
  </si>
  <si>
    <t>Top-down / bottom-up triangulation weights</t>
  </si>
  <si>
    <t>Base costs exclude enhancement opex</t>
  </si>
  <si>
    <t>Modelled base costs net of enhancement opex</t>
  </si>
  <si>
    <t>Unmodelled base costs (Traffic Management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</si>
</sst>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_-* #,##0_-;\-* #,##0_-;_-* &quot;-&quot;??_-;_-@_-"/>
    <numFmt numFmtId="166" formatCode="#,##0.0000"/>
    <numFmt numFmtId="167" formatCode="#,##0_);\(#,##0\);&quot;-  &quot;;&quot; &quot;@&quot; &quot;"/>
    <numFmt numFmtId="168" formatCode="0.0"/>
    <numFmt numFmtId="169" formatCode="#,##0.00000"/>
    <numFmt numFmtId="170" formatCode="#,##0.00_ ;\-#,##0.00\ "/>
    <numFmt numFmtId="171" formatCode="0.0%"/>
    <numFmt numFmtId="172" formatCode="_(* #,##0.0000_);_(* \(#,##0.0000\);_(* &quot;-&quot;??_);_(@_)"/>
    <numFmt numFmtId="173" formatCode="_(* #,##0.0_);_(* \(#,##0.0\);_(* &quot;-&quot;??_);_(@_)"/>
    <numFmt numFmtId="174" formatCode="_(* #,##0_);_(* \(#,##0\);_(* &quot;-&quot;??_);_(@_)"/>
    <numFmt numFmtId="175" formatCode="_(* #,##0.000_);_(* \(#,##0.000\);_(* &quot;-&quot;??_);_(@_)"/>
    <numFmt numFmtId="176" formatCode="0.000"/>
  </numFmts>
  <fonts count="27" x14ac:knownFonts="1">
    <font>
      <sz val="11"/>
      <color theme="1"/>
      <name val="Arial"/>
      <family val="2"/>
    </font>
    <font>
      <sz val="11"/>
      <color theme="1"/>
      <name val="Arial"/>
      <family val="2"/>
    </font>
    <font>
      <sz val="11"/>
      <color rgb="FFFF0000"/>
      <name val="Arial"/>
      <family val="2"/>
    </font>
    <font>
      <sz val="11"/>
      <color theme="1"/>
      <name val="Arial"/>
      <family val="2"/>
      <scheme val="minor"/>
    </font>
    <font>
      <sz val="10"/>
      <name val="Arial"/>
      <family val="2"/>
    </font>
    <font>
      <sz val="11"/>
      <color theme="1"/>
      <name val="Calibri"/>
      <family val="2"/>
    </font>
    <font>
      <b/>
      <sz val="11"/>
      <color theme="1"/>
      <name val="Calibri"/>
      <family val="2"/>
    </font>
    <font>
      <sz val="10"/>
      <name val="Calibri"/>
      <family val="2"/>
    </font>
    <font>
      <sz val="10"/>
      <color theme="1"/>
      <name val="Calibri"/>
      <family val="2"/>
    </font>
    <font>
      <b/>
      <sz val="10"/>
      <color theme="1"/>
      <name val="Calibri"/>
      <family val="2"/>
    </font>
    <font>
      <b/>
      <sz val="11"/>
      <color theme="3"/>
      <name val="Arial"/>
      <family val="2"/>
    </font>
    <font>
      <b/>
      <sz val="11"/>
      <color theme="1"/>
      <name val="Arial"/>
      <family val="2"/>
    </font>
    <font>
      <b/>
      <sz val="10"/>
      <name val="Calibri"/>
      <family val="2"/>
    </font>
    <font>
      <b/>
      <sz val="10"/>
      <color rgb="FFFF0000"/>
      <name val="Calibri"/>
      <family val="2"/>
    </font>
    <font>
      <b/>
      <sz val="10"/>
      <color theme="3"/>
      <name val="Calibri"/>
      <family val="2"/>
    </font>
    <font>
      <sz val="11"/>
      <color indexed="8"/>
      <name val="Arial"/>
      <family val="2"/>
      <scheme val="minor"/>
    </font>
    <font>
      <b/>
      <sz val="12"/>
      <color theme="3"/>
      <name val="Calibri"/>
      <family val="2"/>
    </font>
    <font>
      <sz val="11"/>
      <name val="Arial"/>
      <family val="2"/>
    </font>
    <font>
      <sz val="10"/>
      <color theme="1"/>
      <name val="Arial"/>
      <family val="2"/>
    </font>
    <font>
      <sz val="10"/>
      <color theme="3"/>
      <name val="Calibri"/>
      <family val="2"/>
    </font>
    <font>
      <b/>
      <sz val="14"/>
      <color theme="3"/>
      <name val="Arial"/>
      <family val="2"/>
    </font>
    <font>
      <b/>
      <sz val="9"/>
      <color theme="3"/>
      <name val="Arial"/>
      <family val="2"/>
    </font>
    <font>
      <u/>
      <sz val="11"/>
      <color theme="1"/>
      <name val="Arial"/>
      <family val="2"/>
    </font>
    <font>
      <sz val="9.5"/>
      <color theme="1"/>
      <name val="Calibri"/>
      <family val="2"/>
    </font>
    <font>
      <sz val="10"/>
      <color theme="1"/>
      <name val="Arial"/>
      <family val="2"/>
      <scheme val="minor"/>
    </font>
    <font>
      <sz val="11"/>
      <name val="Calibri"/>
      <family val="2"/>
    </font>
    <font>
      <sz val="11"/>
      <name val="Arial"/>
      <family val="2"/>
      <scheme val="minor"/>
    </font>
  </fonts>
  <fills count="1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5" tint="0.79998168889431442"/>
        <bgColor indexed="64"/>
      </patternFill>
    </fill>
    <fill>
      <patternFill patternType="solid">
        <fgColor theme="6"/>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7" fontId="1" fillId="0" borderId="0" applyFont="0" applyFill="0" applyBorder="0" applyProtection="0">
      <alignment vertical="top"/>
    </xf>
    <xf numFmtId="0" fontId="4" fillId="0" borderId="0"/>
    <xf numFmtId="0" fontId="1" fillId="0" borderId="0"/>
    <xf numFmtId="0" fontId="1" fillId="0" borderId="0"/>
    <xf numFmtId="0" fontId="1" fillId="0" borderId="0"/>
    <xf numFmtId="164" fontId="1" fillId="0" borderId="0" applyFont="0" applyFill="0" applyBorder="0" applyAlignment="0" applyProtection="0"/>
    <xf numFmtId="0" fontId="15" fillId="0" borderId="0"/>
    <xf numFmtId="164" fontId="1" fillId="0" borderId="0" applyFont="0" applyFill="0" applyBorder="0" applyAlignment="0" applyProtection="0"/>
    <xf numFmtId="0" fontId="1" fillId="0" borderId="0"/>
    <xf numFmtId="167" fontId="4" fillId="0" borderId="0" applyFont="0" applyFill="0" applyBorder="0" applyProtection="0">
      <alignment vertical="top"/>
    </xf>
  </cellStyleXfs>
  <cellXfs count="260">
    <xf numFmtId="0" fontId="0" fillId="0" borderId="0" xfId="0"/>
    <xf numFmtId="0" fontId="0" fillId="0" borderId="0" xfId="0" applyFill="1"/>
    <xf numFmtId="0" fontId="2" fillId="0" borderId="0" xfId="0" applyFont="1"/>
    <xf numFmtId="0" fontId="5" fillId="0" borderId="0" xfId="0" applyFont="1" applyFill="1"/>
    <xf numFmtId="0" fontId="8" fillId="0" borderId="0" xfId="0" applyFont="1"/>
    <xf numFmtId="0" fontId="11" fillId="0" borderId="0" xfId="0" applyFont="1"/>
    <xf numFmtId="0" fontId="0" fillId="0" borderId="3" xfId="0" applyBorder="1"/>
    <xf numFmtId="0" fontId="0" fillId="2" borderId="1" xfId="0" applyFill="1" applyBorder="1"/>
    <xf numFmtId="166" fontId="0" fillId="3" borderId="1" xfId="0" applyNumberFormat="1" applyFill="1" applyBorder="1"/>
    <xf numFmtId="0" fontId="0" fillId="0" borderId="0" xfId="0" applyFill="1" applyBorder="1"/>
    <xf numFmtId="166" fontId="0" fillId="0" borderId="0" xfId="0" applyNumberFormat="1" applyFill="1" applyBorder="1"/>
    <xf numFmtId="0" fontId="6" fillId="0" borderId="0" xfId="0" applyFont="1" applyFill="1"/>
    <xf numFmtId="170" fontId="8" fillId="0" borderId="1" xfId="1" applyNumberFormat="1" applyFont="1" applyBorder="1" applyAlignment="1">
      <alignment horizontal="center" wrapText="1"/>
    </xf>
    <xf numFmtId="0" fontId="8" fillId="8" borderId="1" xfId="0" applyFont="1" applyFill="1" applyBorder="1" applyAlignment="1">
      <alignment vertical="center"/>
    </xf>
    <xf numFmtId="0" fontId="8" fillId="0" borderId="1" xfId="0" applyFont="1" applyFill="1" applyBorder="1" applyAlignment="1">
      <alignment vertical="center"/>
    </xf>
    <xf numFmtId="0" fontId="12" fillId="7" borderId="6"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xf numFmtId="0" fontId="8" fillId="0" borderId="1" xfId="0" applyFont="1" applyFill="1" applyBorder="1"/>
    <xf numFmtId="0" fontId="8" fillId="0" borderId="0" xfId="0" applyFont="1" applyFill="1" applyBorder="1"/>
    <xf numFmtId="0" fontId="8" fillId="0" borderId="2" xfId="0" applyFont="1" applyFill="1" applyBorder="1"/>
    <xf numFmtId="0" fontId="8" fillId="0" borderId="4" xfId="0" applyFont="1" applyFill="1" applyBorder="1"/>
    <xf numFmtId="0" fontId="8" fillId="0" borderId="5" xfId="0" applyFont="1" applyFill="1" applyBorder="1"/>
    <xf numFmtId="0" fontId="9" fillId="0" borderId="0" xfId="0" applyFont="1"/>
    <xf numFmtId="9" fontId="8" fillId="0" borderId="0" xfId="0" applyNumberFormat="1" applyFont="1" applyFill="1" applyBorder="1" applyAlignment="1">
      <alignment horizontal="center" vertical="center" wrapText="1"/>
    </xf>
    <xf numFmtId="0" fontId="14" fillId="0" borderId="0" xfId="0" applyFont="1" applyFill="1" applyBorder="1" applyAlignment="1">
      <alignment horizontal="left"/>
    </xf>
    <xf numFmtId="9" fontId="8" fillId="2" borderId="1" xfId="2" applyFont="1" applyFill="1" applyBorder="1" applyAlignment="1">
      <alignment horizontal="center" vertical="center" wrapText="1"/>
    </xf>
    <xf numFmtId="0" fontId="8" fillId="0" borderId="0" xfId="0" applyFont="1" applyFill="1" applyBorder="1" applyAlignment="1">
      <alignment vertical="center"/>
    </xf>
    <xf numFmtId="9" fontId="8" fillId="0" borderId="0" xfId="2"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left" vertical="center"/>
    </xf>
    <xf numFmtId="4" fontId="8" fillId="9" borderId="1" xfId="0" applyNumberFormat="1" applyFont="1" applyFill="1" applyBorder="1" applyAlignment="1">
      <alignment horizontal="left" vertical="center"/>
    </xf>
    <xf numFmtId="0" fontId="8" fillId="0" borderId="0" xfId="0" applyFont="1" applyBorder="1"/>
    <xf numFmtId="4" fontId="8" fillId="8" borderId="1" xfId="0" applyNumberFormat="1" applyFont="1" applyFill="1" applyBorder="1" applyAlignment="1">
      <alignment horizontal="left" vertical="center"/>
    </xf>
    <xf numFmtId="1" fontId="13" fillId="0" borderId="0" xfId="0" applyNumberFormat="1" applyFont="1" applyFill="1" applyBorder="1" applyAlignment="1">
      <alignment horizontal="center" vertical="center" wrapText="1"/>
    </xf>
    <xf numFmtId="0" fontId="10" fillId="5" borderId="1" xfId="0" applyFont="1" applyFill="1" applyBorder="1" applyAlignment="1">
      <alignment horizontal="centerContinuous" vertical="center"/>
    </xf>
    <xf numFmtId="0" fontId="10" fillId="5" borderId="1" xfId="0" applyFont="1" applyFill="1" applyBorder="1" applyAlignment="1">
      <alignment horizontal="centerContinuous" vertical="center" wrapText="1"/>
    </xf>
    <xf numFmtId="0" fontId="10" fillId="5" borderId="1" xfId="0" applyFont="1" applyFill="1" applyBorder="1" applyAlignment="1">
      <alignment horizontal="center" vertical="center" wrapText="1"/>
    </xf>
    <xf numFmtId="0" fontId="0" fillId="5" borderId="1" xfId="0" applyFill="1" applyBorder="1" applyAlignment="1">
      <alignment horizontal="center" vertical="center"/>
    </xf>
    <xf numFmtId="174" fontId="8" fillId="3" borderId="1" xfId="1" applyNumberFormat="1" applyFont="1" applyFill="1" applyBorder="1" applyAlignment="1">
      <alignment horizontal="right" vertical="center"/>
    </xf>
    <xf numFmtId="174" fontId="8" fillId="3" borderId="1" xfId="1" applyNumberFormat="1" applyFont="1" applyFill="1" applyBorder="1"/>
    <xf numFmtId="174" fontId="8" fillId="9" borderId="1" xfId="1" applyNumberFormat="1" applyFont="1" applyFill="1" applyBorder="1" applyAlignment="1">
      <alignment horizontal="right" vertical="center"/>
    </xf>
    <xf numFmtId="174" fontId="8" fillId="9" borderId="1" xfId="1" applyNumberFormat="1" applyFont="1" applyFill="1" applyBorder="1"/>
    <xf numFmtId="174" fontId="8" fillId="8" borderId="1" xfId="1" applyNumberFormat="1" applyFont="1" applyFill="1" applyBorder="1" applyAlignment="1">
      <alignment horizontal="right" vertical="center"/>
    </xf>
    <xf numFmtId="174" fontId="8" fillId="8" borderId="1" xfId="1" applyNumberFormat="1" applyFont="1" applyFill="1" applyBorder="1"/>
    <xf numFmtId="0" fontId="8" fillId="2" borderId="1" xfId="0" applyFont="1" applyFill="1" applyBorder="1" applyAlignment="1">
      <alignment horizontal="left" vertical="center"/>
    </xf>
    <xf numFmtId="1" fontId="8" fillId="2" borderId="1" xfId="0" applyNumberFormat="1" applyFont="1" applyFill="1" applyBorder="1" applyAlignment="1">
      <alignment horizontal="right" vertical="center"/>
    </xf>
    <xf numFmtId="1" fontId="8" fillId="9" borderId="1" xfId="0" applyNumberFormat="1" applyFont="1" applyFill="1" applyBorder="1" applyAlignment="1">
      <alignment horizontal="right" vertical="center"/>
    </xf>
    <xf numFmtId="1" fontId="8" fillId="8" borderId="1" xfId="0" applyNumberFormat="1" applyFont="1" applyFill="1" applyBorder="1" applyAlignment="1">
      <alignment horizontal="right" vertical="center"/>
    </xf>
    <xf numFmtId="0" fontId="14" fillId="0" borderId="1" xfId="0" applyFont="1" applyFill="1" applyBorder="1" applyAlignment="1">
      <alignment horizontal="centerContinuous" vertical="center"/>
    </xf>
    <xf numFmtId="0" fontId="8" fillId="0" borderId="1" xfId="0" applyFont="1" applyBorder="1" applyAlignment="1">
      <alignment horizontal="centerContinuous"/>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16" fillId="0" borderId="0" xfId="0" applyFont="1" applyFill="1" applyBorder="1"/>
    <xf numFmtId="174" fontId="8" fillId="0" borderId="6" xfId="1" applyNumberFormat="1" applyFont="1" applyFill="1" applyBorder="1" applyAlignment="1">
      <alignment vertical="center"/>
    </xf>
    <xf numFmtId="0" fontId="12" fillId="7"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74" fontId="9" fillId="3" borderId="1" xfId="1" applyNumberFormat="1" applyFont="1" applyFill="1" applyBorder="1"/>
    <xf numFmtId="174" fontId="9" fillId="9" borderId="1" xfId="1" applyNumberFormat="1" applyFont="1" applyFill="1" applyBorder="1"/>
    <xf numFmtId="168" fontId="9" fillId="0" borderId="1" xfId="0" applyNumberFormat="1" applyFont="1" applyBorder="1"/>
    <xf numFmtId="174" fontId="9" fillId="0" borderId="1" xfId="1" applyNumberFormat="1" applyFont="1" applyBorder="1"/>
    <xf numFmtId="0" fontId="9" fillId="0" borderId="4" xfId="0" applyFont="1" applyBorder="1"/>
    <xf numFmtId="0" fontId="9" fillId="0" borderId="2" xfId="0" applyFont="1" applyFill="1" applyBorder="1"/>
    <xf numFmtId="0" fontId="8" fillId="0" borderId="6" xfId="0" applyFont="1" applyFill="1" applyBorder="1" applyAlignment="1">
      <alignment horizontal="center" vertical="center"/>
    </xf>
    <xf numFmtId="175" fontId="9" fillId="0" borderId="5" xfId="1" applyNumberFormat="1" applyFont="1" applyBorder="1" applyAlignment="1">
      <alignment wrapText="1"/>
    </xf>
    <xf numFmtId="0" fontId="17" fillId="0" borderId="0" xfId="12" applyFont="1" applyFill="1" applyBorder="1" applyAlignment="1">
      <alignment vertical="top"/>
    </xf>
    <xf numFmtId="0" fontId="17" fillId="0" borderId="0" xfId="12" applyFont="1" applyFill="1" applyBorder="1" applyAlignment="1">
      <alignment vertical="top" wrapText="1"/>
    </xf>
    <xf numFmtId="0" fontId="17" fillId="0" borderId="0" xfId="5" applyFont="1" applyFill="1" applyBorder="1" applyAlignment="1">
      <alignment horizontal="left" vertical="top"/>
    </xf>
    <xf numFmtId="0" fontId="17" fillId="0" borderId="0" xfId="5" applyFont="1" applyFill="1" applyBorder="1" applyAlignment="1">
      <alignment vertical="top"/>
    </xf>
    <xf numFmtId="0" fontId="9" fillId="0" borderId="0" xfId="0" applyFont="1" applyFill="1"/>
    <xf numFmtId="171" fontId="8" fillId="0" borderId="0" xfId="0" applyNumberFormat="1" applyFont="1" applyFill="1" applyBorder="1"/>
    <xf numFmtId="164" fontId="8" fillId="0" borderId="0" xfId="9" applyFont="1" applyFill="1" applyBorder="1"/>
    <xf numFmtId="0" fontId="8" fillId="0" borderId="1" xfId="0" applyFont="1" applyFill="1" applyBorder="1" applyAlignment="1">
      <alignment horizontal="center" wrapText="1"/>
    </xf>
    <xf numFmtId="9" fontId="8" fillId="0" borderId="0" xfId="0" applyNumberFormat="1" applyFont="1" applyFill="1" applyBorder="1"/>
    <xf numFmtId="171" fontId="8" fillId="0" borderId="0" xfId="2" applyNumberFormat="1" applyFont="1" applyFill="1" applyBorder="1"/>
    <xf numFmtId="0" fontId="8" fillId="0" borderId="0" xfId="0" applyFont="1" applyFill="1" applyBorder="1" applyAlignment="1">
      <alignment horizontal="center" wrapText="1"/>
    </xf>
    <xf numFmtId="172" fontId="8" fillId="2" borderId="1" xfId="9" applyNumberFormat="1" applyFont="1" applyFill="1" applyBorder="1"/>
    <xf numFmtId="9" fontId="8" fillId="2" borderId="1" xfId="2" applyFont="1" applyFill="1" applyBorder="1" applyAlignment="1">
      <alignment horizontal="center" vertical="center"/>
    </xf>
    <xf numFmtId="0" fontId="18" fillId="0" borderId="0" xfId="0" applyFont="1"/>
    <xf numFmtId="0" fontId="14" fillId="0" borderId="1" xfId="0" applyFont="1" applyBorder="1" applyAlignment="1">
      <alignment horizontal="centerContinuous" vertical="center"/>
    </xf>
    <xf numFmtId="0" fontId="8" fillId="2" borderId="1" xfId="0" applyFont="1" applyFill="1" applyBorder="1" applyAlignment="1">
      <alignment vertical="center" wrapText="1"/>
    </xf>
    <xf numFmtId="0" fontId="8" fillId="3" borderId="1" xfId="0" applyFont="1" applyFill="1" applyBorder="1" applyAlignment="1">
      <alignment horizontal="center" vertical="center"/>
    </xf>
    <xf numFmtId="0" fontId="8" fillId="2" borderId="5" xfId="0" applyFont="1" applyFill="1" applyBorder="1" applyAlignment="1">
      <alignment vertical="center" wrapText="1"/>
    </xf>
    <xf numFmtId="0" fontId="7" fillId="3" borderId="1" xfId="0" applyFont="1" applyFill="1" applyBorder="1" applyAlignment="1">
      <alignment horizontal="center" vertical="center" wrapText="1"/>
    </xf>
    <xf numFmtId="173" fontId="8" fillId="3" borderId="5" xfId="1" applyNumberFormat="1" applyFont="1" applyFill="1" applyBorder="1" applyAlignment="1">
      <alignment vertical="center"/>
    </xf>
    <xf numFmtId="173" fontId="8" fillId="3" borderId="1" xfId="1" applyNumberFormat="1" applyFont="1" applyFill="1" applyBorder="1" applyAlignment="1">
      <alignment vertical="center"/>
    </xf>
    <xf numFmtId="3" fontId="8"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169" fontId="8" fillId="2" borderId="1" xfId="0" applyNumberFormat="1" applyFont="1" applyFill="1" applyBorder="1" applyAlignment="1">
      <alignment vertical="center" wrapText="1"/>
    </xf>
    <xf numFmtId="174" fontId="8" fillId="2" borderId="1" xfId="1" applyNumberFormat="1" applyFont="1" applyFill="1" applyBorder="1" applyAlignment="1">
      <alignment vertical="center" wrapText="1"/>
    </xf>
    <xf numFmtId="168" fontId="8" fillId="3" borderId="1" xfId="1" applyNumberFormat="1" applyFont="1" applyFill="1" applyBorder="1"/>
    <xf numFmtId="168" fontId="8" fillId="9" borderId="1" xfId="1" applyNumberFormat="1" applyFont="1" applyFill="1" applyBorder="1"/>
    <xf numFmtId="168" fontId="8" fillId="8" borderId="1" xfId="1" applyNumberFormat="1" applyFont="1" applyFill="1" applyBorder="1"/>
    <xf numFmtId="164" fontId="8" fillId="0" borderId="0" xfId="0" applyNumberFormat="1" applyFont="1"/>
    <xf numFmtId="165" fontId="8" fillId="8" borderId="1" xfId="1" applyNumberFormat="1" applyFont="1" applyFill="1" applyBorder="1" applyAlignment="1">
      <alignment horizontal="right" vertical="center"/>
    </xf>
    <xf numFmtId="165" fontId="8" fillId="8" borderId="1" xfId="1" applyNumberFormat="1" applyFont="1" applyFill="1" applyBorder="1"/>
    <xf numFmtId="165" fontId="9" fillId="8" borderId="1" xfId="1" applyNumberFormat="1" applyFont="1" applyFill="1" applyBorder="1"/>
    <xf numFmtId="165" fontId="9" fillId="8" borderId="1" xfId="1" applyNumberFormat="1" applyFont="1" applyFill="1" applyBorder="1" applyAlignment="1">
      <alignment horizontal="right" vertical="center"/>
    </xf>
    <xf numFmtId="165" fontId="8" fillId="9" borderId="1" xfId="1" applyNumberFormat="1" applyFont="1" applyFill="1" applyBorder="1" applyAlignment="1">
      <alignment horizontal="right" vertical="center"/>
    </xf>
    <xf numFmtId="165" fontId="8" fillId="9" borderId="1" xfId="1" applyNumberFormat="1" applyFont="1" applyFill="1" applyBorder="1"/>
    <xf numFmtId="173" fontId="8" fillId="9" borderId="1" xfId="1" applyNumberFormat="1" applyFont="1" applyFill="1" applyBorder="1" applyAlignment="1">
      <alignment vertical="center"/>
    </xf>
    <xf numFmtId="0" fontId="8" fillId="9" borderId="1" xfId="0" applyFont="1" applyFill="1" applyBorder="1" applyAlignment="1">
      <alignment vertical="center"/>
    </xf>
    <xf numFmtId="0" fontId="8" fillId="9" borderId="1" xfId="0" applyFont="1" applyFill="1" applyBorder="1" applyAlignment="1">
      <alignment horizontal="right" vertical="center"/>
    </xf>
    <xf numFmtId="173" fontId="8" fillId="9" borderId="5" xfId="1" applyNumberFormat="1" applyFont="1" applyFill="1" applyBorder="1" applyAlignment="1">
      <alignment vertical="center"/>
    </xf>
    <xf numFmtId="3" fontId="8" fillId="9" borderId="1" xfId="0" applyNumberFormat="1" applyFont="1" applyFill="1" applyBorder="1" applyAlignment="1">
      <alignment vertical="center" wrapText="1"/>
    </xf>
    <xf numFmtId="4" fontId="8" fillId="9" borderId="1" xfId="0" applyNumberFormat="1" applyFont="1" applyFill="1" applyBorder="1" applyAlignment="1">
      <alignment vertical="center" wrapText="1"/>
    </xf>
    <xf numFmtId="169" fontId="8" fillId="9" borderId="1" xfId="0" applyNumberFormat="1" applyFont="1" applyFill="1" applyBorder="1" applyAlignment="1">
      <alignment vertical="center" wrapText="1"/>
    </xf>
    <xf numFmtId="174" fontId="8" fillId="9" borderId="1" xfId="1" applyNumberFormat="1" applyFont="1" applyFill="1" applyBorder="1" applyAlignment="1">
      <alignment vertical="center" wrapText="1"/>
    </xf>
    <xf numFmtId="0" fontId="8" fillId="8" borderId="1" xfId="0" applyFont="1" applyFill="1" applyBorder="1" applyAlignment="1">
      <alignment horizontal="right" vertical="center"/>
    </xf>
    <xf numFmtId="173" fontId="8" fillId="8" borderId="5" xfId="1" applyNumberFormat="1" applyFont="1" applyFill="1" applyBorder="1" applyAlignment="1">
      <alignment vertical="center"/>
    </xf>
    <xf numFmtId="173" fontId="8" fillId="8" borderId="1" xfId="1" applyNumberFormat="1" applyFont="1" applyFill="1" applyBorder="1" applyAlignment="1">
      <alignment vertical="center"/>
    </xf>
    <xf numFmtId="3" fontId="8" fillId="8" borderId="1" xfId="0" applyNumberFormat="1" applyFont="1" applyFill="1" applyBorder="1" applyAlignment="1">
      <alignment vertical="center" wrapText="1"/>
    </xf>
    <xf numFmtId="4" fontId="8" fillId="8" borderId="1" xfId="0" applyNumberFormat="1" applyFont="1" applyFill="1" applyBorder="1" applyAlignment="1">
      <alignment vertical="center" wrapText="1"/>
    </xf>
    <xf numFmtId="169" fontId="8" fillId="8" borderId="1" xfId="0" applyNumberFormat="1" applyFont="1" applyFill="1" applyBorder="1" applyAlignment="1">
      <alignment vertical="center" wrapText="1"/>
    </xf>
    <xf numFmtId="174" fontId="8" fillId="8" borderId="1" xfId="1" applyNumberFormat="1" applyFont="1" applyFill="1" applyBorder="1" applyAlignment="1">
      <alignment vertical="center" wrapText="1"/>
    </xf>
    <xf numFmtId="0" fontId="9" fillId="0" borderId="0" xfId="0" applyFont="1" applyBorder="1"/>
    <xf numFmtId="4" fontId="0" fillId="0" borderId="0" xfId="0" applyNumberFormat="1"/>
    <xf numFmtId="0" fontId="20" fillId="4" borderId="0" xfId="3" applyFont="1" applyFill="1"/>
    <xf numFmtId="0" fontId="0" fillId="4" borderId="0" xfId="0" applyFill="1"/>
    <xf numFmtId="0" fontId="21" fillId="4" borderId="0" xfId="3" applyFont="1" applyFill="1"/>
    <xf numFmtId="0" fontId="0" fillId="4" borderId="0" xfId="0" applyFill="1" applyBorder="1"/>
    <xf numFmtId="0" fontId="21" fillId="0" borderId="0" xfId="3" applyFont="1" applyBorder="1"/>
    <xf numFmtId="0" fontId="0" fillId="4" borderId="0" xfId="0"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xf>
    <xf numFmtId="0" fontId="9" fillId="0" borderId="1" xfId="0" applyFont="1" applyBorder="1" applyAlignment="1">
      <alignment vertical="center"/>
    </xf>
    <xf numFmtId="0" fontId="16" fillId="0" borderId="0" xfId="0" applyFont="1" applyAlignment="1">
      <alignment vertical="center"/>
    </xf>
    <xf numFmtId="164" fontId="9" fillId="0" borderId="1" xfId="1" applyFont="1" applyBorder="1" applyAlignment="1"/>
    <xf numFmtId="0" fontId="16" fillId="0" borderId="0" xfId="0" applyFont="1" applyAlignment="1">
      <alignment vertical="center" wrapText="1"/>
    </xf>
    <xf numFmtId="0" fontId="9" fillId="0" borderId="0" xfId="0" applyFont="1" applyBorder="1" applyAlignment="1">
      <alignment vertical="center"/>
    </xf>
    <xf numFmtId="0" fontId="8" fillId="2" borderId="2" xfId="0" applyFont="1" applyFill="1" applyBorder="1" applyAlignment="1">
      <alignment horizontal="center" vertical="center" wrapText="1"/>
    </xf>
    <xf numFmtId="0" fontId="7" fillId="0" borderId="2" xfId="0" applyFont="1" applyBorder="1" applyAlignment="1">
      <alignment vertical="center"/>
    </xf>
    <xf numFmtId="0" fontId="12" fillId="0" borderId="2" xfId="0" applyFont="1" applyBorder="1" applyAlignment="1">
      <alignment vertical="center"/>
    </xf>
    <xf numFmtId="3" fontId="9" fillId="0" borderId="1" xfId="0" applyNumberFormat="1" applyFont="1" applyFill="1" applyBorder="1" applyAlignment="1">
      <alignment vertical="center"/>
    </xf>
    <xf numFmtId="3" fontId="8" fillId="0" borderId="0" xfId="0" applyNumberFormat="1" applyFont="1" applyAlignment="1">
      <alignment vertical="center"/>
    </xf>
    <xf numFmtId="3" fontId="8" fillId="2" borderId="1" xfId="0" applyNumberFormat="1" applyFont="1" applyFill="1" applyBorder="1" applyAlignment="1">
      <alignment horizontal="center" vertical="center" wrapText="1"/>
    </xf>
    <xf numFmtId="3" fontId="9" fillId="0" borderId="0" xfId="0" applyNumberFormat="1" applyFont="1" applyFill="1" applyBorder="1" applyAlignment="1">
      <alignment horizontal="centerContinuous" vertical="center"/>
    </xf>
    <xf numFmtId="3" fontId="7" fillId="0" borderId="1" xfId="1" applyNumberFormat="1" applyFont="1" applyBorder="1" applyAlignment="1">
      <alignment vertical="center"/>
    </xf>
    <xf numFmtId="3" fontId="8" fillId="0" borderId="0" xfId="0" applyNumberFormat="1" applyFont="1" applyFill="1" applyBorder="1" applyAlignment="1">
      <alignment horizontal="center" vertical="center" wrapText="1"/>
    </xf>
    <xf numFmtId="3" fontId="8" fillId="0" borderId="0" xfId="1" applyNumberFormat="1" applyFont="1" applyFill="1" applyBorder="1" applyAlignment="1">
      <alignment vertical="center"/>
    </xf>
    <xf numFmtId="3" fontId="8" fillId="0" borderId="0" xfId="0" applyNumberFormat="1" applyFont="1" applyFill="1" applyBorder="1" applyAlignment="1">
      <alignment vertical="center"/>
    </xf>
    <xf numFmtId="3" fontId="8" fillId="2" borderId="2"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3" fontId="8" fillId="2" borderId="14" xfId="0" applyNumberFormat="1" applyFont="1" applyFill="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0" xfId="2" applyNumberFormat="1" applyFont="1" applyFill="1" applyBorder="1" applyAlignment="1">
      <alignment vertical="center"/>
    </xf>
    <xf numFmtId="0" fontId="8" fillId="0" borderId="2" xfId="0" applyFont="1" applyBorder="1" applyAlignment="1">
      <alignment vertical="center"/>
    </xf>
    <xf numFmtId="0" fontId="9" fillId="0" borderId="2" xfId="0" applyFont="1" applyBorder="1" applyAlignment="1">
      <alignment vertical="center"/>
    </xf>
    <xf numFmtId="3" fontId="9" fillId="10" borderId="5" xfId="0" applyNumberFormat="1" applyFont="1" applyFill="1" applyBorder="1" applyAlignment="1">
      <alignment horizontal="centerContinuous" vertical="center" wrapText="1"/>
    </xf>
    <xf numFmtId="3" fontId="8" fillId="0" borderId="0" xfId="0" applyNumberFormat="1" applyFont="1" applyBorder="1" applyAlignment="1">
      <alignment horizontal="centerContinuous" vertical="center" wrapText="1"/>
    </xf>
    <xf numFmtId="3" fontId="9" fillId="0" borderId="0" xfId="0" applyNumberFormat="1" applyFont="1" applyBorder="1" applyAlignment="1">
      <alignment horizontal="centerContinuous" vertical="center" wrapText="1"/>
    </xf>
    <xf numFmtId="3" fontId="23" fillId="0" borderId="0" xfId="0" applyNumberFormat="1" applyFont="1" applyBorder="1" applyAlignment="1">
      <alignment horizontal="centerContinuous" vertical="center" wrapText="1"/>
    </xf>
    <xf numFmtId="174" fontId="8" fillId="0" borderId="1" xfId="0" applyNumberFormat="1" applyFont="1" applyBorder="1" applyAlignment="1">
      <alignment vertical="center"/>
    </xf>
    <xf numFmtId="174" fontId="8" fillId="0" borderId="2" xfId="0" applyNumberFormat="1" applyFont="1" applyBorder="1" applyAlignment="1">
      <alignment vertical="center"/>
    </xf>
    <xf numFmtId="3" fontId="9" fillId="0" borderId="2" xfId="0" applyNumberFormat="1" applyFont="1" applyFill="1" applyBorder="1" applyAlignment="1">
      <alignment vertical="center"/>
    </xf>
    <xf numFmtId="174" fontId="8" fillId="0" borderId="14" xfId="0" applyNumberFormat="1" applyFont="1" applyBorder="1" applyAlignment="1">
      <alignment vertical="center"/>
    </xf>
    <xf numFmtId="3" fontId="9" fillId="0" borderId="7"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6" xfId="0" applyNumberFormat="1" applyFont="1" applyFill="1" applyBorder="1" applyAlignment="1">
      <alignment vertical="center"/>
    </xf>
    <xf numFmtId="3" fontId="7" fillId="0" borderId="0" xfId="1" applyNumberFormat="1" applyFont="1" applyFill="1" applyBorder="1" applyAlignment="1">
      <alignment vertical="center"/>
    </xf>
    <xf numFmtId="3" fontId="12" fillId="0" borderId="0" xfId="0" applyNumberFormat="1" applyFont="1" applyFill="1" applyBorder="1" applyAlignment="1">
      <alignment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wrapText="1"/>
    </xf>
    <xf numFmtId="3"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center" vertical="center" wrapText="1"/>
    </xf>
    <xf numFmtId="3" fontId="16"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6" fillId="0" borderId="0" xfId="0" applyNumberFormat="1" applyFont="1" applyFill="1" applyBorder="1" applyAlignment="1">
      <alignment horizontal="left" vertical="center" wrapText="1"/>
    </xf>
    <xf numFmtId="3" fontId="19" fillId="0" borderId="0" xfId="1" applyNumberFormat="1" applyFont="1" applyFill="1" applyBorder="1" applyAlignment="1">
      <alignment horizontal="left" vertical="center"/>
    </xf>
    <xf numFmtId="0" fontId="16" fillId="0" borderId="1" xfId="0" applyFont="1" applyBorder="1" applyAlignment="1">
      <alignment vertical="center" wrapText="1"/>
    </xf>
    <xf numFmtId="3" fontId="9" fillId="9" borderId="2" xfId="0" applyNumberFormat="1" applyFont="1" applyFill="1" applyBorder="1" applyAlignment="1">
      <alignment horizontal="centerContinuous" vertical="center" wrapText="1"/>
    </xf>
    <xf numFmtId="3" fontId="9" fillId="10" borderId="2" xfId="0" applyNumberFormat="1" applyFont="1" applyFill="1" applyBorder="1" applyAlignment="1">
      <alignment horizontal="centerContinuous" vertical="center" wrapText="1"/>
    </xf>
    <xf numFmtId="3" fontId="9" fillId="10" borderId="4" xfId="0" applyNumberFormat="1" applyFont="1" applyFill="1" applyBorder="1" applyAlignment="1">
      <alignment horizontal="centerContinuous" vertical="center" wrapText="1"/>
    </xf>
    <xf numFmtId="3" fontId="9" fillId="9" borderId="4" xfId="0" applyNumberFormat="1" applyFont="1" applyFill="1" applyBorder="1" applyAlignment="1">
      <alignment horizontal="centerContinuous" vertical="center" wrapText="1"/>
    </xf>
    <xf numFmtId="3" fontId="9" fillId="11" borderId="2" xfId="0" applyNumberFormat="1" applyFont="1" applyFill="1" applyBorder="1" applyAlignment="1">
      <alignment horizontal="centerContinuous" vertical="center" wrapText="1"/>
    </xf>
    <xf numFmtId="3" fontId="9" fillId="14" borderId="2" xfId="0" applyNumberFormat="1" applyFont="1" applyFill="1" applyBorder="1" applyAlignment="1">
      <alignment horizontal="centerContinuous" vertical="center" wrapText="1"/>
    </xf>
    <xf numFmtId="3" fontId="9" fillId="11" borderId="4" xfId="0" applyNumberFormat="1" applyFont="1" applyFill="1" applyBorder="1" applyAlignment="1">
      <alignment horizontal="centerContinuous" vertical="center" wrapText="1"/>
    </xf>
    <xf numFmtId="174" fontId="8" fillId="0" borderId="0" xfId="0" applyNumberFormat="1" applyFont="1" applyFill="1" applyBorder="1" applyAlignment="1">
      <alignment vertical="center"/>
    </xf>
    <xf numFmtId="3" fontId="9" fillId="9" borderId="5" xfId="0" applyNumberFormat="1" applyFont="1" applyFill="1" applyBorder="1" applyAlignment="1">
      <alignment horizontal="centerContinuous" vertical="center" wrapText="1"/>
    </xf>
    <xf numFmtId="3" fontId="9" fillId="11" borderId="5" xfId="0" applyNumberFormat="1" applyFont="1" applyFill="1" applyBorder="1" applyAlignment="1">
      <alignment horizontal="centerContinuous" vertical="center" wrapText="1"/>
    </xf>
    <xf numFmtId="3" fontId="9" fillId="14" borderId="4" xfId="0" applyNumberFormat="1" applyFont="1" applyFill="1" applyBorder="1" applyAlignment="1">
      <alignment horizontal="centerContinuous" vertical="center" wrapText="1"/>
    </xf>
    <xf numFmtId="3" fontId="9" fillId="7" borderId="19" xfId="0" applyNumberFormat="1" applyFont="1" applyFill="1" applyBorder="1" applyAlignment="1">
      <alignment horizontal="centerContinuous" vertical="center" wrapText="1"/>
    </xf>
    <xf numFmtId="3" fontId="9" fillId="7" borderId="20" xfId="0" applyNumberFormat="1" applyFont="1" applyFill="1" applyBorder="1" applyAlignment="1">
      <alignment horizontal="centerContinuous" vertical="center" wrapText="1"/>
    </xf>
    <xf numFmtId="3" fontId="9" fillId="7" borderId="18" xfId="0" applyNumberFormat="1" applyFont="1" applyFill="1" applyBorder="1" applyAlignment="1">
      <alignment horizontal="centerContinuous" vertical="center" wrapText="1"/>
    </xf>
    <xf numFmtId="3" fontId="9" fillId="3" borderId="2" xfId="0" applyNumberFormat="1" applyFont="1" applyFill="1" applyBorder="1" applyAlignment="1">
      <alignment horizontal="centerContinuous" vertical="center" wrapText="1"/>
    </xf>
    <xf numFmtId="3" fontId="9" fillId="3" borderId="4" xfId="0" applyNumberFormat="1" applyFont="1" applyFill="1" applyBorder="1" applyAlignment="1">
      <alignment horizontal="centerContinuous" vertical="center" wrapText="1"/>
    </xf>
    <xf numFmtId="3" fontId="9" fillId="7" borderId="1" xfId="0" applyNumberFormat="1" applyFont="1" applyFill="1" applyBorder="1" applyAlignment="1">
      <alignment horizontal="centerContinuous" vertical="center" wrapText="1"/>
    </xf>
    <xf numFmtId="3" fontId="8" fillId="7" borderId="1" xfId="0" applyNumberFormat="1" applyFont="1" applyFill="1" applyBorder="1" applyAlignment="1">
      <alignment horizontal="centerContinuous" vertical="center" wrapText="1"/>
    </xf>
    <xf numFmtId="9" fontId="7" fillId="0" borderId="1" xfId="2" applyFont="1" applyBorder="1" applyAlignment="1">
      <alignment vertical="center"/>
    </xf>
    <xf numFmtId="9" fontId="12" fillId="0" borderId="1" xfId="2" applyFont="1" applyFill="1" applyBorder="1" applyAlignment="1">
      <alignment vertical="center"/>
    </xf>
    <xf numFmtId="0" fontId="19" fillId="0" borderId="0" xfId="0" applyFont="1" applyAlignment="1">
      <alignment horizontal="centerContinuous" vertical="center" wrapText="1"/>
    </xf>
    <xf numFmtId="3" fontId="8" fillId="0" borderId="0" xfId="0" applyNumberFormat="1" applyFont="1" applyAlignment="1">
      <alignment horizontal="centerContinuous" vertical="center"/>
    </xf>
    <xf numFmtId="0" fontId="9" fillId="0" borderId="0" xfId="0" applyFont="1" applyFill="1" applyBorder="1" applyAlignment="1">
      <alignment horizontal="centerContinuous" vertical="center"/>
    </xf>
    <xf numFmtId="0" fontId="9" fillId="3" borderId="2" xfId="0" applyFont="1" applyFill="1" applyBorder="1" applyAlignment="1">
      <alignment horizontal="centerContinuous" vertical="center" wrapText="1"/>
    </xf>
    <xf numFmtId="0" fontId="9" fillId="9" borderId="2" xfId="0" applyFont="1" applyFill="1" applyBorder="1" applyAlignment="1">
      <alignment horizontal="centerContinuous" vertical="center"/>
    </xf>
    <xf numFmtId="0" fontId="9" fillId="15" borderId="2" xfId="0" applyFont="1" applyFill="1" applyBorder="1" applyAlignment="1">
      <alignment horizontal="centerContinuous" vertical="center" wrapText="1"/>
    </xf>
    <xf numFmtId="0" fontId="9" fillId="15" borderId="2" xfId="0" applyFont="1" applyFill="1" applyBorder="1" applyAlignment="1">
      <alignment horizontal="centerContinuous" vertical="center"/>
    </xf>
    <xf numFmtId="0" fontId="9" fillId="11" borderId="2" xfId="0" applyFont="1" applyFill="1" applyBorder="1" applyAlignment="1">
      <alignment horizontal="centerContinuous" vertical="center" wrapText="1"/>
    </xf>
    <xf numFmtId="0" fontId="9" fillId="11" borderId="2" xfId="0" applyFont="1" applyFill="1" applyBorder="1" applyAlignment="1">
      <alignment horizontal="centerContinuous" vertical="center"/>
    </xf>
    <xf numFmtId="3" fontId="9" fillId="12" borderId="19" xfId="0" applyNumberFormat="1" applyFont="1" applyFill="1" applyBorder="1" applyAlignment="1">
      <alignment horizontal="centerContinuous" vertical="center" wrapText="1"/>
    </xf>
    <xf numFmtId="0" fontId="9" fillId="12" borderId="21" xfId="0" applyFont="1" applyFill="1" applyBorder="1" applyAlignment="1">
      <alignment horizontal="centerContinuous" vertical="center" wrapText="1"/>
    </xf>
    <xf numFmtId="3" fontId="9" fillId="12" borderId="20" xfId="0" applyNumberFormat="1" applyFont="1" applyFill="1" applyBorder="1" applyAlignment="1">
      <alignment horizontal="centerContinuous" vertical="center" wrapText="1"/>
    </xf>
    <xf numFmtId="3" fontId="9" fillId="12" borderId="18" xfId="0" applyNumberFormat="1" applyFont="1" applyFill="1" applyBorder="1" applyAlignment="1">
      <alignment horizontal="centerContinuous" vertical="center" wrapText="1"/>
    </xf>
    <xf numFmtId="3" fontId="7" fillId="0" borderId="15" xfId="1" applyNumberFormat="1" applyFont="1" applyBorder="1" applyAlignment="1">
      <alignment vertical="center"/>
    </xf>
    <xf numFmtId="3" fontId="7" fillId="0" borderId="14" xfId="1" applyNumberFormat="1" applyFont="1" applyBorder="1" applyAlignment="1">
      <alignment vertical="center"/>
    </xf>
    <xf numFmtId="3" fontId="12" fillId="0" borderId="16" xfId="0" applyNumberFormat="1" applyFont="1" applyBorder="1" applyAlignment="1">
      <alignment vertical="center"/>
    </xf>
    <xf numFmtId="3" fontId="12" fillId="0" borderId="7" xfId="0" applyNumberFormat="1" applyFont="1" applyBorder="1" applyAlignment="1">
      <alignment vertical="center"/>
    </xf>
    <xf numFmtId="3" fontId="12" fillId="0" borderId="17" xfId="0" applyNumberFormat="1" applyFont="1" applyBorder="1" applyAlignment="1">
      <alignment vertical="center"/>
    </xf>
    <xf numFmtId="0" fontId="9" fillId="12" borderId="20" xfId="0" applyFont="1" applyFill="1" applyBorder="1" applyAlignment="1">
      <alignment horizontal="centerContinuous" vertical="center" wrapText="1"/>
    </xf>
    <xf numFmtId="0" fontId="9" fillId="7" borderId="19" xfId="0" applyFont="1" applyFill="1" applyBorder="1" applyAlignment="1">
      <alignment horizontal="centerContinuous" vertical="center" wrapText="1"/>
    </xf>
    <xf numFmtId="0" fontId="9" fillId="7" borderId="20" xfId="0" applyFont="1" applyFill="1" applyBorder="1" applyAlignment="1">
      <alignment horizontal="centerContinuous" vertical="center" wrapText="1"/>
    </xf>
    <xf numFmtId="0" fontId="9" fillId="7" borderId="18" xfId="0" applyFont="1" applyFill="1" applyBorder="1" applyAlignment="1">
      <alignment horizontal="centerContinuous" vertical="center" wrapText="1"/>
    </xf>
    <xf numFmtId="174" fontId="8" fillId="0" borderId="1" xfId="0" applyNumberFormat="1" applyFont="1" applyFill="1" applyBorder="1" applyAlignment="1">
      <alignment vertical="center"/>
    </xf>
    <xf numFmtId="174" fontId="8" fillId="0" borderId="15" xfId="0" applyNumberFormat="1" applyFont="1" applyFill="1" applyBorder="1" applyAlignment="1">
      <alignment vertical="center"/>
    </xf>
    <xf numFmtId="174" fontId="8" fillId="0" borderId="2" xfId="0" applyNumberFormat="1" applyFont="1" applyFill="1" applyBorder="1" applyAlignment="1">
      <alignment vertical="center"/>
    </xf>
    <xf numFmtId="174" fontId="8" fillId="0" borderId="14" xfId="0" applyNumberFormat="1" applyFont="1" applyFill="1" applyBorder="1" applyAlignment="1">
      <alignment vertical="center"/>
    </xf>
    <xf numFmtId="0" fontId="24" fillId="0" borderId="0" xfId="0" applyFont="1"/>
    <xf numFmtId="0" fontId="24" fillId="2" borderId="22" xfId="0" applyFont="1" applyFill="1" applyBorder="1" applyAlignment="1">
      <alignment horizontal="center" wrapText="1"/>
    </xf>
    <xf numFmtId="0" fontId="14" fillId="0" borderId="0" xfId="0" applyFont="1" applyFill="1" applyBorder="1" applyAlignment="1"/>
    <xf numFmtId="0" fontId="14" fillId="0" borderId="0" xfId="0" applyFont="1" applyFill="1" applyBorder="1" applyAlignment="1">
      <alignment horizontal="center"/>
    </xf>
    <xf numFmtId="0" fontId="18" fillId="0" borderId="0" xfId="0" applyFont="1" applyAlignment="1">
      <alignment vertical="center" wrapText="1"/>
    </xf>
    <xf numFmtId="0" fontId="8" fillId="6" borderId="1" xfId="0" applyFont="1" applyFill="1" applyBorder="1" applyAlignment="1">
      <alignment horizontal="center" vertical="center" wrapText="1"/>
    </xf>
    <xf numFmtId="0" fontId="9" fillId="2" borderId="1" xfId="0" applyFont="1" applyFill="1" applyBorder="1" applyAlignment="1">
      <alignment vertical="center" wrapText="1"/>
    </xf>
    <xf numFmtId="0" fontId="8" fillId="2" borderId="1" xfId="0" applyFont="1" applyFill="1" applyBorder="1" applyAlignment="1">
      <alignment vertical="center"/>
    </xf>
    <xf numFmtId="2" fontId="8" fillId="0" borderId="1" xfId="0" applyNumberFormat="1" applyFont="1" applyBorder="1" applyAlignment="1">
      <alignment vertical="center"/>
    </xf>
    <xf numFmtId="0" fontId="0" fillId="0" borderId="0" xfId="0" applyAlignment="1">
      <alignment vertical="center"/>
    </xf>
    <xf numFmtId="2" fontId="0" fillId="0" borderId="0" xfId="0" applyNumberFormat="1"/>
    <xf numFmtId="165" fontId="8" fillId="3" borderId="1" xfId="1" applyNumberFormat="1" applyFont="1" applyFill="1" applyBorder="1"/>
    <xf numFmtId="174" fontId="8" fillId="0" borderId="0" xfId="0" applyNumberFormat="1" applyFont="1" applyFill="1"/>
    <xf numFmtId="0" fontId="9" fillId="16" borderId="2" xfId="0" applyFont="1" applyFill="1" applyBorder="1" applyAlignment="1">
      <alignment horizontal="centerContinuous" vertical="center" wrapText="1"/>
    </xf>
    <xf numFmtId="0" fontId="9" fillId="16" borderId="2" xfId="0" applyFont="1" applyFill="1" applyBorder="1" applyAlignment="1">
      <alignment horizontal="centerContinuous" vertical="center"/>
    </xf>
    <xf numFmtId="171" fontId="8" fillId="0" borderId="1" xfId="2" applyNumberFormat="1" applyFont="1" applyBorder="1" applyAlignment="1">
      <alignment vertical="center"/>
    </xf>
    <xf numFmtId="10" fontId="8" fillId="0" borderId="0" xfId="2" applyNumberFormat="1" applyFont="1" applyAlignment="1">
      <alignment vertical="center"/>
    </xf>
    <xf numFmtId="3" fontId="9" fillId="0" borderId="0" xfId="0" applyNumberFormat="1" applyFont="1" applyFill="1" applyBorder="1" applyAlignment="1">
      <alignment horizontal="center" vertical="center" wrapText="1"/>
    </xf>
    <xf numFmtId="10" fontId="8" fillId="0" borderId="0" xfId="2" applyNumberFormat="1" applyFont="1" applyFill="1" applyBorder="1" applyAlignment="1">
      <alignment vertical="center"/>
    </xf>
    <xf numFmtId="171" fontId="8" fillId="0" borderId="1" xfId="0" applyNumberFormat="1" applyFont="1" applyFill="1" applyBorder="1" applyAlignment="1">
      <alignment vertical="center" wrapText="1"/>
    </xf>
    <xf numFmtId="10" fontId="8" fillId="0" borderId="1" xfId="0" applyNumberFormat="1" applyFont="1" applyFill="1" applyBorder="1" applyAlignment="1">
      <alignment vertical="center"/>
    </xf>
    <xf numFmtId="0" fontId="8" fillId="0" borderId="0" xfId="0" applyFont="1" applyFill="1" applyBorder="1" applyAlignment="1">
      <alignment vertical="center" wrapText="1"/>
    </xf>
    <xf numFmtId="0" fontId="8" fillId="17" borderId="1" xfId="0" applyFont="1" applyFill="1" applyBorder="1" applyAlignment="1">
      <alignment vertical="center"/>
    </xf>
    <xf numFmtId="10" fontId="8" fillId="17" borderId="1" xfId="0" applyNumberFormat="1" applyFont="1" applyFill="1" applyBorder="1" applyAlignment="1">
      <alignment vertical="center"/>
    </xf>
    <xf numFmtId="164" fontId="8" fillId="0" borderId="0" xfId="0" applyNumberFormat="1" applyFont="1" applyFill="1"/>
    <xf numFmtId="3" fontId="9" fillId="3" borderId="1" xfId="0" applyNumberFormat="1" applyFont="1" applyFill="1" applyBorder="1" applyAlignment="1">
      <alignment horizontal="centerContinuous" vertical="center" wrapText="1"/>
    </xf>
    <xf numFmtId="174" fontId="8" fillId="0" borderId="0" xfId="0" applyNumberFormat="1" applyFont="1" applyAlignment="1">
      <alignment vertical="center"/>
    </xf>
    <xf numFmtId="0" fontId="17" fillId="0" borderId="0" xfId="0" applyFont="1" applyFill="1"/>
    <xf numFmtId="176" fontId="17" fillId="0" borderId="0" xfId="12" applyNumberFormat="1" applyFont="1" applyFill="1" applyBorder="1" applyAlignment="1">
      <alignment vertical="top"/>
    </xf>
    <xf numFmtId="167" fontId="25" fillId="0" borderId="0" xfId="13" applyFont="1" applyFill="1" applyAlignment="1">
      <alignment vertical="center"/>
    </xf>
    <xf numFmtId="2" fontId="26" fillId="0" borderId="0" xfId="1" applyNumberFormat="1" applyFont="1" applyFill="1" applyAlignment="1">
      <alignment vertical="top"/>
    </xf>
    <xf numFmtId="0" fontId="0" fillId="13" borderId="8" xfId="0" applyFill="1" applyBorder="1" applyAlignment="1">
      <alignment horizontal="left" vertical="center" wrapText="1"/>
    </xf>
    <xf numFmtId="0" fontId="0" fillId="13" borderId="9" xfId="0" applyFill="1" applyBorder="1" applyAlignment="1">
      <alignment horizontal="left" vertical="center" wrapText="1"/>
    </xf>
    <xf numFmtId="0" fontId="0" fillId="13" borderId="10" xfId="0" applyFill="1" applyBorder="1" applyAlignment="1">
      <alignment horizontal="left" vertical="center" wrapText="1"/>
    </xf>
    <xf numFmtId="0" fontId="0" fillId="13" borderId="11" xfId="0" applyFill="1" applyBorder="1" applyAlignment="1">
      <alignment horizontal="left"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8" fillId="3" borderId="1" xfId="0" applyFont="1" applyFill="1" applyBorder="1" applyAlignment="1">
      <alignment horizontal="left" vertical="center" wrapText="1"/>
    </xf>
    <xf numFmtId="0" fontId="8" fillId="0" borderId="0" xfId="0" applyFont="1" applyFill="1" applyBorder="1" applyAlignment="1">
      <alignment horizontal="center" wrapText="1"/>
    </xf>
  </cellXfs>
  <cellStyles count="14">
    <cellStyle name="Comma" xfId="1" builtinId="3"/>
    <cellStyle name="Comma 2" xfId="9"/>
    <cellStyle name="Comma 3" xfId="11"/>
    <cellStyle name="Normal" xfId="0" builtinId="0"/>
    <cellStyle name="Normal 12" xfId="8"/>
    <cellStyle name="Normal 2" xfId="3"/>
    <cellStyle name="Normal 2 2" xfId="5"/>
    <cellStyle name="Normal 2 3" xfId="10"/>
    <cellStyle name="Normal 2 4" xfId="12"/>
    <cellStyle name="Normal 20" xfId="4"/>
    <cellStyle name="Normal 30" xfId="13"/>
    <cellStyle name="Normal 7 5" xfId="6"/>
    <cellStyle name="Normal 7 7" xfId="7"/>
    <cellStyle name="Percent" xfId="2" builtinId="5"/>
  </cellStyles>
  <dxfs count="16">
    <dxf>
      <font>
        <color rgb="FF9C0006"/>
      </font>
      <fill>
        <patternFill>
          <bgColor rgb="FFFFC7CE"/>
        </patternFill>
      </fill>
    </dxf>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FFCCCC"/>
      <color rgb="FFCC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0</xdr:rowOff>
    </xdr:from>
    <xdr:to>
      <xdr:col>11</xdr:col>
      <xdr:colOff>299239</xdr:colOff>
      <xdr:row>48</xdr:row>
      <xdr:rowOff>133350</xdr:rowOff>
    </xdr:to>
    <xdr:sp macro="" textlink="">
      <xdr:nvSpPr>
        <xdr:cNvPr id="3" name="TextBox 5"/>
        <xdr:cNvSpPr txBox="1"/>
      </xdr:nvSpPr>
      <xdr:spPr>
        <a:xfrm>
          <a:off x="314325" y="12820650"/>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50</xdr:row>
      <xdr:rowOff>0</xdr:rowOff>
    </xdr:from>
    <xdr:to>
      <xdr:col>1</xdr:col>
      <xdr:colOff>2670048</xdr:colOff>
      <xdr:row>51</xdr:row>
      <xdr:rowOff>102870</xdr:rowOff>
    </xdr:to>
    <xdr:sp macro="" textlink="">
      <xdr:nvSpPr>
        <xdr:cNvPr id="4" name="Rectangle 3"/>
        <xdr:cNvSpPr/>
      </xdr:nvSpPr>
      <xdr:spPr>
        <a:xfrm>
          <a:off x="314325" y="13506450"/>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53</xdr:row>
      <xdr:rowOff>0</xdr:rowOff>
    </xdr:from>
    <xdr:to>
      <xdr:col>1</xdr:col>
      <xdr:colOff>4769115</xdr:colOff>
      <xdr:row>62</xdr:row>
      <xdr:rowOff>47625</xdr:rowOff>
    </xdr:to>
    <xdr:sp macro="" textlink="">
      <xdr:nvSpPr>
        <xdr:cNvPr id="5" name="Content Placeholder 2"/>
        <xdr:cNvSpPr txBox="1">
          <a:spLocks/>
        </xdr:cNvSpPr>
      </xdr:nvSpPr>
      <xdr:spPr>
        <a:xfrm>
          <a:off x="314325" y="14020800"/>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
  <sheetViews>
    <sheetView tabSelected="1" zoomScale="80" zoomScaleNormal="80" workbookViewId="0"/>
  </sheetViews>
  <sheetFormatPr defaultColWidth="8.58203125" defaultRowHeight="14" x14ac:dyDescent="0.3"/>
  <cols>
    <col min="1" max="1" width="4.08203125" style="121" customWidth="1"/>
    <col min="2" max="2" width="69.5" style="121" bestFit="1" customWidth="1"/>
    <col min="3" max="16384" width="8.58203125" style="121"/>
  </cols>
  <sheetData>
    <row r="1" spans="1:21" ht="18" x14ac:dyDescent="0.4">
      <c r="A1" s="120" t="s">
        <v>189</v>
      </c>
    </row>
    <row r="2" spans="1:21" s="123" customFormat="1" x14ac:dyDescent="0.3">
      <c r="A2" s="122" t="s">
        <v>1008</v>
      </c>
    </row>
    <row r="3" spans="1:21" s="123" customFormat="1" x14ac:dyDescent="0.3">
      <c r="A3" s="124"/>
    </row>
    <row r="4" spans="1:21" s="123" customFormat="1" ht="1.5" customHeight="1" thickBot="1" x14ac:dyDescent="0.35"/>
    <row r="5" spans="1:21" s="123" customFormat="1" ht="409.6" customHeight="1" x14ac:dyDescent="0.3">
      <c r="B5" s="252" t="s">
        <v>1009</v>
      </c>
      <c r="C5" s="253"/>
      <c r="D5" s="253"/>
      <c r="E5" s="253"/>
      <c r="F5" s="253"/>
      <c r="G5" s="253"/>
      <c r="H5" s="253"/>
      <c r="I5" s="253"/>
      <c r="J5" s="253"/>
      <c r="K5" s="253"/>
      <c r="L5" s="254"/>
      <c r="M5" s="125"/>
      <c r="N5" s="125"/>
      <c r="O5" s="125"/>
      <c r="P5" s="125"/>
      <c r="Q5" s="125"/>
      <c r="R5" s="125"/>
      <c r="S5" s="125"/>
      <c r="T5" s="125"/>
      <c r="U5" s="125"/>
    </row>
    <row r="6" spans="1:21" s="123" customFormat="1" ht="61.5" customHeight="1" thickBot="1" x14ac:dyDescent="0.35">
      <c r="B6" s="255"/>
      <c r="C6" s="256"/>
      <c r="D6" s="256"/>
      <c r="E6" s="256"/>
      <c r="F6" s="256"/>
      <c r="G6" s="256"/>
      <c r="H6" s="256"/>
      <c r="I6" s="256"/>
      <c r="J6" s="256"/>
      <c r="K6" s="256"/>
      <c r="L6" s="257"/>
    </row>
    <row r="7" spans="1:21" s="123" customFormat="1" x14ac:dyDescent="0.3"/>
  </sheetData>
  <mergeCells count="1">
    <mergeCell ref="B5:L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E95"/>
  <sheetViews>
    <sheetView zoomScale="80" zoomScaleNormal="80" workbookViewId="0">
      <pane xSplit="2" ySplit="4" topLeftCell="C5" activePane="bottomRight" state="frozen"/>
      <selection pane="topRight" activeCell="C1" sqref="C1"/>
      <selection pane="bottomLeft" activeCell="A4" sqref="A4"/>
      <selection pane="bottomRight"/>
    </sheetView>
  </sheetViews>
  <sheetFormatPr defaultRowHeight="14" x14ac:dyDescent="0.3"/>
  <cols>
    <col min="2" max="2" width="11" customWidth="1"/>
    <col min="3" max="3" width="16" customWidth="1"/>
    <col min="4" max="4" width="13.58203125" customWidth="1"/>
    <col min="5" max="5" width="14.58203125" customWidth="1"/>
  </cols>
  <sheetData>
    <row r="1" spans="1:5" x14ac:dyDescent="0.3">
      <c r="A1" s="221" t="s">
        <v>239</v>
      </c>
      <c r="B1" s="222">
        <f>COUNTA(A5:A89)</f>
        <v>85</v>
      </c>
      <c r="D1" s="223"/>
      <c r="E1" s="223"/>
    </row>
    <row r="2" spans="1:5" x14ac:dyDescent="0.3">
      <c r="A2" s="221"/>
      <c r="B2" s="221"/>
      <c r="D2" s="224"/>
      <c r="E2" s="224"/>
    </row>
    <row r="3" spans="1:5" ht="43.5" customHeight="1" x14ac:dyDescent="0.3">
      <c r="C3" s="225" t="s">
        <v>240</v>
      </c>
      <c r="D3" s="226" t="s">
        <v>111</v>
      </c>
      <c r="E3" s="226" t="s">
        <v>112</v>
      </c>
    </row>
    <row r="4" spans="1:5" ht="52" x14ac:dyDescent="0.3">
      <c r="A4" s="227" t="s">
        <v>103</v>
      </c>
      <c r="B4" s="227" t="s">
        <v>20</v>
      </c>
      <c r="C4" s="227" t="s">
        <v>97</v>
      </c>
      <c r="D4" s="226" t="s">
        <v>109</v>
      </c>
      <c r="E4" s="226" t="s">
        <v>110</v>
      </c>
    </row>
    <row r="5" spans="1:5" s="230" customFormat="1" x14ac:dyDescent="0.3">
      <c r="A5" s="228" t="s">
        <v>241</v>
      </c>
      <c r="B5" s="127" t="s">
        <v>4</v>
      </c>
      <c r="C5" s="127" t="s">
        <v>24</v>
      </c>
      <c r="D5" s="229">
        <v>0.99001354921970297</v>
      </c>
      <c r="E5" s="229">
        <v>8.1572124790749481</v>
      </c>
    </row>
    <row r="6" spans="1:5" s="230" customFormat="1" x14ac:dyDescent="0.3">
      <c r="A6" s="228" t="s">
        <v>242</v>
      </c>
      <c r="B6" s="127" t="s">
        <v>4</v>
      </c>
      <c r="C6" s="127" t="s">
        <v>25</v>
      </c>
      <c r="D6" s="229">
        <v>0.98873270377672406</v>
      </c>
      <c r="E6" s="229">
        <v>8.1570448061579732</v>
      </c>
    </row>
    <row r="7" spans="1:5" s="230" customFormat="1" x14ac:dyDescent="0.3">
      <c r="A7" s="228" t="s">
        <v>243</v>
      </c>
      <c r="B7" s="127" t="s">
        <v>4</v>
      </c>
      <c r="C7" s="127" t="s">
        <v>26</v>
      </c>
      <c r="D7" s="229">
        <v>0.98934198597013778</v>
      </c>
      <c r="E7" s="229">
        <v>8.1574816533908869</v>
      </c>
    </row>
    <row r="8" spans="1:5" s="230" customFormat="1" x14ac:dyDescent="0.3">
      <c r="A8" s="228" t="s">
        <v>244</v>
      </c>
      <c r="B8" s="127" t="s">
        <v>4</v>
      </c>
      <c r="C8" s="127" t="s">
        <v>27</v>
      </c>
      <c r="D8" s="229">
        <v>0</v>
      </c>
      <c r="E8" s="229">
        <v>0</v>
      </c>
    </row>
    <row r="9" spans="1:5" s="230" customFormat="1" x14ac:dyDescent="0.3">
      <c r="A9" s="228" t="s">
        <v>245</v>
      </c>
      <c r="B9" s="127" t="s">
        <v>4</v>
      </c>
      <c r="C9" s="127" t="s">
        <v>28</v>
      </c>
      <c r="D9" s="229">
        <v>0</v>
      </c>
      <c r="E9" s="229">
        <v>0</v>
      </c>
    </row>
    <row r="10" spans="1:5" s="230" customFormat="1" x14ac:dyDescent="0.3">
      <c r="A10" s="228" t="s">
        <v>246</v>
      </c>
      <c r="B10" s="127" t="s">
        <v>5</v>
      </c>
      <c r="C10" s="127" t="s">
        <v>24</v>
      </c>
      <c r="D10" s="229">
        <v>0.32511117409719131</v>
      </c>
      <c r="E10" s="229">
        <v>4.8406331217180325</v>
      </c>
    </row>
    <row r="11" spans="1:5" s="230" customFormat="1" x14ac:dyDescent="0.3">
      <c r="A11" s="228" t="s">
        <v>247</v>
      </c>
      <c r="B11" s="127" t="s">
        <v>5</v>
      </c>
      <c r="C11" s="127" t="s">
        <v>25</v>
      </c>
      <c r="D11" s="229">
        <v>0.32535903207162398</v>
      </c>
      <c r="E11" s="229">
        <v>4.8407880329520534</v>
      </c>
    </row>
    <row r="12" spans="1:5" s="230" customFormat="1" x14ac:dyDescent="0.3">
      <c r="A12" s="228" t="s">
        <v>248</v>
      </c>
      <c r="B12" s="127" t="s">
        <v>5</v>
      </c>
      <c r="C12" s="127" t="s">
        <v>26</v>
      </c>
      <c r="D12" s="229">
        <v>0.32547442144671251</v>
      </c>
      <c r="E12" s="229">
        <v>4.840288283603118</v>
      </c>
    </row>
    <row r="13" spans="1:5" s="230" customFormat="1" x14ac:dyDescent="0.3">
      <c r="A13" s="228" t="s">
        <v>249</v>
      </c>
      <c r="B13" s="127" t="s">
        <v>5</v>
      </c>
      <c r="C13" s="127" t="s">
        <v>27</v>
      </c>
      <c r="D13" s="229">
        <v>0.32553079945815833</v>
      </c>
      <c r="E13" s="229">
        <v>4.8402482090408876</v>
      </c>
    </row>
    <row r="14" spans="1:5" s="230" customFormat="1" x14ac:dyDescent="0.3">
      <c r="A14" s="228" t="s">
        <v>250</v>
      </c>
      <c r="B14" s="127" t="s">
        <v>5</v>
      </c>
      <c r="C14" s="127" t="s">
        <v>28</v>
      </c>
      <c r="D14" s="229">
        <v>0.32502939546141285</v>
      </c>
      <c r="E14" s="229">
        <v>4.8408224164282609</v>
      </c>
    </row>
    <row r="15" spans="1:5" s="230" customFormat="1" x14ac:dyDescent="0.3">
      <c r="A15" s="228" t="s">
        <v>251</v>
      </c>
      <c r="B15" s="127" t="s">
        <v>6</v>
      </c>
      <c r="C15" s="127" t="s">
        <v>24</v>
      </c>
      <c r="D15" s="229">
        <v>0</v>
      </c>
      <c r="E15" s="229">
        <v>0</v>
      </c>
    </row>
    <row r="16" spans="1:5" s="230" customFormat="1" x14ac:dyDescent="0.3">
      <c r="A16" s="228" t="s">
        <v>252</v>
      </c>
      <c r="B16" s="127" t="s">
        <v>6</v>
      </c>
      <c r="C16" s="127" t="s">
        <v>25</v>
      </c>
      <c r="D16" s="229">
        <v>0</v>
      </c>
      <c r="E16" s="229">
        <v>0</v>
      </c>
    </row>
    <row r="17" spans="1:5" s="230" customFormat="1" x14ac:dyDescent="0.3">
      <c r="A17" s="228" t="s">
        <v>253</v>
      </c>
      <c r="B17" s="127" t="s">
        <v>6</v>
      </c>
      <c r="C17" s="127" t="s">
        <v>26</v>
      </c>
      <c r="D17" s="229">
        <v>0</v>
      </c>
      <c r="E17" s="229">
        <v>0</v>
      </c>
    </row>
    <row r="18" spans="1:5" s="230" customFormat="1" x14ac:dyDescent="0.3">
      <c r="A18" s="228" t="s">
        <v>254</v>
      </c>
      <c r="B18" s="127" t="s">
        <v>6</v>
      </c>
      <c r="C18" s="127" t="s">
        <v>27</v>
      </c>
      <c r="D18" s="229">
        <v>0</v>
      </c>
      <c r="E18" s="229">
        <v>0</v>
      </c>
    </row>
    <row r="19" spans="1:5" s="230" customFormat="1" x14ac:dyDescent="0.3">
      <c r="A19" s="228" t="s">
        <v>255</v>
      </c>
      <c r="B19" s="127" t="s">
        <v>6</v>
      </c>
      <c r="C19" s="127" t="s">
        <v>28</v>
      </c>
      <c r="D19" s="229">
        <v>0</v>
      </c>
      <c r="E19" s="229">
        <v>0</v>
      </c>
    </row>
    <row r="20" spans="1:5" s="230" customFormat="1" x14ac:dyDescent="0.3">
      <c r="A20" s="228" t="s">
        <v>256</v>
      </c>
      <c r="B20" s="127" t="s">
        <v>7</v>
      </c>
      <c r="C20" s="127" t="s">
        <v>24</v>
      </c>
      <c r="D20" s="229">
        <v>0.10909056922689049</v>
      </c>
      <c r="E20" s="229">
        <v>2.8780298488172908</v>
      </c>
    </row>
    <row r="21" spans="1:5" s="230" customFormat="1" x14ac:dyDescent="0.3">
      <c r="A21" s="228" t="s">
        <v>257</v>
      </c>
      <c r="B21" s="127" t="s">
        <v>7</v>
      </c>
      <c r="C21" s="127" t="s">
        <v>25</v>
      </c>
      <c r="D21" s="229">
        <v>0.1061551353022093</v>
      </c>
      <c r="E21" s="229">
        <v>2.8060340764883995</v>
      </c>
    </row>
    <row r="22" spans="1:5" s="230" customFormat="1" x14ac:dyDescent="0.3">
      <c r="A22" s="228" t="s">
        <v>258</v>
      </c>
      <c r="B22" s="127" t="s">
        <v>7</v>
      </c>
      <c r="C22" s="127" t="s">
        <v>26</v>
      </c>
      <c r="D22" s="229">
        <v>0.10397495708718092</v>
      </c>
      <c r="E22" s="229">
        <v>2.7355585177121893</v>
      </c>
    </row>
    <row r="23" spans="1:5" s="230" customFormat="1" x14ac:dyDescent="0.3">
      <c r="A23" s="228" t="s">
        <v>259</v>
      </c>
      <c r="B23" s="127" t="s">
        <v>7</v>
      </c>
      <c r="C23" s="127" t="s">
        <v>27</v>
      </c>
      <c r="D23" s="229">
        <v>0.10126798112577498</v>
      </c>
      <c r="E23" s="229">
        <v>2.6672768799247839</v>
      </c>
    </row>
    <row r="24" spans="1:5" s="230" customFormat="1" x14ac:dyDescent="0.3">
      <c r="A24" s="228" t="s">
        <v>260</v>
      </c>
      <c r="B24" s="127" t="s">
        <v>7</v>
      </c>
      <c r="C24" s="127" t="s">
        <v>28</v>
      </c>
      <c r="D24" s="229">
        <v>9.8766833763089257E-2</v>
      </c>
      <c r="E24" s="229">
        <v>2.6005040392432854</v>
      </c>
    </row>
    <row r="25" spans="1:5" s="230" customFormat="1" x14ac:dyDescent="0.3">
      <c r="A25" s="228" t="s">
        <v>261</v>
      </c>
      <c r="B25" s="127" t="s">
        <v>19</v>
      </c>
      <c r="C25" s="127" t="s">
        <v>24</v>
      </c>
      <c r="D25" s="229">
        <v>0.20374909223196042</v>
      </c>
      <c r="E25" s="229">
        <v>4.4455255368845883</v>
      </c>
    </row>
    <row r="26" spans="1:5" s="230" customFormat="1" x14ac:dyDescent="0.3">
      <c r="A26" s="228" t="s">
        <v>262</v>
      </c>
      <c r="B26" s="127" t="s">
        <v>19</v>
      </c>
      <c r="C26" s="127" t="s">
        <v>25</v>
      </c>
      <c r="D26" s="229">
        <v>0.20371672996602336</v>
      </c>
      <c r="E26" s="229">
        <v>4.4451781611518211</v>
      </c>
    </row>
    <row r="27" spans="1:5" s="230" customFormat="1" x14ac:dyDescent="0.3">
      <c r="A27" s="228" t="s">
        <v>263</v>
      </c>
      <c r="B27" s="127" t="s">
        <v>19</v>
      </c>
      <c r="C27" s="127" t="s">
        <v>26</v>
      </c>
      <c r="D27" s="229">
        <v>0</v>
      </c>
      <c r="E27" s="229">
        <v>0</v>
      </c>
    </row>
    <row r="28" spans="1:5" s="230" customFormat="1" x14ac:dyDescent="0.3">
      <c r="A28" s="228" t="s">
        <v>264</v>
      </c>
      <c r="B28" s="127" t="s">
        <v>19</v>
      </c>
      <c r="C28" s="127" t="s">
        <v>27</v>
      </c>
      <c r="D28" s="229">
        <v>0</v>
      </c>
      <c r="E28" s="229">
        <v>0</v>
      </c>
    </row>
    <row r="29" spans="1:5" s="230" customFormat="1" x14ac:dyDescent="0.3">
      <c r="A29" s="228" t="s">
        <v>265</v>
      </c>
      <c r="B29" s="127" t="s">
        <v>19</v>
      </c>
      <c r="C29" s="127" t="s">
        <v>28</v>
      </c>
      <c r="D29" s="229">
        <v>0</v>
      </c>
      <c r="E29" s="229">
        <v>0</v>
      </c>
    </row>
    <row r="30" spans="1:5" s="230" customFormat="1" x14ac:dyDescent="0.3">
      <c r="A30" s="228" t="s">
        <v>266</v>
      </c>
      <c r="B30" s="127" t="s">
        <v>9</v>
      </c>
      <c r="C30" s="127" t="s">
        <v>24</v>
      </c>
      <c r="D30" s="229">
        <v>1.1408689450250236</v>
      </c>
      <c r="E30" s="229">
        <v>9.9861393444003959</v>
      </c>
    </row>
    <row r="31" spans="1:5" s="230" customFormat="1" x14ac:dyDescent="0.3">
      <c r="A31" s="228" t="s">
        <v>267</v>
      </c>
      <c r="B31" s="127" t="s">
        <v>9</v>
      </c>
      <c r="C31" s="127" t="s">
        <v>25</v>
      </c>
      <c r="D31" s="229">
        <v>1.1408689450250193</v>
      </c>
      <c r="E31" s="229">
        <v>9.9861393444003674</v>
      </c>
    </row>
    <row r="32" spans="1:5" s="230" customFormat="1" x14ac:dyDescent="0.3">
      <c r="A32" s="228" t="s">
        <v>268</v>
      </c>
      <c r="B32" s="127" t="s">
        <v>9</v>
      </c>
      <c r="C32" s="127" t="s">
        <v>26</v>
      </c>
      <c r="D32" s="229">
        <v>1.1408689450250264</v>
      </c>
      <c r="E32" s="229">
        <v>9.9861393444003745</v>
      </c>
    </row>
    <row r="33" spans="1:5" s="230" customFormat="1" x14ac:dyDescent="0.3">
      <c r="A33" s="228" t="s">
        <v>269</v>
      </c>
      <c r="B33" s="127" t="s">
        <v>9</v>
      </c>
      <c r="C33" s="127" t="s">
        <v>27</v>
      </c>
      <c r="D33" s="229">
        <v>0</v>
      </c>
      <c r="E33" s="229">
        <v>0</v>
      </c>
    </row>
    <row r="34" spans="1:5" s="230" customFormat="1" x14ac:dyDescent="0.3">
      <c r="A34" s="228" t="s">
        <v>270</v>
      </c>
      <c r="B34" s="127" t="s">
        <v>9</v>
      </c>
      <c r="C34" s="127" t="s">
        <v>28</v>
      </c>
      <c r="D34" s="229">
        <v>0</v>
      </c>
      <c r="E34" s="229">
        <v>0</v>
      </c>
    </row>
    <row r="35" spans="1:5" s="230" customFormat="1" x14ac:dyDescent="0.3">
      <c r="A35" s="228" t="s">
        <v>271</v>
      </c>
      <c r="B35" s="127" t="s">
        <v>23</v>
      </c>
      <c r="C35" s="127" t="s">
        <v>24</v>
      </c>
      <c r="D35" s="229">
        <v>0</v>
      </c>
      <c r="E35" s="229">
        <v>0</v>
      </c>
    </row>
    <row r="36" spans="1:5" s="230" customFormat="1" x14ac:dyDescent="0.3">
      <c r="A36" s="228" t="s">
        <v>272</v>
      </c>
      <c r="B36" s="127" t="s">
        <v>23</v>
      </c>
      <c r="C36" s="127" t="s">
        <v>25</v>
      </c>
      <c r="D36" s="229">
        <v>0</v>
      </c>
      <c r="E36" s="229">
        <v>0</v>
      </c>
    </row>
    <row r="37" spans="1:5" s="230" customFormat="1" x14ac:dyDescent="0.3">
      <c r="A37" s="228" t="s">
        <v>273</v>
      </c>
      <c r="B37" s="127" t="s">
        <v>23</v>
      </c>
      <c r="C37" s="127" t="s">
        <v>26</v>
      </c>
      <c r="D37" s="229">
        <v>0</v>
      </c>
      <c r="E37" s="229">
        <v>0</v>
      </c>
    </row>
    <row r="38" spans="1:5" s="230" customFormat="1" x14ac:dyDescent="0.3">
      <c r="A38" s="228" t="s">
        <v>274</v>
      </c>
      <c r="B38" s="127" t="s">
        <v>23</v>
      </c>
      <c r="C38" s="127" t="s">
        <v>27</v>
      </c>
      <c r="D38" s="229">
        <v>0</v>
      </c>
      <c r="E38" s="229">
        <v>0</v>
      </c>
    </row>
    <row r="39" spans="1:5" s="230" customFormat="1" x14ac:dyDescent="0.3">
      <c r="A39" s="228" t="s">
        <v>275</v>
      </c>
      <c r="B39" s="127" t="s">
        <v>23</v>
      </c>
      <c r="C39" s="127" t="s">
        <v>28</v>
      </c>
      <c r="D39" s="229">
        <v>0</v>
      </c>
      <c r="E39" s="229">
        <v>0</v>
      </c>
    </row>
    <row r="40" spans="1:5" s="230" customFormat="1" x14ac:dyDescent="0.3">
      <c r="A40" s="228" t="s">
        <v>276</v>
      </c>
      <c r="B40" s="127" t="s">
        <v>10</v>
      </c>
      <c r="C40" s="127" t="s">
        <v>24</v>
      </c>
      <c r="D40" s="229">
        <v>0.22995557091026853</v>
      </c>
      <c r="E40" s="229">
        <v>1.7159978218125398</v>
      </c>
    </row>
    <row r="41" spans="1:5" s="230" customFormat="1" x14ac:dyDescent="0.3">
      <c r="A41" s="228" t="s">
        <v>277</v>
      </c>
      <c r="B41" s="127" t="s">
        <v>10</v>
      </c>
      <c r="C41" s="127" t="s">
        <v>25</v>
      </c>
      <c r="D41" s="229">
        <v>0.22368130158832608</v>
      </c>
      <c r="E41" s="229">
        <v>1.6678844879303445</v>
      </c>
    </row>
    <row r="42" spans="1:5" s="230" customFormat="1" x14ac:dyDescent="0.3">
      <c r="A42" s="228" t="s">
        <v>278</v>
      </c>
      <c r="B42" s="127" t="s">
        <v>10</v>
      </c>
      <c r="C42" s="127" t="s">
        <v>26</v>
      </c>
      <c r="D42" s="229">
        <v>0.21728824478733122</v>
      </c>
      <c r="E42" s="229">
        <v>1.6213045957208561</v>
      </c>
    </row>
    <row r="43" spans="1:5" s="230" customFormat="1" x14ac:dyDescent="0.3">
      <c r="A43" s="228" t="s">
        <v>279</v>
      </c>
      <c r="B43" s="127" t="s">
        <v>10</v>
      </c>
      <c r="C43" s="127" t="s">
        <v>27</v>
      </c>
      <c r="D43" s="229">
        <v>0</v>
      </c>
      <c r="E43" s="229">
        <v>0</v>
      </c>
    </row>
    <row r="44" spans="1:5" s="230" customFormat="1" x14ac:dyDescent="0.3">
      <c r="A44" s="228" t="s">
        <v>280</v>
      </c>
      <c r="B44" s="127" t="s">
        <v>10</v>
      </c>
      <c r="C44" s="127" t="s">
        <v>28</v>
      </c>
      <c r="D44" s="229">
        <v>0</v>
      </c>
      <c r="E44" s="229">
        <v>0</v>
      </c>
    </row>
    <row r="45" spans="1:5" s="230" customFormat="1" x14ac:dyDescent="0.3">
      <c r="A45" s="228" t="s">
        <v>281</v>
      </c>
      <c r="B45" s="127" t="s">
        <v>11</v>
      </c>
      <c r="C45" s="127" t="s">
        <v>24</v>
      </c>
      <c r="D45" s="229">
        <v>0.38003056541930369</v>
      </c>
      <c r="E45" s="229">
        <v>5.9783056016263281</v>
      </c>
    </row>
    <row r="46" spans="1:5" s="230" customFormat="1" x14ac:dyDescent="0.3">
      <c r="A46" s="228" t="s">
        <v>282</v>
      </c>
      <c r="B46" s="127" t="s">
        <v>11</v>
      </c>
      <c r="C46" s="127" t="s">
        <v>25</v>
      </c>
      <c r="D46" s="229">
        <v>0.38003056541930369</v>
      </c>
      <c r="E46" s="229">
        <v>5.9783056016263281</v>
      </c>
    </row>
    <row r="47" spans="1:5" s="230" customFormat="1" x14ac:dyDescent="0.3">
      <c r="A47" s="228" t="s">
        <v>283</v>
      </c>
      <c r="B47" s="127" t="s">
        <v>11</v>
      </c>
      <c r="C47" s="127" t="s">
        <v>26</v>
      </c>
      <c r="D47" s="229">
        <v>0</v>
      </c>
      <c r="E47" s="229">
        <v>0</v>
      </c>
    </row>
    <row r="48" spans="1:5" s="230" customFormat="1" x14ac:dyDescent="0.3">
      <c r="A48" s="228" t="s">
        <v>284</v>
      </c>
      <c r="B48" s="127" t="s">
        <v>11</v>
      </c>
      <c r="C48" s="127" t="s">
        <v>27</v>
      </c>
      <c r="D48" s="229">
        <v>0</v>
      </c>
      <c r="E48" s="229">
        <v>0</v>
      </c>
    </row>
    <row r="49" spans="1:5" s="230" customFormat="1" x14ac:dyDescent="0.3">
      <c r="A49" s="228" t="s">
        <v>285</v>
      </c>
      <c r="B49" s="127" t="s">
        <v>11</v>
      </c>
      <c r="C49" s="127" t="s">
        <v>28</v>
      </c>
      <c r="D49" s="229">
        <v>0</v>
      </c>
      <c r="E49" s="229">
        <v>0</v>
      </c>
    </row>
    <row r="50" spans="1:5" s="230" customFormat="1" x14ac:dyDescent="0.3">
      <c r="A50" s="228" t="s">
        <v>63</v>
      </c>
      <c r="B50" s="127" t="s">
        <v>74</v>
      </c>
      <c r="C50" s="127" t="s">
        <v>24</v>
      </c>
      <c r="D50" s="229">
        <v>0.70083033225540603</v>
      </c>
      <c r="E50" s="229">
        <v>5.3781110279599611</v>
      </c>
    </row>
    <row r="51" spans="1:5" s="230" customFormat="1" x14ac:dyDescent="0.3">
      <c r="A51" s="228" t="s">
        <v>64</v>
      </c>
      <c r="B51" s="127" t="s">
        <v>74</v>
      </c>
      <c r="C51" s="127" t="s">
        <v>25</v>
      </c>
      <c r="D51" s="229">
        <v>0.70083033225540514</v>
      </c>
      <c r="E51" s="229">
        <v>5.3781110279599718</v>
      </c>
    </row>
    <row r="52" spans="1:5" s="230" customFormat="1" x14ac:dyDescent="0.3">
      <c r="A52" s="228" t="s">
        <v>65</v>
      </c>
      <c r="B52" s="127" t="s">
        <v>74</v>
      </c>
      <c r="C52" s="127" t="s">
        <v>26</v>
      </c>
      <c r="D52" s="229">
        <v>0.70083033225540547</v>
      </c>
      <c r="E52" s="229">
        <v>5.3781110279599584</v>
      </c>
    </row>
    <row r="53" spans="1:5" s="230" customFormat="1" x14ac:dyDescent="0.3">
      <c r="A53" s="228" t="s">
        <v>66</v>
      </c>
      <c r="B53" s="127" t="s">
        <v>74</v>
      </c>
      <c r="C53" s="127" t="s">
        <v>27</v>
      </c>
      <c r="D53" s="229">
        <v>0.70083033225540503</v>
      </c>
      <c r="E53" s="229">
        <v>5.3781110279599593</v>
      </c>
    </row>
    <row r="54" spans="1:5" s="230" customFormat="1" x14ac:dyDescent="0.3">
      <c r="A54" s="228" t="s">
        <v>67</v>
      </c>
      <c r="B54" s="127" t="s">
        <v>74</v>
      </c>
      <c r="C54" s="127" t="s">
        <v>28</v>
      </c>
      <c r="D54" s="229">
        <v>0.70083033225540503</v>
      </c>
      <c r="E54" s="229">
        <v>5.3781110279599584</v>
      </c>
    </row>
    <row r="55" spans="1:5" s="230" customFormat="1" x14ac:dyDescent="0.3">
      <c r="A55" s="228" t="s">
        <v>68</v>
      </c>
      <c r="B55" s="127" t="s">
        <v>75</v>
      </c>
      <c r="C55" s="127" t="s">
        <v>24</v>
      </c>
      <c r="D55" s="229">
        <v>6.1363829318356706E-4</v>
      </c>
      <c r="E55" s="229">
        <v>0.25097806191207894</v>
      </c>
    </row>
    <row r="56" spans="1:5" s="230" customFormat="1" x14ac:dyDescent="0.3">
      <c r="A56" s="228" t="s">
        <v>69</v>
      </c>
      <c r="B56" s="127" t="s">
        <v>75</v>
      </c>
      <c r="C56" s="127" t="s">
        <v>25</v>
      </c>
      <c r="D56" s="229">
        <v>6.1363829318356706E-4</v>
      </c>
      <c r="E56" s="229">
        <v>0.25097806191207894</v>
      </c>
    </row>
    <row r="57" spans="1:5" s="230" customFormat="1" x14ac:dyDescent="0.3">
      <c r="A57" s="228" t="s">
        <v>70</v>
      </c>
      <c r="B57" s="127" t="s">
        <v>75</v>
      </c>
      <c r="C57" s="127" t="s">
        <v>26</v>
      </c>
      <c r="D57" s="229">
        <v>6.1363829318356706E-4</v>
      </c>
      <c r="E57" s="229">
        <v>0.25097806191207894</v>
      </c>
    </row>
    <row r="58" spans="1:5" s="230" customFormat="1" x14ac:dyDescent="0.3">
      <c r="A58" s="228" t="s">
        <v>71</v>
      </c>
      <c r="B58" s="127" t="s">
        <v>75</v>
      </c>
      <c r="C58" s="127" t="s">
        <v>27</v>
      </c>
      <c r="D58" s="229">
        <v>6.1363829318356706E-4</v>
      </c>
      <c r="E58" s="229">
        <v>0.25097806191207894</v>
      </c>
    </row>
    <row r="59" spans="1:5" s="230" customFormat="1" x14ac:dyDescent="0.3">
      <c r="A59" s="228" t="s">
        <v>72</v>
      </c>
      <c r="B59" s="127" t="s">
        <v>75</v>
      </c>
      <c r="C59" s="127" t="s">
        <v>28</v>
      </c>
      <c r="D59" s="229">
        <v>0</v>
      </c>
      <c r="E59" s="229">
        <v>0</v>
      </c>
    </row>
    <row r="60" spans="1:5" s="230" customFormat="1" x14ac:dyDescent="0.3">
      <c r="A60" s="228" t="s">
        <v>286</v>
      </c>
      <c r="B60" s="127" t="s">
        <v>12</v>
      </c>
      <c r="C60" s="127" t="s">
        <v>24</v>
      </c>
      <c r="D60" s="229">
        <v>0</v>
      </c>
      <c r="E60" s="229">
        <v>0</v>
      </c>
    </row>
    <row r="61" spans="1:5" s="230" customFormat="1" x14ac:dyDescent="0.3">
      <c r="A61" s="228" t="s">
        <v>287</v>
      </c>
      <c r="B61" s="127" t="s">
        <v>12</v>
      </c>
      <c r="C61" s="127" t="s">
        <v>25</v>
      </c>
      <c r="D61" s="229">
        <v>0</v>
      </c>
      <c r="E61" s="229">
        <v>0</v>
      </c>
    </row>
    <row r="62" spans="1:5" s="230" customFormat="1" x14ac:dyDescent="0.3">
      <c r="A62" s="228" t="s">
        <v>288</v>
      </c>
      <c r="B62" s="127" t="s">
        <v>12</v>
      </c>
      <c r="C62" s="127" t="s">
        <v>26</v>
      </c>
      <c r="D62" s="229">
        <v>0</v>
      </c>
      <c r="E62" s="229">
        <v>0</v>
      </c>
    </row>
    <row r="63" spans="1:5" s="230" customFormat="1" x14ac:dyDescent="0.3">
      <c r="A63" s="228" t="s">
        <v>289</v>
      </c>
      <c r="B63" s="127" t="s">
        <v>12</v>
      </c>
      <c r="C63" s="127" t="s">
        <v>27</v>
      </c>
      <c r="D63" s="229">
        <v>0</v>
      </c>
      <c r="E63" s="229">
        <v>0</v>
      </c>
    </row>
    <row r="64" spans="1:5" s="230" customFormat="1" x14ac:dyDescent="0.3">
      <c r="A64" s="228" t="s">
        <v>290</v>
      </c>
      <c r="B64" s="127" t="s">
        <v>12</v>
      </c>
      <c r="C64" s="127" t="s">
        <v>28</v>
      </c>
      <c r="D64" s="229">
        <v>0</v>
      </c>
      <c r="E64" s="229">
        <v>0</v>
      </c>
    </row>
    <row r="65" spans="1:5" s="230" customFormat="1" x14ac:dyDescent="0.3">
      <c r="A65" s="228" t="s">
        <v>291</v>
      </c>
      <c r="B65" s="127" t="s">
        <v>13</v>
      </c>
      <c r="C65" s="127" t="s">
        <v>24</v>
      </c>
      <c r="D65" s="229">
        <v>0</v>
      </c>
      <c r="E65" s="229">
        <v>0</v>
      </c>
    </row>
    <row r="66" spans="1:5" s="230" customFormat="1" x14ac:dyDescent="0.3">
      <c r="A66" s="228" t="s">
        <v>292</v>
      </c>
      <c r="B66" s="127" t="s">
        <v>13</v>
      </c>
      <c r="C66" s="127" t="s">
        <v>25</v>
      </c>
      <c r="D66" s="229">
        <v>0</v>
      </c>
      <c r="E66" s="229">
        <v>0</v>
      </c>
    </row>
    <row r="67" spans="1:5" s="230" customFormat="1" x14ac:dyDescent="0.3">
      <c r="A67" s="228" t="s">
        <v>293</v>
      </c>
      <c r="B67" s="127" t="s">
        <v>13</v>
      </c>
      <c r="C67" s="127" t="s">
        <v>26</v>
      </c>
      <c r="D67" s="229">
        <v>0</v>
      </c>
      <c r="E67" s="229">
        <v>0</v>
      </c>
    </row>
    <row r="68" spans="1:5" s="230" customFormat="1" x14ac:dyDescent="0.3">
      <c r="A68" s="228" t="s">
        <v>294</v>
      </c>
      <c r="B68" s="127" t="s">
        <v>13</v>
      </c>
      <c r="C68" s="127" t="s">
        <v>27</v>
      </c>
      <c r="D68" s="229">
        <v>0</v>
      </c>
      <c r="E68" s="229">
        <v>0</v>
      </c>
    </row>
    <row r="69" spans="1:5" s="230" customFormat="1" x14ac:dyDescent="0.3">
      <c r="A69" s="228" t="s">
        <v>295</v>
      </c>
      <c r="B69" s="127" t="s">
        <v>13</v>
      </c>
      <c r="C69" s="127" t="s">
        <v>28</v>
      </c>
      <c r="D69" s="229">
        <v>0</v>
      </c>
      <c r="E69" s="229">
        <v>0</v>
      </c>
    </row>
    <row r="70" spans="1:5" s="230" customFormat="1" x14ac:dyDescent="0.3">
      <c r="A70" s="228" t="s">
        <v>296</v>
      </c>
      <c r="B70" s="127" t="s">
        <v>15</v>
      </c>
      <c r="C70" s="127" t="s">
        <v>24</v>
      </c>
      <c r="D70" s="229">
        <v>0</v>
      </c>
      <c r="E70" s="229">
        <v>0</v>
      </c>
    </row>
    <row r="71" spans="1:5" s="230" customFormat="1" x14ac:dyDescent="0.3">
      <c r="A71" s="228" t="s">
        <v>297</v>
      </c>
      <c r="B71" s="127" t="s">
        <v>15</v>
      </c>
      <c r="C71" s="127" t="s">
        <v>25</v>
      </c>
      <c r="D71" s="229">
        <v>0</v>
      </c>
      <c r="E71" s="229">
        <v>0</v>
      </c>
    </row>
    <row r="72" spans="1:5" s="230" customFormat="1" x14ac:dyDescent="0.3">
      <c r="A72" s="228" t="s">
        <v>298</v>
      </c>
      <c r="B72" s="127" t="s">
        <v>15</v>
      </c>
      <c r="C72" s="127" t="s">
        <v>26</v>
      </c>
      <c r="D72" s="229">
        <v>0</v>
      </c>
      <c r="E72" s="229">
        <v>0</v>
      </c>
    </row>
    <row r="73" spans="1:5" s="230" customFormat="1" x14ac:dyDescent="0.3">
      <c r="A73" s="228" t="s">
        <v>299</v>
      </c>
      <c r="B73" s="127" t="s">
        <v>15</v>
      </c>
      <c r="C73" s="127" t="s">
        <v>27</v>
      </c>
      <c r="D73" s="229">
        <v>0</v>
      </c>
      <c r="E73" s="229">
        <v>0</v>
      </c>
    </row>
    <row r="74" spans="1:5" s="230" customFormat="1" x14ac:dyDescent="0.3">
      <c r="A74" s="228" t="s">
        <v>300</v>
      </c>
      <c r="B74" s="127" t="s">
        <v>15</v>
      </c>
      <c r="C74" s="127" t="s">
        <v>28</v>
      </c>
      <c r="D74" s="229">
        <v>0</v>
      </c>
      <c r="E74" s="229">
        <v>0</v>
      </c>
    </row>
    <row r="75" spans="1:5" s="230" customFormat="1" x14ac:dyDescent="0.3">
      <c r="A75" s="228" t="s">
        <v>301</v>
      </c>
      <c r="B75" s="127" t="s">
        <v>16</v>
      </c>
      <c r="C75" s="127" t="s">
        <v>24</v>
      </c>
      <c r="D75" s="229">
        <v>0</v>
      </c>
      <c r="E75" s="229">
        <v>0</v>
      </c>
    </row>
    <row r="76" spans="1:5" s="230" customFormat="1" x14ac:dyDescent="0.3">
      <c r="A76" s="228" t="s">
        <v>302</v>
      </c>
      <c r="B76" s="127" t="s">
        <v>16</v>
      </c>
      <c r="C76" s="127" t="s">
        <v>25</v>
      </c>
      <c r="D76" s="229">
        <v>0</v>
      </c>
      <c r="E76" s="229">
        <v>0</v>
      </c>
    </row>
    <row r="77" spans="1:5" s="230" customFormat="1" x14ac:dyDescent="0.3">
      <c r="A77" s="228" t="s">
        <v>303</v>
      </c>
      <c r="B77" s="127" t="s">
        <v>16</v>
      </c>
      <c r="C77" s="127" t="s">
        <v>26</v>
      </c>
      <c r="D77" s="229">
        <v>0</v>
      </c>
      <c r="E77" s="229">
        <v>0</v>
      </c>
    </row>
    <row r="78" spans="1:5" s="230" customFormat="1" x14ac:dyDescent="0.3">
      <c r="A78" s="228" t="s">
        <v>304</v>
      </c>
      <c r="B78" s="127" t="s">
        <v>16</v>
      </c>
      <c r="C78" s="127" t="s">
        <v>27</v>
      </c>
      <c r="D78" s="229">
        <v>0</v>
      </c>
      <c r="E78" s="229">
        <v>0</v>
      </c>
    </row>
    <row r="79" spans="1:5" s="230" customFormat="1" x14ac:dyDescent="0.3">
      <c r="A79" s="228" t="s">
        <v>305</v>
      </c>
      <c r="B79" s="127" t="s">
        <v>16</v>
      </c>
      <c r="C79" s="127" t="s">
        <v>28</v>
      </c>
      <c r="D79" s="229">
        <v>0</v>
      </c>
      <c r="E79" s="229">
        <v>0</v>
      </c>
    </row>
    <row r="80" spans="1:5" s="230" customFormat="1" x14ac:dyDescent="0.3">
      <c r="A80" s="228" t="s">
        <v>306</v>
      </c>
      <c r="B80" s="127" t="s">
        <v>17</v>
      </c>
      <c r="C80" s="127" t="s">
        <v>24</v>
      </c>
      <c r="D80" s="229">
        <v>0.5265604309303582</v>
      </c>
      <c r="E80" s="229">
        <v>3.1786131819817531</v>
      </c>
    </row>
    <row r="81" spans="1:5" s="230" customFormat="1" x14ac:dyDescent="0.3">
      <c r="A81" s="228" t="s">
        <v>307</v>
      </c>
      <c r="B81" s="127" t="s">
        <v>17</v>
      </c>
      <c r="C81" s="127" t="s">
        <v>25</v>
      </c>
      <c r="D81" s="229">
        <v>0.51209556105122467</v>
      </c>
      <c r="E81" s="229">
        <v>3.0912951395070705</v>
      </c>
    </row>
    <row r="82" spans="1:5" s="230" customFormat="1" x14ac:dyDescent="0.3">
      <c r="A82" s="228" t="s">
        <v>308</v>
      </c>
      <c r="B82" s="127" t="s">
        <v>17</v>
      </c>
      <c r="C82" s="127" t="s">
        <v>26</v>
      </c>
      <c r="D82" s="229">
        <v>0.49797784804919071</v>
      </c>
      <c r="E82" s="229">
        <v>3.0060727300517813</v>
      </c>
    </row>
    <row r="83" spans="1:5" s="230" customFormat="1" x14ac:dyDescent="0.3">
      <c r="A83" s="228" t="s">
        <v>309</v>
      </c>
      <c r="B83" s="127" t="s">
        <v>17</v>
      </c>
      <c r="C83" s="127" t="s">
        <v>27</v>
      </c>
      <c r="D83" s="229">
        <v>0.48419896015920533</v>
      </c>
      <c r="E83" s="229">
        <v>2.9228956584234176</v>
      </c>
    </row>
    <row r="84" spans="1:5" s="230" customFormat="1" x14ac:dyDescent="0.3">
      <c r="A84" s="228" t="s">
        <v>310</v>
      </c>
      <c r="B84" s="127" t="s">
        <v>17</v>
      </c>
      <c r="C84" s="127" t="s">
        <v>28</v>
      </c>
      <c r="D84" s="229">
        <v>0.47075076557857959</v>
      </c>
      <c r="E84" s="229">
        <v>2.8417148365141349</v>
      </c>
    </row>
    <row r="85" spans="1:5" s="230" customFormat="1" x14ac:dyDescent="0.3">
      <c r="A85" s="228" t="s">
        <v>311</v>
      </c>
      <c r="B85" s="127" t="s">
        <v>18</v>
      </c>
      <c r="C85" s="127" t="s">
        <v>24</v>
      </c>
      <c r="D85" s="229">
        <v>0.16534680258318898</v>
      </c>
      <c r="E85" s="229">
        <v>1.7730682335620513</v>
      </c>
    </row>
    <row r="86" spans="1:5" s="230" customFormat="1" x14ac:dyDescent="0.3">
      <c r="A86" s="228" t="s">
        <v>312</v>
      </c>
      <c r="B86" s="127" t="s">
        <v>18</v>
      </c>
      <c r="C86" s="127" t="s">
        <v>25</v>
      </c>
      <c r="D86" s="229">
        <v>0.16534680258318898</v>
      </c>
      <c r="E86" s="229">
        <v>1.7730682335620513</v>
      </c>
    </row>
    <row r="87" spans="1:5" s="230" customFormat="1" x14ac:dyDescent="0.3">
      <c r="A87" s="228" t="s">
        <v>313</v>
      </c>
      <c r="B87" s="127" t="s">
        <v>18</v>
      </c>
      <c r="C87" s="127" t="s">
        <v>26</v>
      </c>
      <c r="D87" s="229">
        <v>0.16534680258318898</v>
      </c>
      <c r="E87" s="229">
        <v>1.7730682335620513</v>
      </c>
    </row>
    <row r="88" spans="1:5" s="230" customFormat="1" x14ac:dyDescent="0.3">
      <c r="A88" s="228" t="s">
        <v>314</v>
      </c>
      <c r="B88" s="127" t="s">
        <v>18</v>
      </c>
      <c r="C88" s="127" t="s">
        <v>27</v>
      </c>
      <c r="D88" s="229">
        <v>0.16534680258318898</v>
      </c>
      <c r="E88" s="229">
        <v>1.7730682335620513</v>
      </c>
    </row>
    <row r="89" spans="1:5" s="230" customFormat="1" x14ac:dyDescent="0.3">
      <c r="A89" s="228" t="s">
        <v>315</v>
      </c>
      <c r="B89" s="127" t="s">
        <v>18</v>
      </c>
      <c r="C89" s="127" t="s">
        <v>28</v>
      </c>
      <c r="D89" s="229">
        <v>0.16534680258318898</v>
      </c>
      <c r="E89" s="229">
        <v>1.7730682335620511</v>
      </c>
    </row>
    <row r="91" spans="1:5" x14ac:dyDescent="0.3">
      <c r="C91" s="259"/>
      <c r="D91" s="231"/>
      <c r="E91" s="231"/>
    </row>
    <row r="92" spans="1:5" x14ac:dyDescent="0.3">
      <c r="C92" s="259"/>
    </row>
    <row r="93" spans="1:5" x14ac:dyDescent="0.3">
      <c r="C93" s="259"/>
      <c r="D93" s="231"/>
      <c r="E93" s="231"/>
    </row>
    <row r="95" spans="1:5" x14ac:dyDescent="0.3">
      <c r="D95" s="231"/>
      <c r="E95" s="231"/>
    </row>
  </sheetData>
  <mergeCells count="1">
    <mergeCell ref="C91:C93"/>
  </mergeCells>
  <conditionalFormatting sqref="B1">
    <cfRule type="expression" dxfId="3" priority="2">
      <formula>B1="error"</formula>
    </cfRule>
    <cfRule type="expression" dxfId="2" priority="3">
      <formula>B1="OK"</formula>
    </cfRule>
  </conditionalFormatting>
  <conditionalFormatting sqref="D95:E95">
    <cfRule type="containsText" dxfId="1" priority="1" operator="containsText" text="ok">
      <formula>NOT(ISERROR(SEARCH("ok",D95)))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428"/>
  <sheetViews>
    <sheetView zoomScale="75" zoomScaleNormal="75" workbookViewId="0"/>
  </sheetViews>
  <sheetFormatPr defaultRowHeight="14" x14ac:dyDescent="0.3"/>
  <cols>
    <col min="1" max="1" width="8.33203125" bestFit="1" customWidth="1"/>
    <col min="2" max="2" width="35" bestFit="1" customWidth="1"/>
    <col min="3" max="3" width="108" bestFit="1" customWidth="1"/>
    <col min="4" max="4" width="4.5" customWidth="1"/>
    <col min="5" max="5" width="16.75" customWidth="1"/>
    <col min="6" max="11" width="20.83203125" bestFit="1" customWidth="1"/>
    <col min="12" max="12" width="13.58203125" customWidth="1"/>
  </cols>
  <sheetData>
    <row r="1" spans="1:11" x14ac:dyDescent="0.3">
      <c r="A1" s="68"/>
      <c r="B1" s="68"/>
      <c r="C1" s="68" t="s">
        <v>235</v>
      </c>
      <c r="D1" s="68"/>
      <c r="E1" s="68"/>
      <c r="F1" s="68"/>
      <c r="G1" s="68"/>
      <c r="H1" s="68"/>
      <c r="I1" s="68"/>
      <c r="J1" s="68"/>
      <c r="K1" s="68"/>
    </row>
    <row r="2" spans="1:11" x14ac:dyDescent="0.3">
      <c r="A2" s="69" t="s">
        <v>29</v>
      </c>
      <c r="B2" s="69" t="s">
        <v>30</v>
      </c>
      <c r="C2" s="69" t="s">
        <v>31</v>
      </c>
      <c r="D2" s="69" t="s">
        <v>32</v>
      </c>
      <c r="E2" s="69" t="s">
        <v>22</v>
      </c>
      <c r="F2" s="69" t="s">
        <v>24</v>
      </c>
      <c r="G2" s="69" t="s">
        <v>25</v>
      </c>
      <c r="H2" s="69" t="s">
        <v>26</v>
      </c>
      <c r="I2" s="69" t="s">
        <v>27</v>
      </c>
      <c r="J2" s="69" t="s">
        <v>28</v>
      </c>
      <c r="K2" s="69" t="s">
        <v>234</v>
      </c>
    </row>
    <row r="3" spans="1:11" x14ac:dyDescent="0.3">
      <c r="A3" s="70"/>
      <c r="B3" s="71"/>
      <c r="C3" s="70"/>
      <c r="D3" s="70"/>
      <c r="E3" s="70"/>
      <c r="F3" s="70"/>
      <c r="G3" s="70"/>
      <c r="H3" s="70"/>
      <c r="I3" s="70"/>
      <c r="J3" s="70"/>
      <c r="K3" s="70"/>
    </row>
    <row r="4" spans="1:11" x14ac:dyDescent="0.3">
      <c r="A4" s="248" t="s">
        <v>4</v>
      </c>
      <c r="B4" s="248" t="s">
        <v>214</v>
      </c>
      <c r="C4" s="248" t="s">
        <v>215</v>
      </c>
      <c r="D4" s="68" t="s">
        <v>2</v>
      </c>
      <c r="E4" s="68" t="s">
        <v>57</v>
      </c>
      <c r="F4" s="68"/>
      <c r="G4" s="68"/>
      <c r="H4" s="68"/>
      <c r="I4" s="68"/>
      <c r="J4" s="68"/>
      <c r="K4" s="248">
        <f>'Final allowances'!$O$27</f>
        <v>194.66600012786051</v>
      </c>
    </row>
    <row r="5" spans="1:11" x14ac:dyDescent="0.3">
      <c r="A5" s="248" t="s">
        <v>4</v>
      </c>
      <c r="B5" s="248" t="s">
        <v>216</v>
      </c>
      <c r="C5" s="248" t="s">
        <v>217</v>
      </c>
      <c r="D5" s="68" t="s">
        <v>2</v>
      </c>
      <c r="E5" s="68" t="s">
        <v>57</v>
      </c>
      <c r="F5" s="68"/>
      <c r="G5" s="68"/>
      <c r="H5" s="68"/>
      <c r="I5" s="68"/>
      <c r="J5" s="68"/>
      <c r="K5" s="248">
        <f>'Final allowances'!$P$27</f>
        <v>1361.7012451442499</v>
      </c>
    </row>
    <row r="6" spans="1:11" x14ac:dyDescent="0.3">
      <c r="A6" s="248" t="s">
        <v>4</v>
      </c>
      <c r="B6" s="248" t="s">
        <v>317</v>
      </c>
      <c r="C6" s="248" t="s">
        <v>236</v>
      </c>
      <c r="D6" s="68" t="s">
        <v>2</v>
      </c>
      <c r="E6" s="68" t="s">
        <v>57</v>
      </c>
      <c r="F6" s="68"/>
      <c r="G6" s="68"/>
      <c r="H6" s="68"/>
      <c r="I6" s="68"/>
      <c r="J6" s="68"/>
      <c r="K6" s="248">
        <f>'Final allowances'!$L$27</f>
        <v>15.017879284905762</v>
      </c>
    </row>
    <row r="7" spans="1:11" x14ac:dyDescent="0.3">
      <c r="A7" s="248" t="s">
        <v>4</v>
      </c>
      <c r="B7" s="248" t="s">
        <v>318</v>
      </c>
      <c r="C7" s="248" t="s">
        <v>237</v>
      </c>
      <c r="D7" s="68" t="s">
        <v>2</v>
      </c>
      <c r="E7" s="68" t="s">
        <v>57</v>
      </c>
      <c r="F7" s="68"/>
      <c r="G7" s="68"/>
      <c r="H7" s="68"/>
      <c r="I7" s="68"/>
      <c r="J7" s="68"/>
      <c r="K7" s="248">
        <f>'Final allowances'!$M$27</f>
        <v>173.73642308081222</v>
      </c>
    </row>
    <row r="8" spans="1:11" x14ac:dyDescent="0.3">
      <c r="A8" s="248" t="s">
        <v>4</v>
      </c>
      <c r="B8" s="248" t="s">
        <v>327</v>
      </c>
      <c r="C8" s="248" t="s">
        <v>329</v>
      </c>
      <c r="D8" s="68" t="s">
        <v>2</v>
      </c>
      <c r="E8" s="68" t="s">
        <v>57</v>
      </c>
      <c r="F8" s="68"/>
      <c r="G8" s="68"/>
      <c r="H8" s="68"/>
      <c r="I8" s="68"/>
      <c r="J8" s="68"/>
      <c r="K8" s="248">
        <f>'Final allowances'!$F$27</f>
        <v>46.10967992921794</v>
      </c>
    </row>
    <row r="9" spans="1:11" x14ac:dyDescent="0.3">
      <c r="A9" s="248" t="s">
        <v>4</v>
      </c>
      <c r="B9" s="248" t="s">
        <v>328</v>
      </c>
      <c r="C9" s="248" t="s">
        <v>330</v>
      </c>
      <c r="D9" s="68" t="s">
        <v>2</v>
      </c>
      <c r="E9" s="68" t="s">
        <v>57</v>
      </c>
      <c r="F9" s="68"/>
      <c r="G9" s="68"/>
      <c r="H9" s="68"/>
      <c r="I9" s="68"/>
      <c r="J9" s="68"/>
      <c r="K9" s="248">
        <f>'Final allowances'!$G$27</f>
        <v>2.2747857840551418</v>
      </c>
    </row>
    <row r="10" spans="1:11" x14ac:dyDescent="0.3">
      <c r="A10" s="248" t="s">
        <v>4</v>
      </c>
      <c r="B10" s="248" t="s">
        <v>218</v>
      </c>
      <c r="C10" s="248" t="s">
        <v>226</v>
      </c>
      <c r="D10" s="68" t="s">
        <v>2</v>
      </c>
      <c r="E10" s="68" t="s">
        <v>57</v>
      </c>
      <c r="F10" s="68"/>
      <c r="G10" s="68"/>
      <c r="H10" s="68"/>
      <c r="I10" s="68"/>
      <c r="J10" s="68"/>
      <c r="K10" s="248">
        <f>'Final allowances'!$C$48</f>
        <v>39.639195827056255</v>
      </c>
    </row>
    <row r="11" spans="1:11" x14ac:dyDescent="0.3">
      <c r="A11" s="248" t="s">
        <v>4</v>
      </c>
      <c r="B11" s="248" t="s">
        <v>219</v>
      </c>
      <c r="C11" s="248" t="s">
        <v>227</v>
      </c>
      <c r="D11" s="68" t="s">
        <v>2</v>
      </c>
      <c r="E11" s="68" t="s">
        <v>57</v>
      </c>
      <c r="F11" s="68"/>
      <c r="G11" s="68"/>
      <c r="H11" s="68"/>
      <c r="I11" s="68"/>
      <c r="J11" s="68"/>
      <c r="K11" s="248">
        <f>'Final allowances'!$D$48</f>
        <v>644.73085521417431</v>
      </c>
    </row>
    <row r="12" spans="1:11" x14ac:dyDescent="0.3">
      <c r="A12" s="248" t="s">
        <v>4</v>
      </c>
      <c r="B12" s="248" t="s">
        <v>220</v>
      </c>
      <c r="C12" s="248" t="s">
        <v>228</v>
      </c>
      <c r="D12" s="68" t="s">
        <v>2</v>
      </c>
      <c r="E12" s="68" t="s">
        <v>57</v>
      </c>
      <c r="F12" s="68"/>
      <c r="G12" s="68"/>
      <c r="H12" s="68"/>
      <c r="I12" s="68"/>
      <c r="J12" s="68"/>
      <c r="K12" s="248">
        <f>'Final allowances'!$C$71</f>
        <v>8.2358785071717318</v>
      </c>
    </row>
    <row r="13" spans="1:11" x14ac:dyDescent="0.3">
      <c r="A13" s="248" t="s">
        <v>4</v>
      </c>
      <c r="B13" s="248" t="s">
        <v>221</v>
      </c>
      <c r="C13" s="248" t="s">
        <v>229</v>
      </c>
      <c r="D13" s="68" t="s">
        <v>2</v>
      </c>
      <c r="E13" s="68" t="s">
        <v>57</v>
      </c>
      <c r="F13" s="68"/>
      <c r="G13" s="68"/>
      <c r="H13" s="68"/>
      <c r="I13" s="68"/>
      <c r="J13" s="68"/>
      <c r="K13" s="248">
        <f>'Final allowances'!$D$71</f>
        <v>59.221603744795814</v>
      </c>
    </row>
    <row r="14" spans="1:11" x14ac:dyDescent="0.3">
      <c r="A14" s="248" t="s">
        <v>4</v>
      </c>
      <c r="B14" s="248" t="s">
        <v>222</v>
      </c>
      <c r="C14" s="248" t="s">
        <v>230</v>
      </c>
      <c r="D14" s="68" t="s">
        <v>2</v>
      </c>
      <c r="E14" s="68" t="s">
        <v>57</v>
      </c>
      <c r="F14" s="68"/>
      <c r="G14" s="68"/>
      <c r="H14" s="68"/>
      <c r="I14" s="68"/>
      <c r="J14" s="68"/>
      <c r="K14" s="248">
        <f>'Final allowances'!$F$71</f>
        <v>0</v>
      </c>
    </row>
    <row r="15" spans="1:11" x14ac:dyDescent="0.3">
      <c r="A15" s="248" t="s">
        <v>4</v>
      </c>
      <c r="B15" s="248" t="s">
        <v>223</v>
      </c>
      <c r="C15" s="248" t="s">
        <v>231</v>
      </c>
      <c r="D15" s="68" t="s">
        <v>2</v>
      </c>
      <c r="E15" s="68" t="s">
        <v>57</v>
      </c>
      <c r="F15" s="68"/>
      <c r="G15" s="68"/>
      <c r="H15" s="68"/>
      <c r="I15" s="68"/>
      <c r="J15" s="68"/>
      <c r="K15" s="248">
        <f>'Final allowances'!$G$71</f>
        <v>0</v>
      </c>
    </row>
    <row r="16" spans="1:11" x14ac:dyDescent="0.3">
      <c r="A16" s="248" t="s">
        <v>4</v>
      </c>
      <c r="B16" s="248" t="s">
        <v>224</v>
      </c>
      <c r="C16" s="248" t="s">
        <v>232</v>
      </c>
      <c r="D16" s="68" t="s">
        <v>2</v>
      </c>
      <c r="E16" s="68" t="s">
        <v>57</v>
      </c>
      <c r="F16" s="68"/>
      <c r="G16" s="68"/>
      <c r="H16" s="68"/>
      <c r="I16" s="68"/>
      <c r="J16" s="68"/>
      <c r="K16" s="248">
        <f>'Final allowances'!$L$71</f>
        <v>11.352159082299918</v>
      </c>
    </row>
    <row r="17" spans="1:11" x14ac:dyDescent="0.3">
      <c r="A17" s="248" t="s">
        <v>4</v>
      </c>
      <c r="B17" s="248" t="s">
        <v>225</v>
      </c>
      <c r="C17" s="248" t="s">
        <v>233</v>
      </c>
      <c r="D17" s="68" t="s">
        <v>2</v>
      </c>
      <c r="E17" s="68" t="s">
        <v>57</v>
      </c>
      <c r="F17" s="68"/>
      <c r="G17" s="68"/>
      <c r="H17" s="68"/>
      <c r="I17" s="68"/>
      <c r="J17" s="68"/>
      <c r="K17" s="248">
        <f>'Final allowances'!$M$71</f>
        <v>13.442840917700082</v>
      </c>
    </row>
    <row r="18" spans="1:11" x14ac:dyDescent="0.3">
      <c r="A18" s="248" t="s">
        <v>4</v>
      </c>
      <c r="B18" s="248" t="s">
        <v>331</v>
      </c>
      <c r="C18" s="248" t="s">
        <v>332</v>
      </c>
      <c r="D18" s="68" t="s">
        <v>2</v>
      </c>
      <c r="E18" s="68" t="s">
        <v>57</v>
      </c>
      <c r="F18" s="68"/>
      <c r="G18" s="68"/>
      <c r="H18" s="68"/>
      <c r="I18" s="68"/>
      <c r="J18" s="68"/>
      <c r="K18" s="248">
        <f>'Final allowances'!$P$71</f>
        <v>1.2774863545141022</v>
      </c>
    </row>
    <row r="19" spans="1:11" x14ac:dyDescent="0.3">
      <c r="A19" s="248" t="s">
        <v>4</v>
      </c>
      <c r="B19" s="248" t="s">
        <v>333</v>
      </c>
      <c r="C19" s="248" t="s">
        <v>334</v>
      </c>
      <c r="D19" s="68" t="s">
        <v>2</v>
      </c>
      <c r="E19" s="68" t="s">
        <v>57</v>
      </c>
      <c r="F19" s="68"/>
      <c r="G19" s="68"/>
      <c r="H19" s="68"/>
      <c r="I19" s="68"/>
      <c r="J19" s="68"/>
      <c r="K19" s="248">
        <f>'Final allowances'!$O$71</f>
        <v>0</v>
      </c>
    </row>
    <row r="20" spans="1:11" x14ac:dyDescent="0.3">
      <c r="A20" s="248" t="s">
        <v>4</v>
      </c>
      <c r="B20" s="248" t="s">
        <v>238</v>
      </c>
      <c r="C20" s="248" t="s">
        <v>109</v>
      </c>
      <c r="D20" s="68" t="s">
        <v>2</v>
      </c>
      <c r="E20" s="68" t="s">
        <v>57</v>
      </c>
      <c r="F20" s="68">
        <f xml:space="preserve"> INDEX( PDR!$D$5:$D$89, MATCH(F_Outputs!$A20 &amp; RIGHT( F_Outputs!F$2, 2),PDR!$A$5:$A$89, 0 ) )</f>
        <v>0.99001354921970297</v>
      </c>
      <c r="G20" s="68">
        <f xml:space="preserve"> INDEX( PDR!$D$5:$D$89, MATCH(F_Outputs!$A20 &amp; RIGHT( F_Outputs!G$2, 2),PDR!$A$5:$A$89, 0 ) )</f>
        <v>0.98873270377672406</v>
      </c>
      <c r="H20" s="68">
        <f xml:space="preserve"> INDEX( PDR!$D$5:$D$89, MATCH(F_Outputs!$A20 &amp; RIGHT( F_Outputs!H$2, 2),PDR!$A$5:$A$89, 0 ) )</f>
        <v>0.98934198597013778</v>
      </c>
      <c r="I20" s="68">
        <f xml:space="preserve"> INDEX( PDR!$D$5:$D$89, MATCH(F_Outputs!$A20 &amp; RIGHT( F_Outputs!I$2, 2),PDR!$A$5:$A$89, 0 ) )</f>
        <v>0</v>
      </c>
      <c r="J20" s="68">
        <f xml:space="preserve"> INDEX( PDR!$D$5:$D$89, MATCH(F_Outputs!$A20 &amp; RIGHT( F_Outputs!J$2, 2),PDR!$A$5:$A$89, 0 ) )</f>
        <v>0</v>
      </c>
      <c r="K20" s="248"/>
    </row>
    <row r="21" spans="1:11" x14ac:dyDescent="0.3">
      <c r="A21" s="248" t="s">
        <v>4</v>
      </c>
      <c r="B21" s="248" t="s">
        <v>112</v>
      </c>
      <c r="C21" s="248" t="s">
        <v>110</v>
      </c>
      <c r="D21" s="68" t="s">
        <v>2</v>
      </c>
      <c r="E21" s="68" t="s">
        <v>57</v>
      </c>
      <c r="F21" s="68">
        <f>INDEX(PDR!$E$5:$E$89,MATCH(F_Outputs!$A21&amp;RIGHT(F_Outputs!F$2,2),PDR!$A$5:$A$89,0))</f>
        <v>8.1572124790749481</v>
      </c>
      <c r="G21" s="68">
        <f>INDEX(PDR!$E$5:$E$89,MATCH(F_Outputs!$A21&amp;RIGHT(F_Outputs!G$2,2),PDR!$A$5:$A$89,0))</f>
        <v>8.1570448061579732</v>
      </c>
      <c r="H21" s="68">
        <f>INDEX(PDR!$E$5:$E$89,MATCH(F_Outputs!$A21&amp;RIGHT(F_Outputs!H$2,2),PDR!$A$5:$A$89,0))</f>
        <v>8.1574816533908869</v>
      </c>
      <c r="I21" s="68">
        <f>INDEX(PDR!$E$5:$E$89,MATCH(F_Outputs!$A21&amp;RIGHT(F_Outputs!I$2,2),PDR!$A$5:$A$89,0))</f>
        <v>0</v>
      </c>
      <c r="J21" s="68">
        <f>INDEX(PDR!$E$5:$E$89,MATCH(F_Outputs!$A21&amp;RIGHT(F_Outputs!J$2,2),PDR!$A$5:$A$89,0))</f>
        <v>0</v>
      </c>
      <c r="K21" s="248"/>
    </row>
    <row r="22" spans="1:11" x14ac:dyDescent="0.3">
      <c r="A22" s="248" t="s">
        <v>4</v>
      </c>
      <c r="B22" s="248" t="s">
        <v>193</v>
      </c>
      <c r="C22" s="248" t="s">
        <v>195</v>
      </c>
      <c r="D22" s="68" t="s">
        <v>2</v>
      </c>
      <c r="E22" s="68" t="s">
        <v>57</v>
      </c>
      <c r="F22" s="249">
        <f>K22/5</f>
        <v>46.861039190983355</v>
      </c>
      <c r="G22" s="249">
        <f t="shared" ref="G22:J23" si="0">F22</f>
        <v>46.861039190983355</v>
      </c>
      <c r="H22" s="249">
        <f t="shared" si="0"/>
        <v>46.861039190983355</v>
      </c>
      <c r="I22" s="249">
        <f t="shared" si="0"/>
        <v>46.861039190983355</v>
      </c>
      <c r="J22" s="249">
        <f t="shared" si="0"/>
        <v>46.861039190983355</v>
      </c>
      <c r="K22" s="248">
        <f>INDEX('Final allowances'!$G$6:$G$22,MATCH(F_Outputs!A22,'Final allowances'!$B$6:$B$22,0))</f>
        <v>234.30519595491677</v>
      </c>
    </row>
    <row r="23" spans="1:11" x14ac:dyDescent="0.3">
      <c r="A23" s="248" t="s">
        <v>4</v>
      </c>
      <c r="B23" s="248" t="s">
        <v>194</v>
      </c>
      <c r="C23" s="248" t="s">
        <v>196</v>
      </c>
      <c r="D23" s="68" t="s">
        <v>2</v>
      </c>
      <c r="E23" s="68" t="s">
        <v>57</v>
      </c>
      <c r="F23" s="249">
        <f>K23/5</f>
        <v>401.2864200716848</v>
      </c>
      <c r="G23" s="249">
        <f t="shared" si="0"/>
        <v>401.2864200716848</v>
      </c>
      <c r="H23" s="249">
        <f t="shared" si="0"/>
        <v>401.2864200716848</v>
      </c>
      <c r="I23" s="249">
        <f t="shared" si="0"/>
        <v>401.2864200716848</v>
      </c>
      <c r="J23" s="249">
        <f t="shared" si="0"/>
        <v>401.2864200716848</v>
      </c>
      <c r="K23" s="248">
        <f>INDEX('Final allowances'!$H$6:$H$22,MATCH(F_Outputs!A23,'Final allowances'!$B$6:$B$22,0))</f>
        <v>2006.4321003584241</v>
      </c>
    </row>
    <row r="24" spans="1:11" x14ac:dyDescent="0.3">
      <c r="A24" s="248" t="s">
        <v>4</v>
      </c>
      <c r="B24" s="248" t="s">
        <v>319</v>
      </c>
      <c r="C24" s="248" t="s">
        <v>320</v>
      </c>
      <c r="D24" s="68" t="s">
        <v>2</v>
      </c>
      <c r="E24" s="68" t="s">
        <v>57</v>
      </c>
      <c r="F24" s="249">
        <f>K24/5</f>
        <v>0</v>
      </c>
      <c r="G24" s="249">
        <f t="shared" ref="G24" si="1">F24</f>
        <v>0</v>
      </c>
      <c r="H24" s="249">
        <f t="shared" ref="H24" si="2">G24</f>
        <v>0</v>
      </c>
      <c r="I24" s="249">
        <f t="shared" ref="I24" si="3">H24</f>
        <v>0</v>
      </c>
      <c r="J24" s="249">
        <f t="shared" ref="J24" si="4">I24</f>
        <v>0</v>
      </c>
      <c r="K24" s="248">
        <f>INDEX('Final allowances'!$E$6:$E$22,MATCH(F_Outputs!A24,'Final allowances'!$B$6:$B$22,0))</f>
        <v>0</v>
      </c>
    </row>
    <row r="25" spans="1:11" x14ac:dyDescent="0.3">
      <c r="A25" s="248" t="s">
        <v>4</v>
      </c>
      <c r="B25" s="248" t="s">
        <v>197</v>
      </c>
      <c r="C25" s="248" t="s">
        <v>199</v>
      </c>
      <c r="D25" s="68" t="s">
        <v>2</v>
      </c>
      <c r="E25" s="68" t="s">
        <v>57</v>
      </c>
      <c r="F25" s="68">
        <f>K25/5</f>
        <v>3.9176075178943299</v>
      </c>
      <c r="G25" s="68">
        <f>F25</f>
        <v>3.9176075178943299</v>
      </c>
      <c r="H25" s="68">
        <f t="shared" ref="H25:J26" si="5">G25</f>
        <v>3.9176075178943299</v>
      </c>
      <c r="I25" s="68">
        <f t="shared" si="5"/>
        <v>3.9176075178943299</v>
      </c>
      <c r="J25" s="68">
        <f t="shared" si="5"/>
        <v>3.9176075178943299</v>
      </c>
      <c r="K25" s="248">
        <f>K12+K14+K16+K19</f>
        <v>19.58803758947165</v>
      </c>
    </row>
    <row r="26" spans="1:11" x14ac:dyDescent="0.3">
      <c r="A26" s="248" t="s">
        <v>4</v>
      </c>
      <c r="B26" s="248" t="s">
        <v>198</v>
      </c>
      <c r="C26" s="248" t="s">
        <v>200</v>
      </c>
      <c r="D26" s="68" t="s">
        <v>2</v>
      </c>
      <c r="E26" s="68" t="s">
        <v>57</v>
      </c>
      <c r="F26" s="68">
        <f>K26/5</f>
        <v>14.788386203401998</v>
      </c>
      <c r="G26" s="68">
        <f>F26</f>
        <v>14.788386203401998</v>
      </c>
      <c r="H26" s="68">
        <f t="shared" si="5"/>
        <v>14.788386203401998</v>
      </c>
      <c r="I26" s="68">
        <f t="shared" si="5"/>
        <v>14.788386203401998</v>
      </c>
      <c r="J26" s="68">
        <f t="shared" si="5"/>
        <v>14.788386203401998</v>
      </c>
      <c r="K26" s="248">
        <f>K13+K15+K17+K18</f>
        <v>73.941931017009992</v>
      </c>
    </row>
    <row r="27" spans="1:11" ht="14.5" x14ac:dyDescent="0.3">
      <c r="A27" s="248" t="s">
        <v>4</v>
      </c>
      <c r="B27" s="68" t="s">
        <v>113</v>
      </c>
      <c r="C27" s="68" t="s">
        <v>98</v>
      </c>
      <c r="D27" s="68" t="s">
        <v>62</v>
      </c>
      <c r="E27" s="68" t="s">
        <v>57</v>
      </c>
      <c r="F27" s="250" t="str">
        <f ca="1">CONCATENATE("[…]", TEXT(NOW(),"dd/mm/yyy hh:mm:ss"))</f>
        <v>[…]11/12/2019 16:31:19</v>
      </c>
      <c r="G27" s="250" t="str">
        <f t="shared" ref="G27:K27" ca="1" si="6">CONCATENATE("[…]", TEXT(NOW(),"dd/mm/yyy hh:mm:ss"))</f>
        <v>[…]11/12/2019 16:31:19</v>
      </c>
      <c r="H27" s="250" t="str">
        <f t="shared" ca="1" si="6"/>
        <v>[…]11/12/2019 16:31:19</v>
      </c>
      <c r="I27" s="250" t="str">
        <f t="shared" ca="1" si="6"/>
        <v>[…]11/12/2019 16:31:19</v>
      </c>
      <c r="J27" s="250" t="str">
        <f t="shared" ca="1" si="6"/>
        <v>[…]11/12/2019 16:31:19</v>
      </c>
      <c r="K27" s="250" t="str">
        <f t="shared" ca="1" si="6"/>
        <v>[…]11/12/2019 16:31:19</v>
      </c>
    </row>
    <row r="28" spans="1:11" x14ac:dyDescent="0.3">
      <c r="A28" s="248" t="s">
        <v>4</v>
      </c>
      <c r="B28" s="68" t="s">
        <v>114</v>
      </c>
      <c r="C28" s="68" t="s">
        <v>99</v>
      </c>
      <c r="D28" s="68" t="s">
        <v>62</v>
      </c>
      <c r="E28" s="68" t="s">
        <v>57</v>
      </c>
      <c r="F28" s="251" t="s">
        <v>316</v>
      </c>
      <c r="G28" s="251" t="s">
        <v>316</v>
      </c>
      <c r="H28" s="251" t="s">
        <v>316</v>
      </c>
      <c r="I28" s="251" t="s">
        <v>316</v>
      </c>
      <c r="J28" s="251" t="s">
        <v>316</v>
      </c>
      <c r="K28" s="251" t="s">
        <v>316</v>
      </c>
    </row>
    <row r="29" spans="1:11" x14ac:dyDescent="0.3">
      <c r="A29" s="248" t="s">
        <v>75</v>
      </c>
      <c r="B29" s="248" t="str">
        <f xml:space="preserve"> B4</f>
        <v>C_TBC_WR_PR19CA004_OFWAT</v>
      </c>
      <c r="C29" s="248" t="s">
        <v>215</v>
      </c>
      <c r="D29" s="68" t="s">
        <v>2</v>
      </c>
      <c r="E29" s="68" t="s">
        <v>57</v>
      </c>
      <c r="F29" s="68"/>
      <c r="G29" s="68"/>
      <c r="H29" s="68"/>
      <c r="I29" s="68"/>
      <c r="J29" s="68"/>
      <c r="K29" s="248">
        <f>'Final allowances'!$O$28</f>
        <v>11.026615107411544</v>
      </c>
    </row>
    <row r="30" spans="1:11" x14ac:dyDescent="0.3">
      <c r="A30" s="248" t="s">
        <v>75</v>
      </c>
      <c r="B30" s="248" t="str">
        <f xml:space="preserve"> B5</f>
        <v>C_TBC_WN_PR19CA004_OFWAT</v>
      </c>
      <c r="C30" s="248" t="s">
        <v>217</v>
      </c>
      <c r="D30" s="68" t="s">
        <v>2</v>
      </c>
      <c r="E30" s="68" t="s">
        <v>57</v>
      </c>
      <c r="F30" s="68"/>
      <c r="G30" s="68"/>
      <c r="H30" s="68"/>
      <c r="I30" s="68"/>
      <c r="J30" s="68"/>
      <c r="K30" s="248">
        <f>'Final allowances'!$P$28</f>
        <v>99.793209050279884</v>
      </c>
    </row>
    <row r="31" spans="1:11" x14ac:dyDescent="0.3">
      <c r="A31" s="248" t="s">
        <v>75</v>
      </c>
      <c r="B31" s="248" t="s">
        <v>317</v>
      </c>
      <c r="C31" s="248" t="s">
        <v>236</v>
      </c>
      <c r="D31" s="68" t="s">
        <v>2</v>
      </c>
      <c r="E31" s="68" t="s">
        <v>57</v>
      </c>
      <c r="F31" s="68"/>
      <c r="G31" s="68"/>
      <c r="H31" s="68"/>
      <c r="I31" s="68"/>
      <c r="J31" s="68"/>
      <c r="K31" s="248">
        <f>'Final allowances'!$L$28</f>
        <v>0.71794735578998969</v>
      </c>
    </row>
    <row r="32" spans="1:11" x14ac:dyDescent="0.3">
      <c r="A32" s="248" t="s">
        <v>75</v>
      </c>
      <c r="B32" s="248" t="s">
        <v>318</v>
      </c>
      <c r="C32" s="248" t="s">
        <v>237</v>
      </c>
      <c r="D32" s="68" t="s">
        <v>2</v>
      </c>
      <c r="E32" s="68" t="s">
        <v>57</v>
      </c>
      <c r="F32" s="68"/>
      <c r="G32" s="68"/>
      <c r="H32" s="68"/>
      <c r="I32" s="68"/>
      <c r="J32" s="68"/>
      <c r="K32" s="248">
        <f>'Final allowances'!$M$28</f>
        <v>7.0441101627652474</v>
      </c>
    </row>
    <row r="33" spans="1:11" x14ac:dyDescent="0.3">
      <c r="A33" s="248" t="s">
        <v>75</v>
      </c>
      <c r="B33" s="248" t="s">
        <v>327</v>
      </c>
      <c r="C33" s="248" t="s">
        <v>329</v>
      </c>
      <c r="D33" s="68" t="s">
        <v>2</v>
      </c>
      <c r="E33" s="68" t="s">
        <v>57</v>
      </c>
      <c r="F33" s="68"/>
      <c r="G33" s="68"/>
      <c r="H33" s="68"/>
      <c r="I33" s="68"/>
      <c r="J33" s="68"/>
      <c r="K33" s="248">
        <f>'Final allowances'!$F$28</f>
        <v>2.2626114398783286</v>
      </c>
    </row>
    <row r="34" spans="1:11" x14ac:dyDescent="0.3">
      <c r="A34" s="248" t="s">
        <v>75</v>
      </c>
      <c r="B34" s="248" t="s">
        <v>328</v>
      </c>
      <c r="C34" s="248" t="s">
        <v>330</v>
      </c>
      <c r="D34" s="68" t="s">
        <v>2</v>
      </c>
      <c r="E34" s="68" t="s">
        <v>57</v>
      </c>
      <c r="F34" s="68"/>
      <c r="G34" s="68"/>
      <c r="H34" s="68"/>
      <c r="I34" s="68"/>
      <c r="J34" s="68"/>
      <c r="K34" s="248">
        <f>'Final allowances'!$G$28</f>
        <v>0</v>
      </c>
    </row>
    <row r="35" spans="1:11" x14ac:dyDescent="0.3">
      <c r="A35" s="248" t="s">
        <v>75</v>
      </c>
      <c r="B35" s="248" t="str">
        <f t="shared" ref="B35:B42" si="7" xml:space="preserve"> B10</f>
        <v>C_ENC_WR_PR19CA004_OFWAT</v>
      </c>
      <c r="C35" s="248" t="s">
        <v>226</v>
      </c>
      <c r="D35" s="68" t="s">
        <v>2</v>
      </c>
      <c r="E35" s="68" t="s">
        <v>57</v>
      </c>
      <c r="F35" s="68"/>
      <c r="G35" s="68"/>
      <c r="H35" s="68"/>
      <c r="I35" s="68"/>
      <c r="J35" s="68"/>
      <c r="K35" s="248">
        <f>'Final allowances'!$C$49</f>
        <v>7.1642275493640497</v>
      </c>
    </row>
    <row r="36" spans="1:11" x14ac:dyDescent="0.3">
      <c r="A36" s="248" t="s">
        <v>75</v>
      </c>
      <c r="B36" s="248" t="str">
        <f t="shared" si="7"/>
        <v>C_ENC_WN_PR19CA004_OFWAT</v>
      </c>
      <c r="C36" s="248" t="s">
        <v>227</v>
      </c>
      <c r="D36" s="68" t="s">
        <v>2</v>
      </c>
      <c r="E36" s="68" t="s">
        <v>57</v>
      </c>
      <c r="F36" s="68"/>
      <c r="G36" s="68"/>
      <c r="H36" s="68"/>
      <c r="I36" s="68"/>
      <c r="J36" s="68"/>
      <c r="K36" s="248">
        <f>'Final allowances'!$D$49</f>
        <v>5.8081897673496208</v>
      </c>
    </row>
    <row r="37" spans="1:11" x14ac:dyDescent="0.3">
      <c r="A37" s="248" t="s">
        <v>75</v>
      </c>
      <c r="B37" s="248" t="str">
        <f t="shared" si="7"/>
        <v>C_3PTYC_WR_PR19CA004_OFWAT</v>
      </c>
      <c r="C37" s="248" t="s">
        <v>228</v>
      </c>
      <c r="D37" s="68" t="s">
        <v>2</v>
      </c>
      <c r="E37" s="68" t="s">
        <v>57</v>
      </c>
      <c r="F37" s="68"/>
      <c r="G37" s="68"/>
      <c r="H37" s="68"/>
      <c r="I37" s="68"/>
      <c r="J37" s="68"/>
      <c r="K37" s="248">
        <f>'Final allowances'!$C$72</f>
        <v>7.0723477052618016</v>
      </c>
    </row>
    <row r="38" spans="1:11" x14ac:dyDescent="0.3">
      <c r="A38" s="248" t="s">
        <v>75</v>
      </c>
      <c r="B38" s="248" t="str">
        <f t="shared" si="7"/>
        <v>C_3PTYC_WN_PR19CA004_OFWAT</v>
      </c>
      <c r="C38" s="248" t="s">
        <v>229</v>
      </c>
      <c r="D38" s="68" t="s">
        <v>2</v>
      </c>
      <c r="E38" s="68" t="s">
        <v>57</v>
      </c>
      <c r="F38" s="68"/>
      <c r="G38" s="68"/>
      <c r="H38" s="68"/>
      <c r="I38" s="68"/>
      <c r="J38" s="68"/>
      <c r="K38" s="248">
        <f>'Final allowances'!$D$72</f>
        <v>8.517241576412097</v>
      </c>
    </row>
    <row r="39" spans="1:11" x14ac:dyDescent="0.3">
      <c r="A39" s="248" t="s">
        <v>75</v>
      </c>
      <c r="B39" s="248" t="str">
        <f t="shared" si="7"/>
        <v>C_CSH_WR_PR19CA004_OFWAT</v>
      </c>
      <c r="C39" s="248" t="s">
        <v>230</v>
      </c>
      <c r="D39" s="68" t="s">
        <v>2</v>
      </c>
      <c r="E39" s="68" t="s">
        <v>57</v>
      </c>
      <c r="F39" s="68"/>
      <c r="G39" s="68"/>
      <c r="H39" s="68"/>
      <c r="I39" s="68"/>
      <c r="J39" s="68"/>
      <c r="K39" s="248">
        <f>'Final allowances'!$F$72</f>
        <v>0</v>
      </c>
    </row>
    <row r="40" spans="1:11" x14ac:dyDescent="0.3">
      <c r="A40" s="248" t="s">
        <v>75</v>
      </c>
      <c r="B40" s="248" t="str">
        <f t="shared" si="7"/>
        <v>C_CSH_WN_PR19CA004_OFWAT</v>
      </c>
      <c r="C40" s="248" t="s">
        <v>231</v>
      </c>
      <c r="D40" s="68" t="s">
        <v>2</v>
      </c>
      <c r="E40" s="68" t="s">
        <v>57</v>
      </c>
      <c r="F40" s="68"/>
      <c r="G40" s="68"/>
      <c r="H40" s="68"/>
      <c r="I40" s="68"/>
      <c r="J40" s="68"/>
      <c r="K40" s="248">
        <f>'Final allowances'!$G$72</f>
        <v>0</v>
      </c>
    </row>
    <row r="41" spans="1:11" x14ac:dyDescent="0.3">
      <c r="A41" s="248" t="s">
        <v>75</v>
      </c>
      <c r="B41" s="248" t="str">
        <f t="shared" si="7"/>
        <v>C_SSDC_WR_PR19CA004_OFWAT</v>
      </c>
      <c r="C41" s="248" t="s">
        <v>232</v>
      </c>
      <c r="D41" s="68" t="s">
        <v>2</v>
      </c>
      <c r="E41" s="68" t="s">
        <v>57</v>
      </c>
      <c r="F41" s="68"/>
      <c r="G41" s="68"/>
      <c r="H41" s="68"/>
      <c r="I41" s="68"/>
      <c r="J41" s="68"/>
      <c r="K41" s="248">
        <f>'Final allowances'!$L$72</f>
        <v>0</v>
      </c>
    </row>
    <row r="42" spans="1:11" x14ac:dyDescent="0.3">
      <c r="A42" s="248" t="s">
        <v>75</v>
      </c>
      <c r="B42" s="248" t="str">
        <f t="shared" si="7"/>
        <v>C_SSDC_WN_PR19CA004_OFWAT</v>
      </c>
      <c r="C42" s="248" t="s">
        <v>233</v>
      </c>
      <c r="D42" s="68" t="s">
        <v>2</v>
      </c>
      <c r="E42" s="68" t="s">
        <v>57</v>
      </c>
      <c r="F42" s="68"/>
      <c r="G42" s="68"/>
      <c r="H42" s="68"/>
      <c r="I42" s="68"/>
      <c r="J42" s="68"/>
      <c r="K42" s="248">
        <f>'Final allowances'!$M$72</f>
        <v>0</v>
      </c>
    </row>
    <row r="43" spans="1:11" x14ac:dyDescent="0.3">
      <c r="A43" s="248" t="s">
        <v>75</v>
      </c>
      <c r="B43" s="248" t="s">
        <v>331</v>
      </c>
      <c r="C43" s="248" t="s">
        <v>332</v>
      </c>
      <c r="D43" s="68" t="s">
        <v>2</v>
      </c>
      <c r="E43" s="68" t="s">
        <v>57</v>
      </c>
      <c r="F43" s="68"/>
      <c r="G43" s="68"/>
      <c r="H43" s="68"/>
      <c r="I43" s="68"/>
      <c r="J43" s="68"/>
      <c r="K43" s="248">
        <f>'Final allowances'!$P$72</f>
        <v>0.44647090966237846</v>
      </c>
    </row>
    <row r="44" spans="1:11" x14ac:dyDescent="0.3">
      <c r="A44" s="248" t="s">
        <v>75</v>
      </c>
      <c r="B44" s="248" t="s">
        <v>333</v>
      </c>
      <c r="C44" s="248" t="s">
        <v>334</v>
      </c>
      <c r="D44" s="68" t="s">
        <v>2</v>
      </c>
      <c r="E44" s="68" t="s">
        <v>57</v>
      </c>
      <c r="F44" s="68"/>
      <c r="G44" s="68"/>
      <c r="H44" s="68"/>
      <c r="I44" s="68"/>
      <c r="J44" s="68"/>
      <c r="K44" s="248">
        <f>'Final allowances'!$O$72</f>
        <v>0</v>
      </c>
    </row>
    <row r="45" spans="1:11" x14ac:dyDescent="0.3">
      <c r="A45" s="248" t="s">
        <v>75</v>
      </c>
      <c r="B45" s="248" t="str">
        <f xml:space="preserve"> B20</f>
        <v xml:space="preserve">C_WRPDR_PR19CA004 </v>
      </c>
      <c r="C45" s="248" t="s">
        <v>109</v>
      </c>
      <c r="D45" s="68" t="s">
        <v>2</v>
      </c>
      <c r="E45" s="68" t="s">
        <v>57</v>
      </c>
      <c r="F45" s="68">
        <f xml:space="preserve"> INDEX( PDR!$D$5:$D$89, MATCH(F_Outputs!$A45 &amp; RIGHT( F_Outputs!F$2, 2),PDR!$A$5:$A$89, 0 ) )</f>
        <v>6.1363829318356706E-4</v>
      </c>
      <c r="G45" s="68">
        <f xml:space="preserve"> INDEX( PDR!$D$5:$D$89, MATCH(F_Outputs!$A45 &amp; RIGHT( F_Outputs!G$2, 2),PDR!$A$5:$A$89, 0 ) )</f>
        <v>6.1363829318356706E-4</v>
      </c>
      <c r="H45" s="68">
        <f xml:space="preserve"> INDEX( PDR!$D$5:$D$89, MATCH(F_Outputs!$A45 &amp; RIGHT( F_Outputs!H$2, 2),PDR!$A$5:$A$89, 0 ) )</f>
        <v>6.1363829318356706E-4</v>
      </c>
      <c r="I45" s="68">
        <f xml:space="preserve"> INDEX( PDR!$D$5:$D$89, MATCH(F_Outputs!$A45 &amp; RIGHT( F_Outputs!I$2, 2),PDR!$A$5:$A$89, 0 ) )</f>
        <v>6.1363829318356706E-4</v>
      </c>
      <c r="J45" s="68">
        <f xml:space="preserve"> INDEX( PDR!$D$5:$D$89, MATCH(F_Outputs!$A45 &amp; RIGHT( F_Outputs!J$2, 2),PDR!$A$5:$A$89, 0 ) )</f>
        <v>0</v>
      </c>
      <c r="K45" s="248"/>
    </row>
    <row r="46" spans="1:11" x14ac:dyDescent="0.3">
      <c r="A46" s="248" t="s">
        <v>75</v>
      </c>
      <c r="B46" s="248" t="str">
        <f xml:space="preserve"> B21</f>
        <v>C_WNPDR_PR19CA004</v>
      </c>
      <c r="C46" s="248" t="s">
        <v>110</v>
      </c>
      <c r="D46" s="68" t="s">
        <v>2</v>
      </c>
      <c r="E46" s="68" t="s">
        <v>57</v>
      </c>
      <c r="F46" s="68">
        <f>INDEX(PDR!$E$5:$E$89,MATCH(F_Outputs!$A46&amp;RIGHT(F_Outputs!F$2,2),PDR!$A$5:$A$89,0))</f>
        <v>0.25097806191207894</v>
      </c>
      <c r="G46" s="68">
        <f>INDEX(PDR!$E$5:$E$89,MATCH(F_Outputs!$A46&amp;RIGHT(F_Outputs!G$2,2),PDR!$A$5:$A$89,0))</f>
        <v>0.25097806191207894</v>
      </c>
      <c r="H46" s="68">
        <f>INDEX(PDR!$E$5:$E$89,MATCH(F_Outputs!$A46&amp;RIGHT(F_Outputs!H$2,2),PDR!$A$5:$A$89,0))</f>
        <v>0.25097806191207894</v>
      </c>
      <c r="I46" s="68">
        <f>INDEX(PDR!$E$5:$E$89,MATCH(F_Outputs!$A46&amp;RIGHT(F_Outputs!I$2,2),PDR!$A$5:$A$89,0))</f>
        <v>0.25097806191207894</v>
      </c>
      <c r="J46" s="68">
        <f>INDEX(PDR!$E$5:$E$89,MATCH(F_Outputs!$A46&amp;RIGHT(F_Outputs!J$2,2),PDR!$A$5:$A$89,0))</f>
        <v>0</v>
      </c>
      <c r="K46" s="248"/>
    </row>
    <row r="47" spans="1:11" x14ac:dyDescent="0.3">
      <c r="A47" s="248" t="s">
        <v>75</v>
      </c>
      <c r="B47" s="248" t="s">
        <v>193</v>
      </c>
      <c r="C47" s="248" t="s">
        <v>195</v>
      </c>
      <c r="D47" s="68" t="s">
        <v>2</v>
      </c>
      <c r="E47" s="68" t="s">
        <v>57</v>
      </c>
      <c r="F47" s="249">
        <f>K47/5</f>
        <v>3.6381685313551189</v>
      </c>
      <c r="G47" s="249">
        <f t="shared" ref="G47:J49" si="8">F47</f>
        <v>3.6381685313551189</v>
      </c>
      <c r="H47" s="249">
        <f t="shared" si="8"/>
        <v>3.6381685313551189</v>
      </c>
      <c r="I47" s="249">
        <f t="shared" si="8"/>
        <v>3.6381685313551189</v>
      </c>
      <c r="J47" s="249">
        <f t="shared" si="8"/>
        <v>3.6381685313551189</v>
      </c>
      <c r="K47" s="248">
        <f>INDEX('Final allowances'!$G$6:$G$22,MATCH(F_Outputs!A47,'Final allowances'!$B$6:$B$22,0))</f>
        <v>18.190842656775594</v>
      </c>
    </row>
    <row r="48" spans="1:11" x14ac:dyDescent="0.3">
      <c r="A48" s="248" t="s">
        <v>75</v>
      </c>
      <c r="B48" s="248" t="s">
        <v>194</v>
      </c>
      <c r="C48" s="248" t="s">
        <v>196</v>
      </c>
      <c r="D48" s="68" t="s">
        <v>2</v>
      </c>
      <c r="E48" s="68" t="s">
        <v>57</v>
      </c>
      <c r="F48" s="249">
        <f>K48/5</f>
        <v>21.1202797635259</v>
      </c>
      <c r="G48" s="249">
        <f t="shared" si="8"/>
        <v>21.1202797635259</v>
      </c>
      <c r="H48" s="249">
        <f t="shared" si="8"/>
        <v>21.1202797635259</v>
      </c>
      <c r="I48" s="249">
        <f t="shared" si="8"/>
        <v>21.1202797635259</v>
      </c>
      <c r="J48" s="249">
        <f t="shared" si="8"/>
        <v>21.1202797635259</v>
      </c>
      <c r="K48" s="248">
        <f>INDEX('Final allowances'!$H$6:$H$22,MATCH(F_Outputs!A48,'Final allowances'!$B$6:$B$22,0))</f>
        <v>105.6013988176295</v>
      </c>
    </row>
    <row r="49" spans="1:11" x14ac:dyDescent="0.3">
      <c r="A49" s="248" t="s">
        <v>75</v>
      </c>
      <c r="B49" s="248" t="s">
        <v>319</v>
      </c>
      <c r="C49" s="248" t="s">
        <v>320</v>
      </c>
      <c r="D49" s="68" t="s">
        <v>2</v>
      </c>
      <c r="E49" s="68" t="s">
        <v>57</v>
      </c>
      <c r="F49" s="249">
        <f>K49/5</f>
        <v>0</v>
      </c>
      <c r="G49" s="249">
        <f t="shared" si="8"/>
        <v>0</v>
      </c>
      <c r="H49" s="249">
        <f t="shared" si="8"/>
        <v>0</v>
      </c>
      <c r="I49" s="249">
        <f t="shared" si="8"/>
        <v>0</v>
      </c>
      <c r="J49" s="249">
        <f t="shared" si="8"/>
        <v>0</v>
      </c>
      <c r="K49" s="248">
        <f>INDEX('Final allowances'!$E$6:$E$22,MATCH(F_Outputs!A49,'Final allowances'!$B$6:$B$22,0))</f>
        <v>0</v>
      </c>
    </row>
    <row r="50" spans="1:11" x14ac:dyDescent="0.3">
      <c r="A50" s="248" t="s">
        <v>75</v>
      </c>
      <c r="B50" s="248" t="s">
        <v>197</v>
      </c>
      <c r="C50" s="248" t="s">
        <v>199</v>
      </c>
      <c r="D50" s="68" t="s">
        <v>2</v>
      </c>
      <c r="E50" s="68" t="s">
        <v>57</v>
      </c>
      <c r="F50" s="68">
        <f>K50/5</f>
        <v>1.4144695410523602</v>
      </c>
      <c r="G50" s="68">
        <f>F50</f>
        <v>1.4144695410523602</v>
      </c>
      <c r="H50" s="68">
        <f t="shared" ref="H50:J50" si="9">G50</f>
        <v>1.4144695410523602</v>
      </c>
      <c r="I50" s="68">
        <f t="shared" si="9"/>
        <v>1.4144695410523602</v>
      </c>
      <c r="J50" s="68">
        <f t="shared" si="9"/>
        <v>1.4144695410523602</v>
      </c>
      <c r="K50" s="248">
        <f>K37+K39+K41+K44</f>
        <v>7.0723477052618016</v>
      </c>
    </row>
    <row r="51" spans="1:11" x14ac:dyDescent="0.3">
      <c r="A51" s="248" t="s">
        <v>75</v>
      </c>
      <c r="B51" s="248" t="s">
        <v>198</v>
      </c>
      <c r="C51" s="248" t="s">
        <v>200</v>
      </c>
      <c r="D51" s="68" t="s">
        <v>2</v>
      </c>
      <c r="E51" s="68" t="s">
        <v>57</v>
      </c>
      <c r="F51" s="68">
        <f>K51/5</f>
        <v>1.7927424972148951</v>
      </c>
      <c r="G51" s="68">
        <f>F51</f>
        <v>1.7927424972148951</v>
      </c>
      <c r="H51" s="68">
        <f t="shared" ref="H51:J51" si="10">G51</f>
        <v>1.7927424972148951</v>
      </c>
      <c r="I51" s="68">
        <f t="shared" si="10"/>
        <v>1.7927424972148951</v>
      </c>
      <c r="J51" s="68">
        <f t="shared" si="10"/>
        <v>1.7927424972148951</v>
      </c>
      <c r="K51" s="248">
        <f>K38+K40+K42+K43</f>
        <v>8.9637124860744759</v>
      </c>
    </row>
    <row r="52" spans="1:11" ht="14.5" x14ac:dyDescent="0.3">
      <c r="A52" s="248" t="s">
        <v>75</v>
      </c>
      <c r="B52" s="68" t="s">
        <v>113</v>
      </c>
      <c r="C52" s="68" t="s">
        <v>98</v>
      </c>
      <c r="D52" s="68" t="s">
        <v>62</v>
      </c>
      <c r="E52" s="68" t="s">
        <v>57</v>
      </c>
      <c r="F52" s="250" t="str">
        <f ca="1">CONCATENATE("[…]", TEXT(NOW(),"dd/mm/yyy hh:mm:ss"))</f>
        <v>[…]11/12/2019 16:31:19</v>
      </c>
      <c r="G52" s="250" t="str">
        <f t="shared" ref="G52:K52" ca="1" si="11">CONCATENATE("[…]", TEXT(NOW(),"dd/mm/yyy hh:mm:ss"))</f>
        <v>[…]11/12/2019 16:31:19</v>
      </c>
      <c r="H52" s="250" t="str">
        <f t="shared" ca="1" si="11"/>
        <v>[…]11/12/2019 16:31:19</v>
      </c>
      <c r="I52" s="250" t="str">
        <f t="shared" ca="1" si="11"/>
        <v>[…]11/12/2019 16:31:19</v>
      </c>
      <c r="J52" s="250" t="str">
        <f t="shared" ca="1" si="11"/>
        <v>[…]11/12/2019 16:31:19</v>
      </c>
      <c r="K52" s="250" t="str">
        <f t="shared" ca="1" si="11"/>
        <v>[…]11/12/2019 16:31:19</v>
      </c>
    </row>
    <row r="53" spans="1:11" x14ac:dyDescent="0.3">
      <c r="A53" s="248" t="s">
        <v>75</v>
      </c>
      <c r="B53" s="68" t="s">
        <v>114</v>
      </c>
      <c r="C53" s="68" t="s">
        <v>99</v>
      </c>
      <c r="D53" s="68" t="s">
        <v>62</v>
      </c>
      <c r="E53" s="68" t="s">
        <v>57</v>
      </c>
      <c r="F53" s="251" t="s">
        <v>316</v>
      </c>
      <c r="G53" s="251" t="s">
        <v>316</v>
      </c>
      <c r="H53" s="251" t="s">
        <v>316</v>
      </c>
      <c r="I53" s="251" t="s">
        <v>316</v>
      </c>
      <c r="J53" s="251" t="s">
        <v>316</v>
      </c>
      <c r="K53" s="251" t="s">
        <v>316</v>
      </c>
    </row>
    <row r="54" spans="1:11" x14ac:dyDescent="0.3">
      <c r="A54" s="248" t="s">
        <v>5</v>
      </c>
      <c r="B54" s="248" t="str">
        <f xml:space="preserve"> B29</f>
        <v>C_TBC_WR_PR19CA004_OFWAT</v>
      </c>
      <c r="C54" s="248" t="s">
        <v>215</v>
      </c>
      <c r="D54" s="68" t="s">
        <v>2</v>
      </c>
      <c r="E54" s="68" t="s">
        <v>57</v>
      </c>
      <c r="F54" s="68"/>
      <c r="G54" s="68"/>
      <c r="H54" s="68"/>
      <c r="I54" s="68"/>
      <c r="J54" s="68"/>
      <c r="K54" s="248">
        <f>'Final allowances'!$O$29</f>
        <v>246.32612396647522</v>
      </c>
    </row>
    <row r="55" spans="1:11" x14ac:dyDescent="0.3">
      <c r="A55" s="248" t="s">
        <v>5</v>
      </c>
      <c r="B55" s="248" t="str">
        <f xml:space="preserve"> B30</f>
        <v>C_TBC_WN_PR19CA004_OFWAT</v>
      </c>
      <c r="C55" s="248" t="s">
        <v>217</v>
      </c>
      <c r="D55" s="68" t="s">
        <v>2</v>
      </c>
      <c r="E55" s="68" t="s">
        <v>57</v>
      </c>
      <c r="F55" s="68"/>
      <c r="G55" s="68"/>
      <c r="H55" s="68"/>
      <c r="I55" s="68"/>
      <c r="J55" s="68"/>
      <c r="K55" s="248">
        <f>'Final allowances'!$P$29</f>
        <v>1212.8576110218025</v>
      </c>
    </row>
    <row r="56" spans="1:11" x14ac:dyDescent="0.3">
      <c r="A56" s="248" t="s">
        <v>5</v>
      </c>
      <c r="B56" s="248" t="s">
        <v>317</v>
      </c>
      <c r="C56" s="248" t="s">
        <v>236</v>
      </c>
      <c r="D56" s="68" t="s">
        <v>2</v>
      </c>
      <c r="E56" s="68" t="s">
        <v>57</v>
      </c>
      <c r="F56" s="68"/>
      <c r="G56" s="68"/>
      <c r="H56" s="68"/>
      <c r="I56" s="68"/>
      <c r="J56" s="68"/>
      <c r="K56" s="248">
        <f>'Final allowances'!$L$29</f>
        <v>27.147246869661146</v>
      </c>
    </row>
    <row r="57" spans="1:11" x14ac:dyDescent="0.3">
      <c r="A57" s="248" t="s">
        <v>5</v>
      </c>
      <c r="B57" s="248" t="s">
        <v>318</v>
      </c>
      <c r="C57" s="248" t="s">
        <v>237</v>
      </c>
      <c r="D57" s="68" t="s">
        <v>2</v>
      </c>
      <c r="E57" s="68" t="s">
        <v>57</v>
      </c>
      <c r="F57" s="68"/>
      <c r="G57" s="68"/>
      <c r="H57" s="68"/>
      <c r="I57" s="68"/>
      <c r="J57" s="68"/>
      <c r="K57" s="248">
        <f>'Final allowances'!$M$29</f>
        <v>171.05809266190118</v>
      </c>
    </row>
    <row r="58" spans="1:11" x14ac:dyDescent="0.3">
      <c r="A58" s="248" t="s">
        <v>5</v>
      </c>
      <c r="B58" s="248" t="s">
        <v>327</v>
      </c>
      <c r="C58" s="248" t="s">
        <v>329</v>
      </c>
      <c r="D58" s="68" t="s">
        <v>2</v>
      </c>
      <c r="E58" s="68" t="s">
        <v>57</v>
      </c>
      <c r="F58" s="68"/>
      <c r="G58" s="68"/>
      <c r="H58" s="68"/>
      <c r="I58" s="68"/>
      <c r="J58" s="68"/>
      <c r="K58" s="248">
        <f>'Final allowances'!$F$29</f>
        <v>131.33203118954901</v>
      </c>
    </row>
    <row r="59" spans="1:11" x14ac:dyDescent="0.3">
      <c r="A59" s="248" t="s">
        <v>5</v>
      </c>
      <c r="B59" s="248" t="s">
        <v>328</v>
      </c>
      <c r="C59" s="248" t="s">
        <v>330</v>
      </c>
      <c r="D59" s="68" t="s">
        <v>2</v>
      </c>
      <c r="E59" s="68" t="s">
        <v>57</v>
      </c>
      <c r="F59" s="68"/>
      <c r="G59" s="68"/>
      <c r="H59" s="68"/>
      <c r="I59" s="68"/>
      <c r="J59" s="68"/>
      <c r="K59" s="248">
        <f>'Final allowances'!$G$29</f>
        <v>1.2851826018993568</v>
      </c>
    </row>
    <row r="60" spans="1:11" x14ac:dyDescent="0.3">
      <c r="A60" s="248" t="s">
        <v>5</v>
      </c>
      <c r="B60" s="248" t="str">
        <f t="shared" ref="B60:B67" si="12" xml:space="preserve"> B35</f>
        <v>C_ENC_WR_PR19CA004_OFWAT</v>
      </c>
      <c r="C60" s="248" t="s">
        <v>226</v>
      </c>
      <c r="D60" s="68" t="s">
        <v>2</v>
      </c>
      <c r="E60" s="68" t="s">
        <v>57</v>
      </c>
      <c r="F60" s="68"/>
      <c r="G60" s="68"/>
      <c r="H60" s="68"/>
      <c r="I60" s="68"/>
      <c r="J60" s="68"/>
      <c r="K60" s="248">
        <f>'Final allowances'!$C$50</f>
        <v>14.505147517597724</v>
      </c>
    </row>
    <row r="61" spans="1:11" x14ac:dyDescent="0.3">
      <c r="A61" s="248" t="s">
        <v>5</v>
      </c>
      <c r="B61" s="248" t="str">
        <f t="shared" si="12"/>
        <v>C_ENC_WN_PR19CA004_OFWAT</v>
      </c>
      <c r="C61" s="248" t="s">
        <v>227</v>
      </c>
      <c r="D61" s="68" t="s">
        <v>2</v>
      </c>
      <c r="E61" s="68" t="s">
        <v>57</v>
      </c>
      <c r="F61" s="68"/>
      <c r="G61" s="68"/>
      <c r="H61" s="68"/>
      <c r="I61" s="68"/>
      <c r="J61" s="68"/>
      <c r="K61" s="248">
        <f>'Final allowances'!$D$50</f>
        <v>155.215642</v>
      </c>
    </row>
    <row r="62" spans="1:11" x14ac:dyDescent="0.3">
      <c r="A62" s="248" t="s">
        <v>5</v>
      </c>
      <c r="B62" s="248" t="str">
        <f t="shared" si="12"/>
        <v>C_3PTYC_WR_PR19CA004_OFWAT</v>
      </c>
      <c r="C62" s="248" t="s">
        <v>228</v>
      </c>
      <c r="D62" s="68" t="s">
        <v>2</v>
      </c>
      <c r="E62" s="68" t="s">
        <v>57</v>
      </c>
      <c r="F62" s="68"/>
      <c r="G62" s="68"/>
      <c r="H62" s="68"/>
      <c r="I62" s="68"/>
      <c r="J62" s="68"/>
      <c r="K62" s="248">
        <f>'Final allowances'!$C$73</f>
        <v>24.131250597026998</v>
      </c>
    </row>
    <row r="63" spans="1:11" x14ac:dyDescent="0.3">
      <c r="A63" s="248" t="s">
        <v>5</v>
      </c>
      <c r="B63" s="248" t="str">
        <f t="shared" si="12"/>
        <v>C_3PTYC_WN_PR19CA004_OFWAT</v>
      </c>
      <c r="C63" s="248" t="s">
        <v>229</v>
      </c>
      <c r="D63" s="68" t="s">
        <v>2</v>
      </c>
      <c r="E63" s="68" t="s">
        <v>57</v>
      </c>
      <c r="F63" s="68"/>
      <c r="G63" s="68"/>
      <c r="H63" s="68"/>
      <c r="I63" s="68"/>
      <c r="J63" s="68"/>
      <c r="K63" s="248">
        <f>'Final allowances'!$D$73</f>
        <v>15.456268034206319</v>
      </c>
    </row>
    <row r="64" spans="1:11" x14ac:dyDescent="0.3">
      <c r="A64" s="248" t="s">
        <v>5</v>
      </c>
      <c r="B64" s="248" t="str">
        <f t="shared" si="12"/>
        <v>C_CSH_WR_PR19CA004_OFWAT</v>
      </c>
      <c r="C64" s="248" t="s">
        <v>230</v>
      </c>
      <c r="D64" s="68" t="s">
        <v>2</v>
      </c>
      <c r="E64" s="68" t="s">
        <v>57</v>
      </c>
      <c r="F64" s="68"/>
      <c r="G64" s="68"/>
      <c r="H64" s="68"/>
      <c r="I64" s="68"/>
      <c r="J64" s="68"/>
      <c r="K64" s="248">
        <f>'Final allowances'!$F$73</f>
        <v>0</v>
      </c>
    </row>
    <row r="65" spans="1:11" x14ac:dyDescent="0.3">
      <c r="A65" s="248" t="s">
        <v>5</v>
      </c>
      <c r="B65" s="248" t="str">
        <f t="shared" si="12"/>
        <v>C_CSH_WN_PR19CA004_OFWAT</v>
      </c>
      <c r="C65" s="248" t="s">
        <v>231</v>
      </c>
      <c r="D65" s="68" t="s">
        <v>2</v>
      </c>
      <c r="E65" s="68" t="s">
        <v>57</v>
      </c>
      <c r="F65" s="68"/>
      <c r="G65" s="68"/>
      <c r="H65" s="68"/>
      <c r="I65" s="68"/>
      <c r="J65" s="68"/>
      <c r="K65" s="248">
        <f>'Final allowances'!$G$73</f>
        <v>0</v>
      </c>
    </row>
    <row r="66" spans="1:11" x14ac:dyDescent="0.3">
      <c r="A66" s="248" t="s">
        <v>5</v>
      </c>
      <c r="B66" s="248" t="str">
        <f t="shared" si="12"/>
        <v>C_SSDC_WR_PR19CA004_OFWAT</v>
      </c>
      <c r="C66" s="248" t="s">
        <v>232</v>
      </c>
      <c r="D66" s="68" t="s">
        <v>2</v>
      </c>
      <c r="E66" s="68" t="s">
        <v>57</v>
      </c>
      <c r="F66" s="68"/>
      <c r="G66" s="68"/>
      <c r="H66" s="68"/>
      <c r="I66" s="68"/>
      <c r="J66" s="68"/>
      <c r="K66" s="248">
        <f>'Final allowances'!$L$73</f>
        <v>0</v>
      </c>
    </row>
    <row r="67" spans="1:11" x14ac:dyDescent="0.3">
      <c r="A67" s="248" t="s">
        <v>5</v>
      </c>
      <c r="B67" s="248" t="str">
        <f t="shared" si="12"/>
        <v>C_SSDC_WN_PR19CA004_OFWAT</v>
      </c>
      <c r="C67" s="248" t="s">
        <v>233</v>
      </c>
      <c r="D67" s="68" t="s">
        <v>2</v>
      </c>
      <c r="E67" s="68" t="s">
        <v>57</v>
      </c>
      <c r="F67" s="68"/>
      <c r="G67" s="68"/>
      <c r="H67" s="68"/>
      <c r="I67" s="68"/>
      <c r="J67" s="68"/>
      <c r="K67" s="248">
        <f>'Final allowances'!$M$73</f>
        <v>0</v>
      </c>
    </row>
    <row r="68" spans="1:11" x14ac:dyDescent="0.3">
      <c r="A68" s="248" t="s">
        <v>5</v>
      </c>
      <c r="B68" s="248" t="s">
        <v>331</v>
      </c>
      <c r="C68" s="248" t="s">
        <v>332</v>
      </c>
      <c r="D68" s="68" t="s">
        <v>2</v>
      </c>
      <c r="E68" s="68" t="s">
        <v>57</v>
      </c>
      <c r="F68" s="68"/>
      <c r="G68" s="68"/>
      <c r="H68" s="68"/>
      <c r="I68" s="68"/>
      <c r="J68" s="68"/>
      <c r="K68" s="248">
        <f>'Final allowances'!$P$73</f>
        <v>4.1047953406118953</v>
      </c>
    </row>
    <row r="69" spans="1:11" x14ac:dyDescent="0.3">
      <c r="A69" s="248" t="s">
        <v>5</v>
      </c>
      <c r="B69" s="248" t="s">
        <v>333</v>
      </c>
      <c r="C69" s="248" t="s">
        <v>334</v>
      </c>
      <c r="D69" s="68" t="s">
        <v>2</v>
      </c>
      <c r="E69" s="68" t="s">
        <v>57</v>
      </c>
      <c r="F69" s="68"/>
      <c r="G69" s="68"/>
      <c r="H69" s="68"/>
      <c r="I69" s="68"/>
      <c r="J69" s="68"/>
      <c r="K69" s="248">
        <f>'Final allowances'!$O$73</f>
        <v>0</v>
      </c>
    </row>
    <row r="70" spans="1:11" x14ac:dyDescent="0.3">
      <c r="A70" s="248" t="s">
        <v>5</v>
      </c>
      <c r="B70" s="248" t="str">
        <f xml:space="preserve"> B45</f>
        <v xml:space="preserve">C_WRPDR_PR19CA004 </v>
      </c>
      <c r="C70" s="248" t="s">
        <v>109</v>
      </c>
      <c r="D70" s="68" t="s">
        <v>2</v>
      </c>
      <c r="E70" s="68" t="s">
        <v>57</v>
      </c>
      <c r="F70" s="68">
        <f xml:space="preserve"> INDEX( PDR!$D$5:$D$89, MATCH(F_Outputs!$A70 &amp; RIGHT( F_Outputs!F$2, 2),PDR!$A$5:$A$89, 0 ) )</f>
        <v>0.32511117409719131</v>
      </c>
      <c r="G70" s="68">
        <f xml:space="preserve"> INDEX( PDR!$D$5:$D$89, MATCH(F_Outputs!$A70 &amp; RIGHT( F_Outputs!G$2, 2),PDR!$A$5:$A$89, 0 ) )</f>
        <v>0.32535903207162398</v>
      </c>
      <c r="H70" s="68">
        <f xml:space="preserve"> INDEX( PDR!$D$5:$D$89, MATCH(F_Outputs!$A70 &amp; RIGHT( F_Outputs!H$2, 2),PDR!$A$5:$A$89, 0 ) )</f>
        <v>0.32547442144671251</v>
      </c>
      <c r="I70" s="68">
        <f xml:space="preserve"> INDEX( PDR!$D$5:$D$89, MATCH(F_Outputs!$A70 &amp; RIGHT( F_Outputs!I$2, 2),PDR!$A$5:$A$89, 0 ) )</f>
        <v>0.32553079945815833</v>
      </c>
      <c r="J70" s="68">
        <f xml:space="preserve"> INDEX( PDR!$D$5:$D$89, MATCH(F_Outputs!$A70 &amp; RIGHT( F_Outputs!J$2, 2),PDR!$A$5:$A$89, 0 ) )</f>
        <v>0.32502939546141285</v>
      </c>
      <c r="K70" s="248"/>
    </row>
    <row r="71" spans="1:11" x14ac:dyDescent="0.3">
      <c r="A71" s="248" t="s">
        <v>5</v>
      </c>
      <c r="B71" s="248" t="str">
        <f xml:space="preserve"> B46</f>
        <v>C_WNPDR_PR19CA004</v>
      </c>
      <c r="C71" s="248" t="s">
        <v>110</v>
      </c>
      <c r="D71" s="68" t="s">
        <v>2</v>
      </c>
      <c r="E71" s="68" t="s">
        <v>57</v>
      </c>
      <c r="F71" s="68">
        <f>INDEX(PDR!$E$5:$E$89,MATCH(F_Outputs!$A71&amp;RIGHT(F_Outputs!F$2,2),PDR!$A$5:$A$89,0))</f>
        <v>4.8406331217180325</v>
      </c>
      <c r="G71" s="68">
        <f>INDEX(PDR!$E$5:$E$89,MATCH(F_Outputs!$A71&amp;RIGHT(F_Outputs!G$2,2),PDR!$A$5:$A$89,0))</f>
        <v>4.8407880329520534</v>
      </c>
      <c r="H71" s="68">
        <f>INDEX(PDR!$E$5:$E$89,MATCH(F_Outputs!$A71&amp;RIGHT(F_Outputs!H$2,2),PDR!$A$5:$A$89,0))</f>
        <v>4.840288283603118</v>
      </c>
      <c r="I71" s="68">
        <f>INDEX(PDR!$E$5:$E$89,MATCH(F_Outputs!$A71&amp;RIGHT(F_Outputs!I$2,2),PDR!$A$5:$A$89,0))</f>
        <v>4.8402482090408876</v>
      </c>
      <c r="J71" s="68">
        <f>INDEX(PDR!$E$5:$E$89,MATCH(F_Outputs!$A71&amp;RIGHT(F_Outputs!J$2,2),PDR!$A$5:$A$89,0))</f>
        <v>4.8408224164282609</v>
      </c>
      <c r="K71" s="248"/>
    </row>
    <row r="72" spans="1:11" x14ac:dyDescent="0.3">
      <c r="A72" s="248" t="s">
        <v>5</v>
      </c>
      <c r="B72" s="248" t="s">
        <v>193</v>
      </c>
      <c r="C72" s="248" t="s">
        <v>195</v>
      </c>
      <c r="D72" s="68" t="s">
        <v>2</v>
      </c>
      <c r="E72" s="68" t="s">
        <v>57</v>
      </c>
      <c r="F72" s="249">
        <f>K72/5</f>
        <v>52.166254296814586</v>
      </c>
      <c r="G72" s="249">
        <f t="shared" ref="G72:J74" si="13">F72</f>
        <v>52.166254296814586</v>
      </c>
      <c r="H72" s="249">
        <f t="shared" si="13"/>
        <v>52.166254296814586</v>
      </c>
      <c r="I72" s="249">
        <f t="shared" si="13"/>
        <v>52.166254296814586</v>
      </c>
      <c r="J72" s="249">
        <f t="shared" si="13"/>
        <v>52.166254296814586</v>
      </c>
      <c r="K72" s="248">
        <f>INDEX('Final allowances'!$G$6:$G$22,MATCH(F_Outputs!A72,'Final allowances'!$B$6:$B$22,0))</f>
        <v>260.83127148407294</v>
      </c>
    </row>
    <row r="73" spans="1:11" x14ac:dyDescent="0.3">
      <c r="A73" s="248" t="s">
        <v>5</v>
      </c>
      <c r="B73" s="248" t="s">
        <v>194</v>
      </c>
      <c r="C73" s="248" t="s">
        <v>196</v>
      </c>
      <c r="D73" s="68" t="s">
        <v>2</v>
      </c>
      <c r="E73" s="68" t="s">
        <v>57</v>
      </c>
      <c r="F73" s="249">
        <f>K73/5</f>
        <v>273.61465060436046</v>
      </c>
      <c r="G73" s="249">
        <f t="shared" si="13"/>
        <v>273.61465060436046</v>
      </c>
      <c r="H73" s="249">
        <f t="shared" si="13"/>
        <v>273.61465060436046</v>
      </c>
      <c r="I73" s="249">
        <f t="shared" si="13"/>
        <v>273.61465060436046</v>
      </c>
      <c r="J73" s="249">
        <f t="shared" si="13"/>
        <v>273.61465060436046</v>
      </c>
      <c r="K73" s="248">
        <f>INDEX('Final allowances'!$H$6:$H$22,MATCH(F_Outputs!A73,'Final allowances'!$B$6:$B$22,0))</f>
        <v>1368.0732530218024</v>
      </c>
    </row>
    <row r="74" spans="1:11" x14ac:dyDescent="0.3">
      <c r="A74" s="248" t="s">
        <v>5</v>
      </c>
      <c r="B74" s="248" t="s">
        <v>319</v>
      </c>
      <c r="C74" s="248" t="s">
        <v>320</v>
      </c>
      <c r="D74" s="68" t="s">
        <v>2</v>
      </c>
      <c r="E74" s="68" t="s">
        <v>57</v>
      </c>
      <c r="F74" s="249">
        <f>K74/5</f>
        <v>0</v>
      </c>
      <c r="G74" s="249">
        <f t="shared" si="13"/>
        <v>0</v>
      </c>
      <c r="H74" s="249">
        <f t="shared" si="13"/>
        <v>0</v>
      </c>
      <c r="I74" s="249">
        <f t="shared" si="13"/>
        <v>0</v>
      </c>
      <c r="J74" s="249">
        <f t="shared" si="13"/>
        <v>0</v>
      </c>
      <c r="K74" s="248">
        <f>INDEX('Final allowances'!$E$6:$E$22,MATCH(F_Outputs!A74,'Final allowances'!$B$6:$B$22,0))</f>
        <v>0</v>
      </c>
    </row>
    <row r="75" spans="1:11" x14ac:dyDescent="0.3">
      <c r="A75" s="248" t="s">
        <v>5</v>
      </c>
      <c r="B75" s="248" t="s">
        <v>197</v>
      </c>
      <c r="C75" s="248" t="s">
        <v>199</v>
      </c>
      <c r="D75" s="68" t="s">
        <v>2</v>
      </c>
      <c r="E75" s="68" t="s">
        <v>57</v>
      </c>
      <c r="F75" s="68">
        <f>K75/5</f>
        <v>4.8262501194053993</v>
      </c>
      <c r="G75" s="68">
        <f>F75</f>
        <v>4.8262501194053993</v>
      </c>
      <c r="H75" s="68">
        <f t="shared" ref="H75:J75" si="14">G75</f>
        <v>4.8262501194053993</v>
      </c>
      <c r="I75" s="68">
        <f t="shared" si="14"/>
        <v>4.8262501194053993</v>
      </c>
      <c r="J75" s="68">
        <f t="shared" si="14"/>
        <v>4.8262501194053993</v>
      </c>
      <c r="K75" s="248">
        <f>K62+K64+K66+K69</f>
        <v>24.131250597026998</v>
      </c>
    </row>
    <row r="76" spans="1:11" x14ac:dyDescent="0.3">
      <c r="A76" s="248" t="s">
        <v>5</v>
      </c>
      <c r="B76" s="248" t="s">
        <v>198</v>
      </c>
      <c r="C76" s="248" t="s">
        <v>200</v>
      </c>
      <c r="D76" s="68" t="s">
        <v>2</v>
      </c>
      <c r="E76" s="68" t="s">
        <v>57</v>
      </c>
      <c r="F76" s="68">
        <f>K76/5</f>
        <v>3.912212674963643</v>
      </c>
      <c r="G76" s="68">
        <f>F76</f>
        <v>3.912212674963643</v>
      </c>
      <c r="H76" s="68">
        <f t="shared" ref="H76:J76" si="15">G76</f>
        <v>3.912212674963643</v>
      </c>
      <c r="I76" s="68">
        <f t="shared" si="15"/>
        <v>3.912212674963643</v>
      </c>
      <c r="J76" s="68">
        <f t="shared" si="15"/>
        <v>3.912212674963643</v>
      </c>
      <c r="K76" s="248">
        <f>K63+K65+K67+K68</f>
        <v>19.561063374818215</v>
      </c>
    </row>
    <row r="77" spans="1:11" ht="14.5" x14ac:dyDescent="0.3">
      <c r="A77" s="248" t="s">
        <v>5</v>
      </c>
      <c r="B77" s="68" t="s">
        <v>113</v>
      </c>
      <c r="C77" s="68" t="s">
        <v>98</v>
      </c>
      <c r="D77" s="68" t="s">
        <v>62</v>
      </c>
      <c r="E77" s="68" t="s">
        <v>57</v>
      </c>
      <c r="F77" s="250" t="str">
        <f ca="1">CONCATENATE("[…]", TEXT(NOW(),"dd/mm/yyy hh:mm:ss"))</f>
        <v>[…]11/12/2019 16:31:19</v>
      </c>
      <c r="G77" s="250" t="str">
        <f t="shared" ref="G77:K77" ca="1" si="16">CONCATENATE("[…]", TEXT(NOW(),"dd/mm/yyy hh:mm:ss"))</f>
        <v>[…]11/12/2019 16:31:19</v>
      </c>
      <c r="H77" s="250" t="str">
        <f t="shared" ca="1" si="16"/>
        <v>[…]11/12/2019 16:31:19</v>
      </c>
      <c r="I77" s="250" t="str">
        <f t="shared" ca="1" si="16"/>
        <v>[…]11/12/2019 16:31:19</v>
      </c>
      <c r="J77" s="250" t="str">
        <f t="shared" ca="1" si="16"/>
        <v>[…]11/12/2019 16:31:19</v>
      </c>
      <c r="K77" s="250" t="str">
        <f t="shared" ca="1" si="16"/>
        <v>[…]11/12/2019 16:31:19</v>
      </c>
    </row>
    <row r="78" spans="1:11" x14ac:dyDescent="0.3">
      <c r="A78" s="248" t="s">
        <v>5</v>
      </c>
      <c r="B78" s="68" t="s">
        <v>114</v>
      </c>
      <c r="C78" s="68" t="s">
        <v>99</v>
      </c>
      <c r="D78" s="68" t="s">
        <v>62</v>
      </c>
      <c r="E78" s="68" t="s">
        <v>57</v>
      </c>
      <c r="F78" s="251" t="s">
        <v>316</v>
      </c>
      <c r="G78" s="251" t="s">
        <v>316</v>
      </c>
      <c r="H78" s="251" t="s">
        <v>316</v>
      </c>
      <c r="I78" s="251" t="s">
        <v>316</v>
      </c>
      <c r="J78" s="251" t="s">
        <v>316</v>
      </c>
      <c r="K78" s="251" t="s">
        <v>316</v>
      </c>
    </row>
    <row r="79" spans="1:11" x14ac:dyDescent="0.3">
      <c r="A79" s="248" t="s">
        <v>6</v>
      </c>
      <c r="B79" s="248" t="str">
        <f xml:space="preserve"> B54</f>
        <v>C_TBC_WR_PR19CA004_OFWAT</v>
      </c>
      <c r="C79" s="248" t="s">
        <v>215</v>
      </c>
      <c r="D79" s="68" t="s">
        <v>2</v>
      </c>
      <c r="E79" s="68" t="s">
        <v>57</v>
      </c>
      <c r="F79" s="68"/>
      <c r="G79" s="68"/>
      <c r="H79" s="68"/>
      <c r="I79" s="68"/>
      <c r="J79" s="68"/>
      <c r="K79" s="248">
        <f>'Final allowances'!$O$30</f>
        <v>360.66322630007875</v>
      </c>
    </row>
    <row r="80" spans="1:11" x14ac:dyDescent="0.3">
      <c r="A80" s="248" t="s">
        <v>6</v>
      </c>
      <c r="B80" s="248" t="str">
        <f xml:space="preserve"> B55</f>
        <v>C_TBC_WN_PR19CA004_OFWAT</v>
      </c>
      <c r="C80" s="248" t="s">
        <v>217</v>
      </c>
      <c r="D80" s="68" t="s">
        <v>2</v>
      </c>
      <c r="E80" s="68" t="s">
        <v>57</v>
      </c>
      <c r="F80" s="68"/>
      <c r="G80" s="68"/>
      <c r="H80" s="68"/>
      <c r="I80" s="68"/>
      <c r="J80" s="68"/>
      <c r="K80" s="248">
        <f>'Final allowances'!$P$30</f>
        <v>1946.1599330235874</v>
      </c>
    </row>
    <row r="81" spans="1:11" x14ac:dyDescent="0.3">
      <c r="A81" s="248" t="s">
        <v>6</v>
      </c>
      <c r="B81" s="248" t="s">
        <v>317</v>
      </c>
      <c r="C81" s="248" t="s">
        <v>236</v>
      </c>
      <c r="D81" s="68" t="s">
        <v>2</v>
      </c>
      <c r="E81" s="68" t="s">
        <v>57</v>
      </c>
      <c r="F81" s="68"/>
      <c r="G81" s="68"/>
      <c r="H81" s="68"/>
      <c r="I81" s="68"/>
      <c r="J81" s="68"/>
      <c r="K81" s="248">
        <f>'Final allowances'!$L$30</f>
        <v>85.201741702138932</v>
      </c>
    </row>
    <row r="82" spans="1:11" x14ac:dyDescent="0.3">
      <c r="A82" s="248" t="s">
        <v>6</v>
      </c>
      <c r="B82" s="248" t="s">
        <v>318</v>
      </c>
      <c r="C82" s="248" t="s">
        <v>237</v>
      </c>
      <c r="D82" s="68" t="s">
        <v>2</v>
      </c>
      <c r="E82" s="68" t="s">
        <v>57</v>
      </c>
      <c r="F82" s="68"/>
      <c r="G82" s="68"/>
      <c r="H82" s="68"/>
      <c r="I82" s="68"/>
      <c r="J82" s="68"/>
      <c r="K82" s="248">
        <f>'Final allowances'!$M$30</f>
        <v>223.32987922425781</v>
      </c>
    </row>
    <row r="83" spans="1:11" x14ac:dyDescent="0.3">
      <c r="A83" s="248" t="s">
        <v>6</v>
      </c>
      <c r="B83" s="248" t="s">
        <v>327</v>
      </c>
      <c r="C83" s="248" t="s">
        <v>329</v>
      </c>
      <c r="D83" s="68" t="s">
        <v>2</v>
      </c>
      <c r="E83" s="68" t="s">
        <v>57</v>
      </c>
      <c r="F83" s="68"/>
      <c r="G83" s="68"/>
      <c r="H83" s="68"/>
      <c r="I83" s="68"/>
      <c r="J83" s="68"/>
      <c r="K83" s="248">
        <f>'Final allowances'!$F$30</f>
        <v>80.633391856264183</v>
      </c>
    </row>
    <row r="84" spans="1:11" x14ac:dyDescent="0.3">
      <c r="A84" s="248" t="s">
        <v>6</v>
      </c>
      <c r="B84" s="248" t="s">
        <v>328</v>
      </c>
      <c r="C84" s="248" t="s">
        <v>330</v>
      </c>
      <c r="D84" s="68" t="s">
        <v>2</v>
      </c>
      <c r="E84" s="68" t="s">
        <v>57</v>
      </c>
      <c r="F84" s="68"/>
      <c r="G84" s="68"/>
      <c r="H84" s="68"/>
      <c r="I84" s="68"/>
      <c r="J84" s="68"/>
      <c r="K84" s="248">
        <f>'Final allowances'!$G$30</f>
        <v>1.4738186483043141</v>
      </c>
    </row>
    <row r="85" spans="1:11" x14ac:dyDescent="0.3">
      <c r="A85" s="248" t="s">
        <v>6</v>
      </c>
      <c r="B85" s="248" t="str">
        <f t="shared" ref="B85:B92" si="17" xml:space="preserve"> B60</f>
        <v>C_ENC_WR_PR19CA004_OFWAT</v>
      </c>
      <c r="C85" s="248" t="s">
        <v>226</v>
      </c>
      <c r="D85" s="68" t="s">
        <v>2</v>
      </c>
      <c r="E85" s="68" t="s">
        <v>57</v>
      </c>
      <c r="F85" s="68"/>
      <c r="G85" s="68"/>
      <c r="H85" s="68"/>
      <c r="I85" s="68"/>
      <c r="J85" s="68"/>
      <c r="K85" s="248">
        <f>'Final allowances'!$C$51</f>
        <v>25.28162432176622</v>
      </c>
    </row>
    <row r="86" spans="1:11" x14ac:dyDescent="0.3">
      <c r="A86" s="248" t="s">
        <v>6</v>
      </c>
      <c r="B86" s="248" t="str">
        <f t="shared" si="17"/>
        <v>C_ENC_WN_PR19CA004_OFWAT</v>
      </c>
      <c r="C86" s="248" t="s">
        <v>227</v>
      </c>
      <c r="D86" s="68" t="s">
        <v>2</v>
      </c>
      <c r="E86" s="68" t="s">
        <v>57</v>
      </c>
      <c r="F86" s="68"/>
      <c r="G86" s="68"/>
      <c r="H86" s="68"/>
      <c r="I86" s="68"/>
      <c r="J86" s="68"/>
      <c r="K86" s="248">
        <f>'Final allowances'!$D$51</f>
        <v>160.1013610838981</v>
      </c>
    </row>
    <row r="87" spans="1:11" x14ac:dyDescent="0.3">
      <c r="A87" s="248" t="s">
        <v>6</v>
      </c>
      <c r="B87" s="248" t="str">
        <f t="shared" si="17"/>
        <v>C_3PTYC_WR_PR19CA004_OFWAT</v>
      </c>
      <c r="C87" s="248" t="s">
        <v>228</v>
      </c>
      <c r="D87" s="68" t="s">
        <v>2</v>
      </c>
      <c r="E87" s="68" t="s">
        <v>57</v>
      </c>
      <c r="F87" s="68"/>
      <c r="G87" s="68"/>
      <c r="H87" s="68"/>
      <c r="I87" s="68"/>
      <c r="J87" s="68"/>
      <c r="K87" s="248">
        <f>'Final allowances'!$C$74</f>
        <v>2.9504630216648089E-2</v>
      </c>
    </row>
    <row r="88" spans="1:11" x14ac:dyDescent="0.3">
      <c r="A88" s="248" t="s">
        <v>6</v>
      </c>
      <c r="B88" s="248" t="str">
        <f t="shared" si="17"/>
        <v>C_3PTYC_WN_PR19CA004_OFWAT</v>
      </c>
      <c r="C88" s="248" t="s">
        <v>229</v>
      </c>
      <c r="D88" s="68" t="s">
        <v>2</v>
      </c>
      <c r="E88" s="68" t="s">
        <v>57</v>
      </c>
      <c r="F88" s="68"/>
      <c r="G88" s="68"/>
      <c r="H88" s="68"/>
      <c r="I88" s="68"/>
      <c r="J88" s="68"/>
      <c r="K88" s="248">
        <f>'Final allowances'!$D$74</f>
        <v>6.26828901964672</v>
      </c>
    </row>
    <row r="89" spans="1:11" x14ac:dyDescent="0.3">
      <c r="A89" s="248" t="s">
        <v>6</v>
      </c>
      <c r="B89" s="248" t="str">
        <f t="shared" si="17"/>
        <v>C_CSH_WR_PR19CA004_OFWAT</v>
      </c>
      <c r="C89" s="248" t="s">
        <v>230</v>
      </c>
      <c r="D89" s="68" t="s">
        <v>2</v>
      </c>
      <c r="E89" s="68" t="s">
        <v>57</v>
      </c>
      <c r="F89" s="68"/>
      <c r="G89" s="68"/>
      <c r="H89" s="68"/>
      <c r="I89" s="68"/>
      <c r="J89" s="68"/>
      <c r="K89" s="248">
        <f>'Final allowances'!$F$74</f>
        <v>0</v>
      </c>
    </row>
    <row r="90" spans="1:11" x14ac:dyDescent="0.3">
      <c r="A90" s="248" t="s">
        <v>6</v>
      </c>
      <c r="B90" s="248" t="str">
        <f t="shared" si="17"/>
        <v>C_CSH_WN_PR19CA004_OFWAT</v>
      </c>
      <c r="C90" s="248" t="s">
        <v>231</v>
      </c>
      <c r="D90" s="68" t="s">
        <v>2</v>
      </c>
      <c r="E90" s="68" t="s">
        <v>57</v>
      </c>
      <c r="F90" s="68"/>
      <c r="G90" s="68"/>
      <c r="H90" s="68"/>
      <c r="I90" s="68"/>
      <c r="J90" s="68"/>
      <c r="K90" s="248">
        <f>'Final allowances'!$G$74</f>
        <v>0</v>
      </c>
    </row>
    <row r="91" spans="1:11" x14ac:dyDescent="0.3">
      <c r="A91" s="248" t="s">
        <v>6</v>
      </c>
      <c r="B91" s="248" t="str">
        <f t="shared" si="17"/>
        <v>C_SSDC_WR_PR19CA004_OFWAT</v>
      </c>
      <c r="C91" s="248" t="s">
        <v>232</v>
      </c>
      <c r="D91" s="68" t="s">
        <v>2</v>
      </c>
      <c r="E91" s="68" t="s">
        <v>57</v>
      </c>
      <c r="F91" s="68"/>
      <c r="G91" s="68"/>
      <c r="H91" s="68"/>
      <c r="I91" s="68"/>
      <c r="J91" s="68"/>
      <c r="K91" s="248">
        <f>'Final allowances'!$L$74</f>
        <v>44.098333333333329</v>
      </c>
    </row>
    <row r="92" spans="1:11" x14ac:dyDescent="0.3">
      <c r="A92" s="248" t="s">
        <v>6</v>
      </c>
      <c r="B92" s="248" t="str">
        <f t="shared" si="17"/>
        <v>C_SSDC_WN_PR19CA004_OFWAT</v>
      </c>
      <c r="C92" s="248" t="s">
        <v>233</v>
      </c>
      <c r="D92" s="68" t="s">
        <v>2</v>
      </c>
      <c r="E92" s="68" t="s">
        <v>57</v>
      </c>
      <c r="F92" s="68"/>
      <c r="G92" s="68"/>
      <c r="H92" s="68"/>
      <c r="I92" s="68"/>
      <c r="J92" s="68"/>
      <c r="K92" s="248">
        <f>'Final allowances'!$M$74</f>
        <v>0</v>
      </c>
    </row>
    <row r="93" spans="1:11" x14ac:dyDescent="0.3">
      <c r="A93" s="248" t="s">
        <v>6</v>
      </c>
      <c r="B93" s="248" t="s">
        <v>331</v>
      </c>
      <c r="C93" s="248" t="s">
        <v>332</v>
      </c>
      <c r="D93" s="68" t="s">
        <v>2</v>
      </c>
      <c r="E93" s="68" t="s">
        <v>57</v>
      </c>
      <c r="F93" s="68"/>
      <c r="G93" s="68"/>
      <c r="H93" s="68"/>
      <c r="I93" s="68"/>
      <c r="J93" s="68"/>
      <c r="K93" s="248">
        <f>'Final allowances'!$P$74</f>
        <v>59.281600535944946</v>
      </c>
    </row>
    <row r="94" spans="1:11" x14ac:dyDescent="0.3">
      <c r="A94" s="248" t="s">
        <v>6</v>
      </c>
      <c r="B94" s="248" t="s">
        <v>333</v>
      </c>
      <c r="C94" s="248" t="s">
        <v>334</v>
      </c>
      <c r="D94" s="68" t="s">
        <v>2</v>
      </c>
      <c r="E94" s="68" t="s">
        <v>57</v>
      </c>
      <c r="F94" s="68"/>
      <c r="G94" s="68"/>
      <c r="H94" s="68"/>
      <c r="I94" s="68"/>
      <c r="J94" s="68"/>
      <c r="K94" s="248">
        <f>'Final allowances'!$O$74</f>
        <v>0</v>
      </c>
    </row>
    <row r="95" spans="1:11" x14ac:dyDescent="0.3">
      <c r="A95" s="248" t="s">
        <v>6</v>
      </c>
      <c r="B95" s="248" t="str">
        <f xml:space="preserve"> B70</f>
        <v xml:space="preserve">C_WRPDR_PR19CA004 </v>
      </c>
      <c r="C95" s="248" t="s">
        <v>109</v>
      </c>
      <c r="D95" s="68" t="s">
        <v>2</v>
      </c>
      <c r="E95" s="68" t="s">
        <v>57</v>
      </c>
      <c r="F95" s="68">
        <f xml:space="preserve"> INDEX( PDR!$D$5:$D$89, MATCH(F_Outputs!$A95 &amp; RIGHT( F_Outputs!F$2, 2),PDR!$A$5:$A$89, 0 ) )</f>
        <v>0</v>
      </c>
      <c r="G95" s="68">
        <f xml:space="preserve"> INDEX( PDR!$D$5:$D$89, MATCH(F_Outputs!$A95 &amp; RIGHT( F_Outputs!G$2, 2),PDR!$A$5:$A$89, 0 ) )</f>
        <v>0</v>
      </c>
      <c r="H95" s="68">
        <f xml:space="preserve"> INDEX( PDR!$D$5:$D$89, MATCH(F_Outputs!$A95 &amp; RIGHT( F_Outputs!H$2, 2),PDR!$A$5:$A$89, 0 ) )</f>
        <v>0</v>
      </c>
      <c r="I95" s="68">
        <f xml:space="preserve"> INDEX( PDR!$D$5:$D$89, MATCH(F_Outputs!$A95 &amp; RIGHT( F_Outputs!I$2, 2),PDR!$A$5:$A$89, 0 ) )</f>
        <v>0</v>
      </c>
      <c r="J95" s="68">
        <f xml:space="preserve"> INDEX( PDR!$D$5:$D$89, MATCH(F_Outputs!$A95 &amp; RIGHT( F_Outputs!J$2, 2),PDR!$A$5:$A$89, 0 ) )</f>
        <v>0</v>
      </c>
      <c r="K95" s="248"/>
    </row>
    <row r="96" spans="1:11" x14ac:dyDescent="0.3">
      <c r="A96" s="248" t="s">
        <v>6</v>
      </c>
      <c r="B96" s="248" t="str">
        <f xml:space="preserve"> B71</f>
        <v>C_WNPDR_PR19CA004</v>
      </c>
      <c r="C96" s="248" t="s">
        <v>110</v>
      </c>
      <c r="D96" s="68" t="s">
        <v>2</v>
      </c>
      <c r="E96" s="68" t="s">
        <v>57</v>
      </c>
      <c r="F96" s="68">
        <f>INDEX(PDR!$E$5:$E$89,MATCH(F_Outputs!$A96&amp;RIGHT(F_Outputs!F$2,2),PDR!$A$5:$A$89,0))</f>
        <v>0</v>
      </c>
      <c r="G96" s="68">
        <f>INDEX(PDR!$E$5:$E$89,MATCH(F_Outputs!$A96&amp;RIGHT(F_Outputs!G$2,2),PDR!$A$5:$A$89,0))</f>
        <v>0</v>
      </c>
      <c r="H96" s="68">
        <f>INDEX(PDR!$E$5:$E$89,MATCH(F_Outputs!$A96&amp;RIGHT(F_Outputs!H$2,2),PDR!$A$5:$A$89,0))</f>
        <v>0</v>
      </c>
      <c r="I96" s="68">
        <f>INDEX(PDR!$E$5:$E$89,MATCH(F_Outputs!$A96&amp;RIGHT(F_Outputs!I$2,2),PDR!$A$5:$A$89,0))</f>
        <v>0</v>
      </c>
      <c r="J96" s="68">
        <f>INDEX(PDR!$E$5:$E$89,MATCH(F_Outputs!$A96&amp;RIGHT(F_Outputs!J$2,2),PDR!$A$5:$A$89,0))</f>
        <v>0</v>
      </c>
      <c r="K96" s="248"/>
    </row>
    <row r="97" spans="1:11" x14ac:dyDescent="0.3">
      <c r="A97" s="248" t="s">
        <v>6</v>
      </c>
      <c r="B97" s="248" t="s">
        <v>193</v>
      </c>
      <c r="C97" s="248" t="s">
        <v>195</v>
      </c>
      <c r="D97" s="68" t="s">
        <v>2</v>
      </c>
      <c r="E97" s="68" t="s">
        <v>57</v>
      </c>
      <c r="F97" s="249">
        <f>K97/5</f>
        <v>77.188970124369007</v>
      </c>
      <c r="G97" s="249">
        <f t="shared" ref="G97:J99" si="18">F97</f>
        <v>77.188970124369007</v>
      </c>
      <c r="H97" s="249">
        <f t="shared" si="18"/>
        <v>77.188970124369007</v>
      </c>
      <c r="I97" s="249">
        <f t="shared" si="18"/>
        <v>77.188970124369007</v>
      </c>
      <c r="J97" s="249">
        <f t="shared" si="18"/>
        <v>77.188970124369007</v>
      </c>
      <c r="K97" s="248">
        <f>INDEX('Final allowances'!$G$6:$G$22,MATCH(F_Outputs!A97,'Final allowances'!$B$6:$B$22,0))</f>
        <v>385.94485062184503</v>
      </c>
    </row>
    <row r="98" spans="1:11" x14ac:dyDescent="0.3">
      <c r="A98" s="248" t="s">
        <v>6</v>
      </c>
      <c r="B98" s="248" t="s">
        <v>194</v>
      </c>
      <c r="C98" s="248" t="s">
        <v>196</v>
      </c>
      <c r="D98" s="68" t="s">
        <v>2</v>
      </c>
      <c r="E98" s="68" t="s">
        <v>57</v>
      </c>
      <c r="F98" s="249">
        <f>K98/5</f>
        <v>421.25225882149709</v>
      </c>
      <c r="G98" s="249">
        <f t="shared" si="18"/>
        <v>421.25225882149709</v>
      </c>
      <c r="H98" s="249">
        <f t="shared" si="18"/>
        <v>421.25225882149709</v>
      </c>
      <c r="I98" s="249">
        <f t="shared" si="18"/>
        <v>421.25225882149709</v>
      </c>
      <c r="J98" s="249">
        <f t="shared" si="18"/>
        <v>421.25225882149709</v>
      </c>
      <c r="K98" s="248">
        <f>INDEX('Final allowances'!$H$6:$H$22,MATCH(F_Outputs!A98,'Final allowances'!$B$6:$B$22,0))</f>
        <v>2106.2612941074854</v>
      </c>
    </row>
    <row r="99" spans="1:11" x14ac:dyDescent="0.3">
      <c r="A99" s="248" t="s">
        <v>6</v>
      </c>
      <c r="B99" s="248" t="s">
        <v>319</v>
      </c>
      <c r="C99" s="248" t="s">
        <v>320</v>
      </c>
      <c r="D99" s="68" t="s">
        <v>2</v>
      </c>
      <c r="E99" s="68" t="s">
        <v>57</v>
      </c>
      <c r="F99" s="249">
        <f>K99/5</f>
        <v>0</v>
      </c>
      <c r="G99" s="249">
        <f t="shared" si="18"/>
        <v>0</v>
      </c>
      <c r="H99" s="249">
        <f t="shared" si="18"/>
        <v>0</v>
      </c>
      <c r="I99" s="249">
        <f t="shared" si="18"/>
        <v>0</v>
      </c>
      <c r="J99" s="249">
        <f t="shared" si="18"/>
        <v>0</v>
      </c>
      <c r="K99" s="248">
        <f>INDEX('Final allowances'!$E$6:$E$22,MATCH(F_Outputs!A99,'Final allowances'!$B$6:$B$22,0))</f>
        <v>0</v>
      </c>
    </row>
    <row r="100" spans="1:11" x14ac:dyDescent="0.3">
      <c r="A100" s="248" t="s">
        <v>6</v>
      </c>
      <c r="B100" s="248" t="s">
        <v>197</v>
      </c>
      <c r="C100" s="248" t="s">
        <v>199</v>
      </c>
      <c r="D100" s="68" t="s">
        <v>2</v>
      </c>
      <c r="E100" s="68" t="s">
        <v>57</v>
      </c>
      <c r="F100" s="68">
        <f>K100/5</f>
        <v>8.8255675927099961</v>
      </c>
      <c r="G100" s="68">
        <f>F100</f>
        <v>8.8255675927099961</v>
      </c>
      <c r="H100" s="68">
        <f t="shared" ref="H100:J100" si="19">G100</f>
        <v>8.8255675927099961</v>
      </c>
      <c r="I100" s="68">
        <f t="shared" si="19"/>
        <v>8.8255675927099961</v>
      </c>
      <c r="J100" s="68">
        <f t="shared" si="19"/>
        <v>8.8255675927099961</v>
      </c>
      <c r="K100" s="248">
        <f>K87+K89+K91+K94</f>
        <v>44.127837963549979</v>
      </c>
    </row>
    <row r="101" spans="1:11" x14ac:dyDescent="0.3">
      <c r="A101" s="248" t="s">
        <v>6</v>
      </c>
      <c r="B101" s="248" t="s">
        <v>198</v>
      </c>
      <c r="C101" s="248" t="s">
        <v>200</v>
      </c>
      <c r="D101" s="68" t="s">
        <v>2</v>
      </c>
      <c r="E101" s="68" t="s">
        <v>57</v>
      </c>
      <c r="F101" s="68">
        <f>K101/5</f>
        <v>13.109977911118332</v>
      </c>
      <c r="G101" s="68">
        <f>F101</f>
        <v>13.109977911118332</v>
      </c>
      <c r="H101" s="68">
        <f t="shared" ref="H101:J101" si="20">G101</f>
        <v>13.109977911118332</v>
      </c>
      <c r="I101" s="68">
        <f t="shared" si="20"/>
        <v>13.109977911118332</v>
      </c>
      <c r="J101" s="68">
        <f t="shared" si="20"/>
        <v>13.109977911118332</v>
      </c>
      <c r="K101" s="248">
        <f>K88+K90+K92+K93</f>
        <v>65.549889555591662</v>
      </c>
    </row>
    <row r="102" spans="1:11" ht="14.5" x14ac:dyDescent="0.3">
      <c r="A102" s="248" t="s">
        <v>6</v>
      </c>
      <c r="B102" s="68" t="s">
        <v>113</v>
      </c>
      <c r="C102" s="68" t="s">
        <v>98</v>
      </c>
      <c r="D102" s="68" t="s">
        <v>62</v>
      </c>
      <c r="E102" s="68" t="s">
        <v>57</v>
      </c>
      <c r="F102" s="250" t="str">
        <f ca="1">CONCATENATE("[…]", TEXT(NOW(),"dd/mm/yyy hh:mm:ss"))</f>
        <v>[…]11/12/2019 16:31:19</v>
      </c>
      <c r="G102" s="250" t="str">
        <f t="shared" ref="G102:K102" ca="1" si="21">CONCATENATE("[…]", TEXT(NOW(),"dd/mm/yyy hh:mm:ss"))</f>
        <v>[…]11/12/2019 16:31:19</v>
      </c>
      <c r="H102" s="250" t="str">
        <f t="shared" ca="1" si="21"/>
        <v>[…]11/12/2019 16:31:19</v>
      </c>
      <c r="I102" s="250" t="str">
        <f t="shared" ca="1" si="21"/>
        <v>[…]11/12/2019 16:31:19</v>
      </c>
      <c r="J102" s="250" t="str">
        <f t="shared" ca="1" si="21"/>
        <v>[…]11/12/2019 16:31:19</v>
      </c>
      <c r="K102" s="250" t="str">
        <f t="shared" ca="1" si="21"/>
        <v>[…]11/12/2019 16:31:19</v>
      </c>
    </row>
    <row r="103" spans="1:11" x14ac:dyDescent="0.3">
      <c r="A103" s="248" t="s">
        <v>6</v>
      </c>
      <c r="B103" s="68" t="s">
        <v>114</v>
      </c>
      <c r="C103" s="68" t="s">
        <v>99</v>
      </c>
      <c r="D103" s="68" t="s">
        <v>62</v>
      </c>
      <c r="E103" s="68" t="s">
        <v>57</v>
      </c>
      <c r="F103" s="251" t="s">
        <v>316</v>
      </c>
      <c r="G103" s="251" t="s">
        <v>316</v>
      </c>
      <c r="H103" s="251" t="s">
        <v>316</v>
      </c>
      <c r="I103" s="251" t="s">
        <v>316</v>
      </c>
      <c r="J103" s="251" t="s">
        <v>316</v>
      </c>
      <c r="K103" s="251" t="s">
        <v>316</v>
      </c>
    </row>
    <row r="104" spans="1:11" x14ac:dyDescent="0.3">
      <c r="A104" s="248" t="s">
        <v>7</v>
      </c>
      <c r="B104" s="248" t="str">
        <f xml:space="preserve"> B79</f>
        <v>C_TBC_WR_PR19CA004_OFWAT</v>
      </c>
      <c r="C104" s="248" t="s">
        <v>215</v>
      </c>
      <c r="D104" s="68" t="s">
        <v>2</v>
      </c>
      <c r="E104" s="68" t="s">
        <v>57</v>
      </c>
      <c r="F104" s="68"/>
      <c r="G104" s="68"/>
      <c r="H104" s="68"/>
      <c r="I104" s="68"/>
      <c r="J104" s="68"/>
      <c r="K104" s="248">
        <f>'Final allowances'!$O$31</f>
        <v>72.330353038428228</v>
      </c>
    </row>
    <row r="105" spans="1:11" x14ac:dyDescent="0.3">
      <c r="A105" s="248" t="s">
        <v>7</v>
      </c>
      <c r="B105" s="248" t="str">
        <f xml:space="preserve"> B80</f>
        <v>C_TBC_WN_PR19CA004_OFWAT</v>
      </c>
      <c r="C105" s="248" t="s">
        <v>217</v>
      </c>
      <c r="D105" s="68" t="s">
        <v>2</v>
      </c>
      <c r="E105" s="68" t="s">
        <v>57</v>
      </c>
      <c r="F105" s="68"/>
      <c r="G105" s="68"/>
      <c r="H105" s="68"/>
      <c r="I105" s="68"/>
      <c r="J105" s="68"/>
      <c r="K105" s="248">
        <f>'Final allowances'!$P$31</f>
        <v>681.90866511289096</v>
      </c>
    </row>
    <row r="106" spans="1:11" x14ac:dyDescent="0.3">
      <c r="A106" s="248" t="s">
        <v>7</v>
      </c>
      <c r="B106" s="248" t="s">
        <v>317</v>
      </c>
      <c r="C106" s="248" t="s">
        <v>236</v>
      </c>
      <c r="D106" s="68" t="s">
        <v>2</v>
      </c>
      <c r="E106" s="68" t="s">
        <v>57</v>
      </c>
      <c r="F106" s="68"/>
      <c r="G106" s="68"/>
      <c r="H106" s="68"/>
      <c r="I106" s="68"/>
      <c r="J106" s="68"/>
      <c r="K106" s="248">
        <f>'Final allowances'!$L$31</f>
        <v>4.3041324057433936</v>
      </c>
    </row>
    <row r="107" spans="1:11" x14ac:dyDescent="0.3">
      <c r="A107" s="248" t="s">
        <v>7</v>
      </c>
      <c r="B107" s="248" t="s">
        <v>318</v>
      </c>
      <c r="C107" s="248" t="s">
        <v>237</v>
      </c>
      <c r="D107" s="68" t="s">
        <v>2</v>
      </c>
      <c r="E107" s="68" t="s">
        <v>57</v>
      </c>
      <c r="F107" s="68"/>
      <c r="G107" s="68"/>
      <c r="H107" s="68"/>
      <c r="I107" s="68"/>
      <c r="J107" s="68"/>
      <c r="K107" s="248">
        <f>'Final allowances'!$M$31</f>
        <v>51.659728167874185</v>
      </c>
    </row>
    <row r="108" spans="1:11" x14ac:dyDescent="0.3">
      <c r="A108" s="248" t="s">
        <v>7</v>
      </c>
      <c r="B108" s="248" t="s">
        <v>327</v>
      </c>
      <c r="C108" s="248" t="s">
        <v>329</v>
      </c>
      <c r="D108" s="68" t="s">
        <v>2</v>
      </c>
      <c r="E108" s="68" t="s">
        <v>57</v>
      </c>
      <c r="F108" s="68"/>
      <c r="G108" s="68"/>
      <c r="H108" s="68"/>
      <c r="I108" s="68"/>
      <c r="J108" s="68"/>
      <c r="K108" s="248">
        <f>'Final allowances'!$F$31</f>
        <v>22.656211474392506</v>
      </c>
    </row>
    <row r="109" spans="1:11" x14ac:dyDescent="0.3">
      <c r="A109" s="248" t="s">
        <v>7</v>
      </c>
      <c r="B109" s="248" t="s">
        <v>328</v>
      </c>
      <c r="C109" s="248" t="s">
        <v>330</v>
      </c>
      <c r="D109" s="68" t="s">
        <v>2</v>
      </c>
      <c r="E109" s="68" t="s">
        <v>57</v>
      </c>
      <c r="F109" s="68"/>
      <c r="G109" s="68"/>
      <c r="H109" s="68"/>
      <c r="I109" s="68"/>
      <c r="J109" s="68"/>
      <c r="K109" s="248">
        <f>'Final allowances'!$G$31</f>
        <v>0</v>
      </c>
    </row>
    <row r="110" spans="1:11" x14ac:dyDescent="0.3">
      <c r="A110" s="248" t="s">
        <v>7</v>
      </c>
      <c r="B110" s="248" t="str">
        <f t="shared" ref="B110:B117" si="22" xml:space="preserve"> B85</f>
        <v>C_ENC_WR_PR19CA004_OFWAT</v>
      </c>
      <c r="C110" s="248" t="s">
        <v>226</v>
      </c>
      <c r="D110" s="68" t="s">
        <v>2</v>
      </c>
      <c r="E110" s="68" t="s">
        <v>57</v>
      </c>
      <c r="F110" s="68"/>
      <c r="G110" s="68"/>
      <c r="H110" s="68"/>
      <c r="I110" s="68"/>
      <c r="J110" s="68"/>
      <c r="K110" s="248">
        <f>'Final allowances'!$C$52</f>
        <v>39.225623184971859</v>
      </c>
    </row>
    <row r="111" spans="1:11" x14ac:dyDescent="0.3">
      <c r="A111" s="248" t="s">
        <v>7</v>
      </c>
      <c r="B111" s="248" t="str">
        <f t="shared" si="22"/>
        <v>C_ENC_WN_PR19CA004_OFWAT</v>
      </c>
      <c r="C111" s="248" t="s">
        <v>227</v>
      </c>
      <c r="D111" s="68" t="s">
        <v>2</v>
      </c>
      <c r="E111" s="68" t="s">
        <v>57</v>
      </c>
      <c r="F111" s="68"/>
      <c r="G111" s="68"/>
      <c r="H111" s="68"/>
      <c r="I111" s="68"/>
      <c r="J111" s="68"/>
      <c r="K111" s="248">
        <f>'Final allowances'!$D$52</f>
        <v>248.99831728651998</v>
      </c>
    </row>
    <row r="112" spans="1:11" x14ac:dyDescent="0.3">
      <c r="A112" s="248" t="s">
        <v>7</v>
      </c>
      <c r="B112" s="248" t="str">
        <f t="shared" si="22"/>
        <v>C_3PTYC_WR_PR19CA004_OFWAT</v>
      </c>
      <c r="C112" s="248" t="s">
        <v>228</v>
      </c>
      <c r="D112" s="68" t="s">
        <v>2</v>
      </c>
      <c r="E112" s="68" t="s">
        <v>57</v>
      </c>
      <c r="F112" s="68"/>
      <c r="G112" s="68"/>
      <c r="H112" s="68"/>
      <c r="I112" s="68"/>
      <c r="J112" s="68"/>
      <c r="K112" s="248">
        <f>'Final allowances'!$C$75</f>
        <v>6.9253817025076874</v>
      </c>
    </row>
    <row r="113" spans="1:11" x14ac:dyDescent="0.3">
      <c r="A113" s="248" t="s">
        <v>7</v>
      </c>
      <c r="B113" s="248" t="str">
        <f t="shared" si="22"/>
        <v>C_3PTYC_WN_PR19CA004_OFWAT</v>
      </c>
      <c r="C113" s="248" t="s">
        <v>229</v>
      </c>
      <c r="D113" s="68" t="s">
        <v>2</v>
      </c>
      <c r="E113" s="68" t="s">
        <v>57</v>
      </c>
      <c r="F113" s="68"/>
      <c r="G113" s="68"/>
      <c r="H113" s="68"/>
      <c r="I113" s="68"/>
      <c r="J113" s="68"/>
      <c r="K113" s="248">
        <f>'Final allowances'!$D$75</f>
        <v>25.268442475071279</v>
      </c>
    </row>
    <row r="114" spans="1:11" x14ac:dyDescent="0.3">
      <c r="A114" s="248" t="s">
        <v>7</v>
      </c>
      <c r="B114" s="248" t="str">
        <f t="shared" si="22"/>
        <v>C_CSH_WR_PR19CA004_OFWAT</v>
      </c>
      <c r="C114" s="248" t="s">
        <v>230</v>
      </c>
      <c r="D114" s="68" t="s">
        <v>2</v>
      </c>
      <c r="E114" s="68" t="s">
        <v>57</v>
      </c>
      <c r="F114" s="68"/>
      <c r="G114" s="68"/>
      <c r="H114" s="68"/>
      <c r="I114" s="68"/>
      <c r="J114" s="68"/>
      <c r="K114" s="248">
        <f>'Final allowances'!$F$75</f>
        <v>0</v>
      </c>
    </row>
    <row r="115" spans="1:11" x14ac:dyDescent="0.3">
      <c r="A115" s="248" t="s">
        <v>7</v>
      </c>
      <c r="B115" s="248" t="str">
        <f t="shared" si="22"/>
        <v>C_CSH_WN_PR19CA004_OFWAT</v>
      </c>
      <c r="C115" s="248" t="s">
        <v>231</v>
      </c>
      <c r="D115" s="68" t="s">
        <v>2</v>
      </c>
      <c r="E115" s="68" t="s">
        <v>57</v>
      </c>
      <c r="F115" s="68"/>
      <c r="G115" s="68"/>
      <c r="H115" s="68"/>
      <c r="I115" s="68"/>
      <c r="J115" s="68"/>
      <c r="K115" s="248">
        <f>'Final allowances'!$G$75</f>
        <v>0</v>
      </c>
    </row>
    <row r="116" spans="1:11" x14ac:dyDescent="0.3">
      <c r="A116" s="248" t="s">
        <v>7</v>
      </c>
      <c r="B116" s="248" t="str">
        <f t="shared" si="22"/>
        <v>C_SSDC_WR_PR19CA004_OFWAT</v>
      </c>
      <c r="C116" s="248" t="s">
        <v>232</v>
      </c>
      <c r="D116" s="68" t="s">
        <v>2</v>
      </c>
      <c r="E116" s="68" t="s">
        <v>57</v>
      </c>
      <c r="F116" s="68"/>
      <c r="G116" s="68"/>
      <c r="H116" s="68"/>
      <c r="I116" s="68"/>
      <c r="J116" s="68"/>
      <c r="K116" s="248">
        <f>'Final allowances'!$L$75</f>
        <v>39.13721597586315</v>
      </c>
    </row>
    <row r="117" spans="1:11" x14ac:dyDescent="0.3">
      <c r="A117" s="248" t="s">
        <v>7</v>
      </c>
      <c r="B117" s="248" t="str">
        <f t="shared" si="22"/>
        <v>C_SSDC_WN_PR19CA004_OFWAT</v>
      </c>
      <c r="C117" s="248" t="s">
        <v>233</v>
      </c>
      <c r="D117" s="68" t="s">
        <v>2</v>
      </c>
      <c r="E117" s="68" t="s">
        <v>57</v>
      </c>
      <c r="F117" s="68"/>
      <c r="G117" s="68"/>
      <c r="H117" s="68"/>
      <c r="I117" s="68"/>
      <c r="J117" s="68"/>
      <c r="K117" s="248">
        <f>'Final allowances'!$M$75</f>
        <v>45.786021666654776</v>
      </c>
    </row>
    <row r="118" spans="1:11" x14ac:dyDescent="0.3">
      <c r="A118" s="248" t="s">
        <v>7</v>
      </c>
      <c r="B118" s="248" t="s">
        <v>331</v>
      </c>
      <c r="C118" s="248" t="s">
        <v>332</v>
      </c>
      <c r="D118" s="68" t="s">
        <v>2</v>
      </c>
      <c r="E118" s="68" t="s">
        <v>57</v>
      </c>
      <c r="F118" s="68"/>
      <c r="G118" s="68"/>
      <c r="H118" s="68"/>
      <c r="I118" s="68"/>
      <c r="J118" s="68"/>
      <c r="K118" s="248">
        <f>'Final allowances'!$P$75</f>
        <v>0</v>
      </c>
    </row>
    <row r="119" spans="1:11" x14ac:dyDescent="0.3">
      <c r="A119" s="248" t="s">
        <v>7</v>
      </c>
      <c r="B119" s="248" t="s">
        <v>333</v>
      </c>
      <c r="C119" s="248" t="s">
        <v>334</v>
      </c>
      <c r="D119" s="68" t="s">
        <v>2</v>
      </c>
      <c r="E119" s="68" t="s">
        <v>57</v>
      </c>
      <c r="F119" s="68"/>
      <c r="G119" s="68"/>
      <c r="H119" s="68"/>
      <c r="I119" s="68"/>
      <c r="J119" s="68"/>
      <c r="K119" s="248">
        <f>'Final allowances'!$O$75</f>
        <v>0</v>
      </c>
    </row>
    <row r="120" spans="1:11" x14ac:dyDescent="0.3">
      <c r="A120" s="248" t="s">
        <v>7</v>
      </c>
      <c r="B120" s="248" t="str">
        <f xml:space="preserve"> B95</f>
        <v xml:space="preserve">C_WRPDR_PR19CA004 </v>
      </c>
      <c r="C120" s="248" t="s">
        <v>109</v>
      </c>
      <c r="D120" s="68" t="s">
        <v>2</v>
      </c>
      <c r="E120" s="68" t="s">
        <v>57</v>
      </c>
      <c r="F120" s="68">
        <f xml:space="preserve"> INDEX( PDR!$D$5:$D$89, MATCH(F_Outputs!$A120 &amp; RIGHT( F_Outputs!F$2, 2),PDR!$A$5:$A$89, 0 ) )</f>
        <v>0.10909056922689049</v>
      </c>
      <c r="G120" s="68">
        <f xml:space="preserve"> INDEX( PDR!$D$5:$D$89, MATCH(F_Outputs!$A120 &amp; RIGHT( F_Outputs!G$2, 2),PDR!$A$5:$A$89, 0 ) )</f>
        <v>0.1061551353022093</v>
      </c>
      <c r="H120" s="68">
        <f xml:space="preserve"> INDEX( PDR!$D$5:$D$89, MATCH(F_Outputs!$A120 &amp; RIGHT( F_Outputs!H$2, 2),PDR!$A$5:$A$89, 0 ) )</f>
        <v>0.10397495708718092</v>
      </c>
      <c r="I120" s="68">
        <f xml:space="preserve"> INDEX( PDR!$D$5:$D$89, MATCH(F_Outputs!$A120 &amp; RIGHT( F_Outputs!I$2, 2),PDR!$A$5:$A$89, 0 ) )</f>
        <v>0.10126798112577498</v>
      </c>
      <c r="J120" s="68">
        <f xml:space="preserve"> INDEX( PDR!$D$5:$D$89, MATCH(F_Outputs!$A120 &amp; RIGHT( F_Outputs!J$2, 2),PDR!$A$5:$A$89, 0 ) )</f>
        <v>9.8766833763089257E-2</v>
      </c>
      <c r="K120" s="248"/>
    </row>
    <row r="121" spans="1:11" x14ac:dyDescent="0.3">
      <c r="A121" s="248" t="s">
        <v>7</v>
      </c>
      <c r="B121" s="248" t="str">
        <f xml:space="preserve"> B96</f>
        <v>C_WNPDR_PR19CA004</v>
      </c>
      <c r="C121" s="248" t="s">
        <v>110</v>
      </c>
      <c r="D121" s="68" t="s">
        <v>2</v>
      </c>
      <c r="E121" s="68" t="s">
        <v>57</v>
      </c>
      <c r="F121" s="68">
        <f>INDEX(PDR!$E$5:$E$89,MATCH(F_Outputs!$A121&amp;RIGHT(F_Outputs!F$2,2),PDR!$A$5:$A$89,0))</f>
        <v>2.8780298488172908</v>
      </c>
      <c r="G121" s="68">
        <f>INDEX(PDR!$E$5:$E$89,MATCH(F_Outputs!$A121&amp;RIGHT(F_Outputs!G$2,2),PDR!$A$5:$A$89,0))</f>
        <v>2.8060340764883995</v>
      </c>
      <c r="H121" s="68">
        <f>INDEX(PDR!$E$5:$E$89,MATCH(F_Outputs!$A121&amp;RIGHT(F_Outputs!H$2,2),PDR!$A$5:$A$89,0))</f>
        <v>2.7355585177121893</v>
      </c>
      <c r="I121" s="68">
        <f>INDEX(PDR!$E$5:$E$89,MATCH(F_Outputs!$A121&amp;RIGHT(F_Outputs!I$2,2),PDR!$A$5:$A$89,0))</f>
        <v>2.6672768799247839</v>
      </c>
      <c r="J121" s="68">
        <f>INDEX(PDR!$E$5:$E$89,MATCH(F_Outputs!$A121&amp;RIGHT(F_Outputs!J$2,2),PDR!$A$5:$A$89,0))</f>
        <v>2.6005040392432854</v>
      </c>
      <c r="K121" s="248"/>
    </row>
    <row r="122" spans="1:11" x14ac:dyDescent="0.3">
      <c r="A122" s="248" t="s">
        <v>7</v>
      </c>
      <c r="B122" s="248" t="s">
        <v>193</v>
      </c>
      <c r="C122" s="248" t="s">
        <v>195</v>
      </c>
      <c r="D122" s="68" t="s">
        <v>2</v>
      </c>
      <c r="E122" s="68" t="s">
        <v>57</v>
      </c>
      <c r="F122" s="249">
        <f>K122/5</f>
        <v>22.311195244680015</v>
      </c>
      <c r="G122" s="249">
        <f t="shared" ref="G122:J124" si="23">F122</f>
        <v>22.311195244680015</v>
      </c>
      <c r="H122" s="249">
        <f t="shared" si="23"/>
        <v>22.311195244680015</v>
      </c>
      <c r="I122" s="249">
        <f t="shared" si="23"/>
        <v>22.311195244680015</v>
      </c>
      <c r="J122" s="249">
        <f t="shared" si="23"/>
        <v>22.311195244680015</v>
      </c>
      <c r="K122" s="248">
        <f>INDEX('Final allowances'!$G$6:$G$22,MATCH(F_Outputs!A122,'Final allowances'!$B$6:$B$22,0))</f>
        <v>111.55597622340008</v>
      </c>
    </row>
    <row r="123" spans="1:11" x14ac:dyDescent="0.3">
      <c r="A123" s="248" t="s">
        <v>7</v>
      </c>
      <c r="B123" s="248" t="s">
        <v>194</v>
      </c>
      <c r="C123" s="248" t="s">
        <v>196</v>
      </c>
      <c r="D123" s="68" t="s">
        <v>2</v>
      </c>
      <c r="E123" s="68" t="s">
        <v>57</v>
      </c>
      <c r="F123" s="249">
        <f>K123/5</f>
        <v>186.18139647988218</v>
      </c>
      <c r="G123" s="249">
        <f t="shared" si="23"/>
        <v>186.18139647988218</v>
      </c>
      <c r="H123" s="249">
        <f t="shared" si="23"/>
        <v>186.18139647988218</v>
      </c>
      <c r="I123" s="249">
        <f t="shared" si="23"/>
        <v>186.18139647988218</v>
      </c>
      <c r="J123" s="249">
        <f t="shared" si="23"/>
        <v>186.18139647988218</v>
      </c>
      <c r="K123" s="248">
        <f>INDEX('Final allowances'!$H$6:$H$22,MATCH(F_Outputs!A123,'Final allowances'!$B$6:$B$22,0))</f>
        <v>930.90698239941094</v>
      </c>
    </row>
    <row r="124" spans="1:11" x14ac:dyDescent="0.3">
      <c r="A124" s="248" t="s">
        <v>7</v>
      </c>
      <c r="B124" s="248" t="s">
        <v>319</v>
      </c>
      <c r="C124" s="248" t="s">
        <v>320</v>
      </c>
      <c r="D124" s="68" t="s">
        <v>2</v>
      </c>
      <c r="E124" s="68" t="s">
        <v>57</v>
      </c>
      <c r="F124" s="249">
        <f>K124/5</f>
        <v>0</v>
      </c>
      <c r="G124" s="249">
        <f t="shared" si="23"/>
        <v>0</v>
      </c>
      <c r="H124" s="249">
        <f t="shared" si="23"/>
        <v>0</v>
      </c>
      <c r="I124" s="249">
        <f t="shared" si="23"/>
        <v>0</v>
      </c>
      <c r="J124" s="249">
        <f t="shared" si="23"/>
        <v>0</v>
      </c>
      <c r="K124" s="248">
        <f>INDEX('Final allowances'!$E$6:$E$22,MATCH(F_Outputs!A124,'Final allowances'!$B$6:$B$22,0))</f>
        <v>0</v>
      </c>
    </row>
    <row r="125" spans="1:11" x14ac:dyDescent="0.3">
      <c r="A125" s="248" t="s">
        <v>7</v>
      </c>
      <c r="B125" s="248" t="s">
        <v>197</v>
      </c>
      <c r="C125" s="248" t="s">
        <v>199</v>
      </c>
      <c r="D125" s="68" t="s">
        <v>2</v>
      </c>
      <c r="E125" s="68" t="s">
        <v>57</v>
      </c>
      <c r="F125" s="68">
        <f>K125/5</f>
        <v>9.2125195356741667</v>
      </c>
      <c r="G125" s="68">
        <f>F125</f>
        <v>9.2125195356741667</v>
      </c>
      <c r="H125" s="68">
        <f t="shared" ref="H125:J125" si="24">G125</f>
        <v>9.2125195356741667</v>
      </c>
      <c r="I125" s="68">
        <f t="shared" si="24"/>
        <v>9.2125195356741667</v>
      </c>
      <c r="J125" s="68">
        <f t="shared" si="24"/>
        <v>9.2125195356741667</v>
      </c>
      <c r="K125" s="248">
        <f>K112+K114+K116+K119</f>
        <v>46.062597678370835</v>
      </c>
    </row>
    <row r="126" spans="1:11" x14ac:dyDescent="0.3">
      <c r="A126" s="248" t="s">
        <v>7</v>
      </c>
      <c r="B126" s="248" t="s">
        <v>198</v>
      </c>
      <c r="C126" s="248" t="s">
        <v>200</v>
      </c>
      <c r="D126" s="68" t="s">
        <v>2</v>
      </c>
      <c r="E126" s="68" t="s">
        <v>57</v>
      </c>
      <c r="F126" s="68">
        <f>K126/5</f>
        <v>14.210892828345212</v>
      </c>
      <c r="G126" s="68">
        <f>F126</f>
        <v>14.210892828345212</v>
      </c>
      <c r="H126" s="68">
        <f t="shared" ref="H126:J126" si="25">G126</f>
        <v>14.210892828345212</v>
      </c>
      <c r="I126" s="68">
        <f t="shared" si="25"/>
        <v>14.210892828345212</v>
      </c>
      <c r="J126" s="68">
        <f t="shared" si="25"/>
        <v>14.210892828345212</v>
      </c>
      <c r="K126" s="248">
        <f>K113+K115+K117+K118</f>
        <v>71.054464141726058</v>
      </c>
    </row>
    <row r="127" spans="1:11" ht="14.5" x14ac:dyDescent="0.3">
      <c r="A127" s="248" t="s">
        <v>7</v>
      </c>
      <c r="B127" s="68" t="s">
        <v>113</v>
      </c>
      <c r="C127" s="68" t="s">
        <v>98</v>
      </c>
      <c r="D127" s="68" t="s">
        <v>62</v>
      </c>
      <c r="E127" s="68" t="s">
        <v>57</v>
      </c>
      <c r="F127" s="250" t="str">
        <f ca="1">CONCATENATE("[…]", TEXT(NOW(),"dd/mm/yyy hh:mm:ss"))</f>
        <v>[…]11/12/2019 16:31:19</v>
      </c>
      <c r="G127" s="250" t="str">
        <f t="shared" ref="G127:K127" ca="1" si="26">CONCATENATE("[…]", TEXT(NOW(),"dd/mm/yyy hh:mm:ss"))</f>
        <v>[…]11/12/2019 16:31:19</v>
      </c>
      <c r="H127" s="250" t="str">
        <f t="shared" ca="1" si="26"/>
        <v>[…]11/12/2019 16:31:19</v>
      </c>
      <c r="I127" s="250" t="str">
        <f t="shared" ca="1" si="26"/>
        <v>[…]11/12/2019 16:31:19</v>
      </c>
      <c r="J127" s="250" t="str">
        <f t="shared" ca="1" si="26"/>
        <v>[…]11/12/2019 16:31:19</v>
      </c>
      <c r="K127" s="250" t="str">
        <f t="shared" ca="1" si="26"/>
        <v>[…]11/12/2019 16:31:19</v>
      </c>
    </row>
    <row r="128" spans="1:11" x14ac:dyDescent="0.3">
      <c r="A128" s="248" t="s">
        <v>7</v>
      </c>
      <c r="B128" s="68" t="s">
        <v>114</v>
      </c>
      <c r="C128" s="68" t="s">
        <v>99</v>
      </c>
      <c r="D128" s="68" t="s">
        <v>62</v>
      </c>
      <c r="E128" s="68" t="s">
        <v>57</v>
      </c>
      <c r="F128" s="251" t="s">
        <v>316</v>
      </c>
      <c r="G128" s="251" t="s">
        <v>316</v>
      </c>
      <c r="H128" s="251" t="s">
        <v>316</v>
      </c>
      <c r="I128" s="251" t="s">
        <v>316</v>
      </c>
      <c r="J128" s="251" t="s">
        <v>316</v>
      </c>
      <c r="K128" s="251" t="s">
        <v>316</v>
      </c>
    </row>
    <row r="129" spans="1:11" x14ac:dyDescent="0.3">
      <c r="A129" s="248" t="s">
        <v>74</v>
      </c>
      <c r="B129" s="248" t="str">
        <f xml:space="preserve"> B104</f>
        <v>C_TBC_WR_PR19CA004_OFWAT</v>
      </c>
      <c r="C129" s="248" t="s">
        <v>215</v>
      </c>
      <c r="D129" s="68" t="s">
        <v>2</v>
      </c>
      <c r="E129" s="68" t="s">
        <v>57</v>
      </c>
      <c r="F129" s="68"/>
      <c r="G129" s="68"/>
      <c r="H129" s="68"/>
      <c r="I129" s="68"/>
      <c r="J129" s="68"/>
      <c r="K129" s="248">
        <f>'Final allowances'!$O$32</f>
        <v>280.23281840473862</v>
      </c>
    </row>
    <row r="130" spans="1:11" x14ac:dyDescent="0.3">
      <c r="A130" s="248" t="s">
        <v>74</v>
      </c>
      <c r="B130" s="248" t="str">
        <f xml:space="preserve"> B105</f>
        <v>C_TBC_WN_PR19CA004_OFWAT</v>
      </c>
      <c r="C130" s="248" t="s">
        <v>217</v>
      </c>
      <c r="D130" s="68" t="s">
        <v>2</v>
      </c>
      <c r="E130" s="68" t="s">
        <v>57</v>
      </c>
      <c r="F130" s="68"/>
      <c r="G130" s="68"/>
      <c r="H130" s="68"/>
      <c r="I130" s="68"/>
      <c r="J130" s="68"/>
      <c r="K130" s="248">
        <f>'Final allowances'!$P$32</f>
        <v>2183.1093181674191</v>
      </c>
    </row>
    <row r="131" spans="1:11" x14ac:dyDescent="0.3">
      <c r="A131" s="248" t="s">
        <v>74</v>
      </c>
      <c r="B131" s="248" t="s">
        <v>317</v>
      </c>
      <c r="C131" s="248" t="s">
        <v>236</v>
      </c>
      <c r="D131" s="68" t="s">
        <v>2</v>
      </c>
      <c r="E131" s="68" t="s">
        <v>57</v>
      </c>
      <c r="F131" s="68"/>
      <c r="G131" s="68"/>
      <c r="H131" s="68"/>
      <c r="I131" s="68"/>
      <c r="J131" s="68"/>
      <c r="K131" s="248">
        <f>'Final allowances'!$L$32</f>
        <v>21.952715652117273</v>
      </c>
    </row>
    <row r="132" spans="1:11" x14ac:dyDescent="0.3">
      <c r="A132" s="248" t="s">
        <v>74</v>
      </c>
      <c r="B132" s="248" t="s">
        <v>318</v>
      </c>
      <c r="C132" s="248" t="s">
        <v>237</v>
      </c>
      <c r="D132" s="68" t="s">
        <v>2</v>
      </c>
      <c r="E132" s="68" t="s">
        <v>57</v>
      </c>
      <c r="F132" s="68"/>
      <c r="G132" s="68"/>
      <c r="H132" s="68"/>
      <c r="I132" s="68"/>
      <c r="J132" s="68"/>
      <c r="K132" s="248">
        <f>'Final allowances'!$M$32</f>
        <v>207.87686875858682</v>
      </c>
    </row>
    <row r="133" spans="1:11" x14ac:dyDescent="0.3">
      <c r="A133" s="248" t="s">
        <v>74</v>
      </c>
      <c r="B133" s="248" t="s">
        <v>327</v>
      </c>
      <c r="C133" s="248" t="s">
        <v>329</v>
      </c>
      <c r="D133" s="68" t="s">
        <v>2</v>
      </c>
      <c r="E133" s="68" t="s">
        <v>57</v>
      </c>
      <c r="F133" s="68"/>
      <c r="G133" s="68"/>
      <c r="H133" s="68"/>
      <c r="I133" s="68"/>
      <c r="J133" s="68"/>
      <c r="K133" s="248">
        <f>'Final allowances'!$F$32</f>
        <v>54.322462522744914</v>
      </c>
    </row>
    <row r="134" spans="1:11" x14ac:dyDescent="0.3">
      <c r="A134" s="248" t="s">
        <v>74</v>
      </c>
      <c r="B134" s="248" t="s">
        <v>328</v>
      </c>
      <c r="C134" s="248" t="s">
        <v>330</v>
      </c>
      <c r="D134" s="68" t="s">
        <v>2</v>
      </c>
      <c r="E134" s="68" t="s">
        <v>57</v>
      </c>
      <c r="F134" s="68"/>
      <c r="G134" s="68"/>
      <c r="H134" s="68"/>
      <c r="I134" s="68"/>
      <c r="J134" s="68"/>
      <c r="K134" s="248">
        <f>'Final allowances'!$G$32</f>
        <v>0</v>
      </c>
    </row>
    <row r="135" spans="1:11" x14ac:dyDescent="0.3">
      <c r="A135" s="248" t="s">
        <v>74</v>
      </c>
      <c r="B135" s="248" t="str">
        <f t="shared" ref="B135:B142" si="27" xml:space="preserve"> B110</f>
        <v>C_ENC_WR_PR19CA004_OFWAT</v>
      </c>
      <c r="C135" s="248" t="s">
        <v>226</v>
      </c>
      <c r="D135" s="68" t="s">
        <v>2</v>
      </c>
      <c r="E135" s="68" t="s">
        <v>57</v>
      </c>
      <c r="F135" s="68"/>
      <c r="G135" s="68"/>
      <c r="H135" s="68"/>
      <c r="I135" s="68"/>
      <c r="J135" s="68"/>
      <c r="K135" s="248">
        <f>'Final allowances'!$C$53</f>
        <v>59.611414104851569</v>
      </c>
    </row>
    <row r="136" spans="1:11" x14ac:dyDescent="0.3">
      <c r="A136" s="248" t="s">
        <v>74</v>
      </c>
      <c r="B136" s="248" t="str">
        <f t="shared" si="27"/>
        <v>C_ENC_WN_PR19CA004_OFWAT</v>
      </c>
      <c r="C136" s="248" t="s">
        <v>227</v>
      </c>
      <c r="D136" s="68" t="s">
        <v>2</v>
      </c>
      <c r="E136" s="68" t="s">
        <v>57</v>
      </c>
      <c r="F136" s="68"/>
      <c r="G136" s="68"/>
      <c r="H136" s="68"/>
      <c r="I136" s="68"/>
      <c r="J136" s="68"/>
      <c r="K136" s="248">
        <f>'Final allowances'!$D$53</f>
        <v>352.24565551407397</v>
      </c>
    </row>
    <row r="137" spans="1:11" x14ac:dyDescent="0.3">
      <c r="A137" s="248" t="s">
        <v>74</v>
      </c>
      <c r="B137" s="248" t="str">
        <f t="shared" si="27"/>
        <v>C_3PTYC_WR_PR19CA004_OFWAT</v>
      </c>
      <c r="C137" s="248" t="s">
        <v>228</v>
      </c>
      <c r="D137" s="68" t="s">
        <v>2</v>
      </c>
      <c r="E137" s="68" t="s">
        <v>57</v>
      </c>
      <c r="F137" s="68"/>
      <c r="G137" s="68"/>
      <c r="H137" s="68"/>
      <c r="I137" s="68"/>
      <c r="J137" s="68"/>
      <c r="K137" s="248">
        <f>'Final allowances'!$C$76</f>
        <v>11.058381704949646</v>
      </c>
    </row>
    <row r="138" spans="1:11" x14ac:dyDescent="0.3">
      <c r="A138" s="248" t="s">
        <v>74</v>
      </c>
      <c r="B138" s="248" t="str">
        <f t="shared" si="27"/>
        <v>C_3PTYC_WN_PR19CA004_OFWAT</v>
      </c>
      <c r="C138" s="248" t="s">
        <v>229</v>
      </c>
      <c r="D138" s="68" t="s">
        <v>2</v>
      </c>
      <c r="E138" s="68" t="s">
        <v>57</v>
      </c>
      <c r="F138" s="68"/>
      <c r="G138" s="68"/>
      <c r="H138" s="68"/>
      <c r="I138" s="68"/>
      <c r="J138" s="68"/>
      <c r="K138" s="248">
        <f>'Final allowances'!$D$76</f>
        <v>27.337699510837123</v>
      </c>
    </row>
    <row r="139" spans="1:11" x14ac:dyDescent="0.3">
      <c r="A139" s="248" t="s">
        <v>74</v>
      </c>
      <c r="B139" s="248" t="str">
        <f t="shared" si="27"/>
        <v>C_CSH_WR_PR19CA004_OFWAT</v>
      </c>
      <c r="C139" s="248" t="s">
        <v>230</v>
      </c>
      <c r="D139" s="68" t="s">
        <v>2</v>
      </c>
      <c r="E139" s="68" t="s">
        <v>57</v>
      </c>
      <c r="F139" s="68"/>
      <c r="G139" s="68"/>
      <c r="H139" s="68"/>
      <c r="I139" s="68"/>
      <c r="J139" s="68"/>
      <c r="K139" s="248">
        <f>'Final allowances'!$F$76</f>
        <v>0</v>
      </c>
    </row>
    <row r="140" spans="1:11" x14ac:dyDescent="0.3">
      <c r="A140" s="248" t="s">
        <v>74</v>
      </c>
      <c r="B140" s="248" t="str">
        <f t="shared" si="27"/>
        <v>C_CSH_WN_PR19CA004_OFWAT</v>
      </c>
      <c r="C140" s="248" t="s">
        <v>231</v>
      </c>
      <c r="D140" s="68" t="s">
        <v>2</v>
      </c>
      <c r="E140" s="68" t="s">
        <v>57</v>
      </c>
      <c r="F140" s="68"/>
      <c r="G140" s="68"/>
      <c r="H140" s="68"/>
      <c r="I140" s="68"/>
      <c r="J140" s="68"/>
      <c r="K140" s="248">
        <f>'Final allowances'!$G$76</f>
        <v>0</v>
      </c>
    </row>
    <row r="141" spans="1:11" x14ac:dyDescent="0.3">
      <c r="A141" s="248" t="s">
        <v>74</v>
      </c>
      <c r="B141" s="248" t="str">
        <f t="shared" si="27"/>
        <v>C_SSDC_WR_PR19CA004_OFWAT</v>
      </c>
      <c r="C141" s="248" t="s">
        <v>232</v>
      </c>
      <c r="D141" s="68" t="s">
        <v>2</v>
      </c>
      <c r="E141" s="68" t="s">
        <v>57</v>
      </c>
      <c r="F141" s="68"/>
      <c r="G141" s="68"/>
      <c r="H141" s="68"/>
      <c r="I141" s="68"/>
      <c r="J141" s="68"/>
      <c r="K141" s="248">
        <f>'Final allowances'!$L$76</f>
        <v>42.498333333333328</v>
      </c>
    </row>
    <row r="142" spans="1:11" x14ac:dyDescent="0.3">
      <c r="A142" s="248" t="s">
        <v>74</v>
      </c>
      <c r="B142" s="248" t="str">
        <f t="shared" si="27"/>
        <v>C_SSDC_WN_PR19CA004_OFWAT</v>
      </c>
      <c r="C142" s="248" t="s">
        <v>233</v>
      </c>
      <c r="D142" s="68" t="s">
        <v>2</v>
      </c>
      <c r="E142" s="68" t="s">
        <v>57</v>
      </c>
      <c r="F142" s="68"/>
      <c r="G142" s="68"/>
      <c r="H142" s="68"/>
      <c r="I142" s="68"/>
      <c r="J142" s="68"/>
      <c r="K142" s="248">
        <f>'Final allowances'!$M$76</f>
        <v>0</v>
      </c>
    </row>
    <row r="143" spans="1:11" x14ac:dyDescent="0.3">
      <c r="A143" s="248" t="s">
        <v>74</v>
      </c>
      <c r="B143" s="248" t="s">
        <v>331</v>
      </c>
      <c r="C143" s="248" t="s">
        <v>332</v>
      </c>
      <c r="D143" s="68" t="s">
        <v>2</v>
      </c>
      <c r="E143" s="68" t="s">
        <v>57</v>
      </c>
      <c r="F143" s="68"/>
      <c r="G143" s="68"/>
      <c r="H143" s="68"/>
      <c r="I143" s="68"/>
      <c r="J143" s="68"/>
      <c r="K143" s="248">
        <f>'Final allowances'!$P$76</f>
        <v>79.097643453746969</v>
      </c>
    </row>
    <row r="144" spans="1:11" x14ac:dyDescent="0.3">
      <c r="A144" s="248" t="s">
        <v>74</v>
      </c>
      <c r="B144" s="248" t="s">
        <v>333</v>
      </c>
      <c r="C144" s="248" t="s">
        <v>334</v>
      </c>
      <c r="D144" s="68" t="s">
        <v>2</v>
      </c>
      <c r="E144" s="68" t="s">
        <v>57</v>
      </c>
      <c r="F144" s="68"/>
      <c r="G144" s="68"/>
      <c r="H144" s="68"/>
      <c r="I144" s="68"/>
      <c r="J144" s="68"/>
      <c r="K144" s="248">
        <f>'Final allowances'!$O$76</f>
        <v>0</v>
      </c>
    </row>
    <row r="145" spans="1:11" x14ac:dyDescent="0.3">
      <c r="A145" s="248" t="s">
        <v>74</v>
      </c>
      <c r="B145" s="248" t="str">
        <f xml:space="preserve"> B120</f>
        <v xml:space="preserve">C_WRPDR_PR19CA004 </v>
      </c>
      <c r="C145" s="248" t="s">
        <v>109</v>
      </c>
      <c r="D145" s="68" t="s">
        <v>2</v>
      </c>
      <c r="E145" s="68" t="s">
        <v>57</v>
      </c>
      <c r="F145" s="68">
        <f xml:space="preserve"> INDEX( PDR!$D$5:$D$89, MATCH(F_Outputs!$A145 &amp; RIGHT( F_Outputs!F$2, 2),PDR!$A$5:$A$89, 0 ) )</f>
        <v>0.70083033225540603</v>
      </c>
      <c r="G145" s="68">
        <f xml:space="preserve"> INDEX( PDR!$D$5:$D$89, MATCH(F_Outputs!$A145 &amp; RIGHT( F_Outputs!G$2, 2),PDR!$A$5:$A$89, 0 ) )</f>
        <v>0.70083033225540514</v>
      </c>
      <c r="H145" s="68">
        <f xml:space="preserve"> INDEX( PDR!$D$5:$D$89, MATCH(F_Outputs!$A145 &amp; RIGHT( F_Outputs!H$2, 2),PDR!$A$5:$A$89, 0 ) )</f>
        <v>0.70083033225540547</v>
      </c>
      <c r="I145" s="68">
        <f xml:space="preserve"> INDEX( PDR!$D$5:$D$89, MATCH(F_Outputs!$A145 &amp; RIGHT( F_Outputs!I$2, 2),PDR!$A$5:$A$89, 0 ) )</f>
        <v>0.70083033225540503</v>
      </c>
      <c r="J145" s="68">
        <f xml:space="preserve"> INDEX( PDR!$D$5:$D$89, MATCH(F_Outputs!$A145 &amp; RIGHT( F_Outputs!J$2, 2),PDR!$A$5:$A$89, 0 ) )</f>
        <v>0.70083033225540503</v>
      </c>
      <c r="K145" s="248"/>
    </row>
    <row r="146" spans="1:11" x14ac:dyDescent="0.3">
      <c r="A146" s="248" t="s">
        <v>74</v>
      </c>
      <c r="B146" s="248" t="str">
        <f xml:space="preserve"> B121</f>
        <v>C_WNPDR_PR19CA004</v>
      </c>
      <c r="C146" s="248" t="s">
        <v>110</v>
      </c>
      <c r="D146" s="68" t="s">
        <v>2</v>
      </c>
      <c r="E146" s="68" t="s">
        <v>57</v>
      </c>
      <c r="F146" s="68">
        <f>INDEX(PDR!$E$5:$E$89,MATCH(F_Outputs!$A146&amp;RIGHT(F_Outputs!F$2,2),PDR!$A$5:$A$89,0))</f>
        <v>5.3781110279599611</v>
      </c>
      <c r="G146" s="68">
        <f>INDEX(PDR!$E$5:$E$89,MATCH(F_Outputs!$A146&amp;RIGHT(F_Outputs!G$2,2),PDR!$A$5:$A$89,0))</f>
        <v>5.3781110279599718</v>
      </c>
      <c r="H146" s="68">
        <f>INDEX(PDR!$E$5:$E$89,MATCH(F_Outputs!$A146&amp;RIGHT(F_Outputs!H$2,2),PDR!$A$5:$A$89,0))</f>
        <v>5.3781110279599584</v>
      </c>
      <c r="I146" s="68">
        <f>INDEX(PDR!$E$5:$E$89,MATCH(F_Outputs!$A146&amp;RIGHT(F_Outputs!I$2,2),PDR!$A$5:$A$89,0))</f>
        <v>5.3781110279599593</v>
      </c>
      <c r="J146" s="68">
        <f>INDEX(PDR!$E$5:$E$89,MATCH(F_Outputs!$A146&amp;RIGHT(F_Outputs!J$2,2),PDR!$A$5:$A$89,0))</f>
        <v>5.3781110279599584</v>
      </c>
      <c r="K146" s="248"/>
    </row>
    <row r="147" spans="1:11" x14ac:dyDescent="0.3">
      <c r="A147" s="248" t="s">
        <v>74</v>
      </c>
      <c r="B147" s="248" t="s">
        <v>193</v>
      </c>
      <c r="C147" s="248" t="s">
        <v>195</v>
      </c>
      <c r="D147" s="68" t="s">
        <v>2</v>
      </c>
      <c r="E147" s="68" t="s">
        <v>57</v>
      </c>
      <c r="F147" s="249">
        <f>K147/5</f>
        <v>67.968846501918037</v>
      </c>
      <c r="G147" s="249">
        <f t="shared" ref="G147:J149" si="28">F147</f>
        <v>67.968846501918037</v>
      </c>
      <c r="H147" s="249">
        <f t="shared" si="28"/>
        <v>67.968846501918037</v>
      </c>
      <c r="I147" s="249">
        <f t="shared" si="28"/>
        <v>67.968846501918037</v>
      </c>
      <c r="J147" s="249">
        <f t="shared" si="28"/>
        <v>67.968846501918037</v>
      </c>
      <c r="K147" s="248">
        <f>INDEX('Final allowances'!$G$6:$G$22,MATCH(F_Outputs!A147,'Final allowances'!$B$6:$B$22,0))</f>
        <v>339.8442325095902</v>
      </c>
    </row>
    <row r="148" spans="1:11" x14ac:dyDescent="0.3">
      <c r="A148" s="248" t="s">
        <v>74</v>
      </c>
      <c r="B148" s="248" t="s">
        <v>194</v>
      </c>
      <c r="C148" s="248" t="s">
        <v>196</v>
      </c>
      <c r="D148" s="68" t="s">
        <v>2</v>
      </c>
      <c r="E148" s="68" t="s">
        <v>57</v>
      </c>
      <c r="F148" s="249">
        <f>K148/5</f>
        <v>507.07099473629859</v>
      </c>
      <c r="G148" s="249">
        <f t="shared" si="28"/>
        <v>507.07099473629859</v>
      </c>
      <c r="H148" s="249">
        <f t="shared" si="28"/>
        <v>507.07099473629859</v>
      </c>
      <c r="I148" s="249">
        <f t="shared" si="28"/>
        <v>507.07099473629859</v>
      </c>
      <c r="J148" s="249">
        <f t="shared" si="28"/>
        <v>507.07099473629859</v>
      </c>
      <c r="K148" s="248">
        <f>INDEX('Final allowances'!$H$6:$H$22,MATCH(F_Outputs!A148,'Final allowances'!$B$6:$B$22,0))</f>
        <v>2535.354973681493</v>
      </c>
    </row>
    <row r="149" spans="1:11" x14ac:dyDescent="0.3">
      <c r="A149" s="248" t="s">
        <v>74</v>
      </c>
      <c r="B149" s="248" t="s">
        <v>319</v>
      </c>
      <c r="C149" s="248" t="s">
        <v>320</v>
      </c>
      <c r="D149" s="68" t="s">
        <v>2</v>
      </c>
      <c r="E149" s="68" t="s">
        <v>57</v>
      </c>
      <c r="F149" s="249">
        <f>K149/5</f>
        <v>0</v>
      </c>
      <c r="G149" s="249">
        <f t="shared" si="28"/>
        <v>0</v>
      </c>
      <c r="H149" s="249">
        <f t="shared" si="28"/>
        <v>0</v>
      </c>
      <c r="I149" s="249">
        <f t="shared" si="28"/>
        <v>0</v>
      </c>
      <c r="J149" s="249">
        <f t="shared" si="28"/>
        <v>0</v>
      </c>
      <c r="K149" s="248">
        <f>INDEX('Final allowances'!$E$6:$E$22,MATCH(F_Outputs!A149,'Final allowances'!$B$6:$B$22,0))</f>
        <v>0</v>
      </c>
    </row>
    <row r="150" spans="1:11" x14ac:dyDescent="0.3">
      <c r="A150" s="248" t="s">
        <v>74</v>
      </c>
      <c r="B150" s="248" t="s">
        <v>197</v>
      </c>
      <c r="C150" s="248" t="s">
        <v>199</v>
      </c>
      <c r="D150" s="68" t="s">
        <v>2</v>
      </c>
      <c r="E150" s="68" t="s">
        <v>57</v>
      </c>
      <c r="F150" s="68">
        <f>K150/5</f>
        <v>10.711343007656595</v>
      </c>
      <c r="G150" s="68">
        <f>F150</f>
        <v>10.711343007656595</v>
      </c>
      <c r="H150" s="68">
        <f t="shared" ref="H150:J150" si="29">G150</f>
        <v>10.711343007656595</v>
      </c>
      <c r="I150" s="68">
        <f t="shared" si="29"/>
        <v>10.711343007656595</v>
      </c>
      <c r="J150" s="68">
        <f t="shared" si="29"/>
        <v>10.711343007656595</v>
      </c>
      <c r="K150" s="248">
        <f>K137+K139+K141+K144</f>
        <v>53.556715038282974</v>
      </c>
    </row>
    <row r="151" spans="1:11" x14ac:dyDescent="0.3">
      <c r="A151" s="248" t="s">
        <v>74</v>
      </c>
      <c r="B151" s="248" t="s">
        <v>198</v>
      </c>
      <c r="C151" s="248" t="s">
        <v>200</v>
      </c>
      <c r="D151" s="68" t="s">
        <v>2</v>
      </c>
      <c r="E151" s="68" t="s">
        <v>57</v>
      </c>
      <c r="F151" s="68">
        <f>K151/5</f>
        <v>21.287068592916818</v>
      </c>
      <c r="G151" s="68">
        <f>F151</f>
        <v>21.287068592916818</v>
      </c>
      <c r="H151" s="68">
        <f t="shared" ref="H151:J151" si="30">G151</f>
        <v>21.287068592916818</v>
      </c>
      <c r="I151" s="68">
        <f t="shared" si="30"/>
        <v>21.287068592916818</v>
      </c>
      <c r="J151" s="68">
        <f t="shared" si="30"/>
        <v>21.287068592916818</v>
      </c>
      <c r="K151" s="248">
        <f>K138+K140+K142+K143</f>
        <v>106.43534296458409</v>
      </c>
    </row>
    <row r="152" spans="1:11" ht="14.5" x14ac:dyDescent="0.3">
      <c r="A152" s="248" t="s">
        <v>74</v>
      </c>
      <c r="B152" s="68" t="s">
        <v>113</v>
      </c>
      <c r="C152" s="68" t="s">
        <v>98</v>
      </c>
      <c r="D152" s="68" t="s">
        <v>62</v>
      </c>
      <c r="E152" s="68" t="s">
        <v>57</v>
      </c>
      <c r="F152" s="250" t="str">
        <f ca="1">CONCATENATE("[…]", TEXT(NOW(),"dd/mm/yyy hh:mm:ss"))</f>
        <v>[…]11/12/2019 16:31:19</v>
      </c>
      <c r="G152" s="250" t="str">
        <f t="shared" ref="G152:K152" ca="1" si="31">CONCATENATE("[…]", TEXT(NOW(),"dd/mm/yyy hh:mm:ss"))</f>
        <v>[…]11/12/2019 16:31:19</v>
      </c>
      <c r="H152" s="250" t="str">
        <f t="shared" ca="1" si="31"/>
        <v>[…]11/12/2019 16:31:19</v>
      </c>
      <c r="I152" s="250" t="str">
        <f t="shared" ca="1" si="31"/>
        <v>[…]11/12/2019 16:31:19</v>
      </c>
      <c r="J152" s="250" t="str">
        <f t="shared" ca="1" si="31"/>
        <v>[…]11/12/2019 16:31:19</v>
      </c>
      <c r="K152" s="250" t="str">
        <f t="shared" ca="1" si="31"/>
        <v>[…]11/12/2019 16:31:19</v>
      </c>
    </row>
    <row r="153" spans="1:11" x14ac:dyDescent="0.3">
      <c r="A153" s="248" t="s">
        <v>74</v>
      </c>
      <c r="B153" s="68" t="s">
        <v>114</v>
      </c>
      <c r="C153" s="68" t="s">
        <v>99</v>
      </c>
      <c r="D153" s="68" t="s">
        <v>62</v>
      </c>
      <c r="E153" s="68" t="s">
        <v>57</v>
      </c>
      <c r="F153" s="251" t="s">
        <v>316</v>
      </c>
      <c r="G153" s="251" t="s">
        <v>316</v>
      </c>
      <c r="H153" s="251" t="s">
        <v>316</v>
      </c>
      <c r="I153" s="251" t="s">
        <v>316</v>
      </c>
      <c r="J153" s="251" t="s">
        <v>316</v>
      </c>
      <c r="K153" s="251" t="s">
        <v>316</v>
      </c>
    </row>
    <row r="154" spans="1:11" x14ac:dyDescent="0.3">
      <c r="A154" s="248" t="s">
        <v>19</v>
      </c>
      <c r="B154" s="248" t="str">
        <f xml:space="preserve"> B129</f>
        <v>C_TBC_WR_PR19CA004_OFWAT</v>
      </c>
      <c r="C154" s="248" t="s">
        <v>215</v>
      </c>
      <c r="D154" s="68" t="s">
        <v>2</v>
      </c>
      <c r="E154" s="68" t="s">
        <v>57</v>
      </c>
      <c r="F154" s="68"/>
      <c r="G154" s="68"/>
      <c r="H154" s="68"/>
      <c r="I154" s="68"/>
      <c r="J154" s="68"/>
      <c r="K154" s="248">
        <f>'Final allowances'!$O$33</f>
        <v>64.596650218785271</v>
      </c>
    </row>
    <row r="155" spans="1:11" x14ac:dyDescent="0.3">
      <c r="A155" s="248" t="s">
        <v>19</v>
      </c>
      <c r="B155" s="248" t="str">
        <f xml:space="preserve"> B130</f>
        <v>C_TBC_WN_PR19CA004_OFWAT</v>
      </c>
      <c r="C155" s="248" t="s">
        <v>217</v>
      </c>
      <c r="D155" s="68" t="s">
        <v>2</v>
      </c>
      <c r="E155" s="68" t="s">
        <v>57</v>
      </c>
      <c r="F155" s="68"/>
      <c r="G155" s="68"/>
      <c r="H155" s="68"/>
      <c r="I155" s="68"/>
      <c r="J155" s="68"/>
      <c r="K155" s="248">
        <f>'Final allowances'!$P$33</f>
        <v>709.28828211428674</v>
      </c>
    </row>
    <row r="156" spans="1:11" x14ac:dyDescent="0.3">
      <c r="A156" s="248" t="s">
        <v>19</v>
      </c>
      <c r="B156" s="248" t="s">
        <v>317</v>
      </c>
      <c r="C156" s="248" t="s">
        <v>236</v>
      </c>
      <c r="D156" s="68" t="s">
        <v>2</v>
      </c>
      <c r="E156" s="68" t="s">
        <v>57</v>
      </c>
      <c r="F156" s="68"/>
      <c r="G156" s="68"/>
      <c r="H156" s="68"/>
      <c r="I156" s="68"/>
      <c r="J156" s="68"/>
      <c r="K156" s="248">
        <f>'Final allowances'!$L$33</f>
        <v>8.2959536449051594</v>
      </c>
    </row>
    <row r="157" spans="1:11" x14ac:dyDescent="0.3">
      <c r="A157" s="248" t="s">
        <v>19</v>
      </c>
      <c r="B157" s="248" t="s">
        <v>318</v>
      </c>
      <c r="C157" s="248" t="s">
        <v>237</v>
      </c>
      <c r="D157" s="68" t="s">
        <v>2</v>
      </c>
      <c r="E157" s="68" t="s">
        <v>57</v>
      </c>
      <c r="F157" s="68"/>
      <c r="G157" s="68"/>
      <c r="H157" s="68"/>
      <c r="I157" s="68"/>
      <c r="J157" s="68"/>
      <c r="K157" s="248">
        <f>'Final allowances'!$M$33</f>
        <v>95.703553921067524</v>
      </c>
    </row>
    <row r="158" spans="1:11" x14ac:dyDescent="0.3">
      <c r="A158" s="248" t="s">
        <v>19</v>
      </c>
      <c r="B158" s="248" t="s">
        <v>327</v>
      </c>
      <c r="C158" s="248" t="s">
        <v>329</v>
      </c>
      <c r="D158" s="68" t="s">
        <v>2</v>
      </c>
      <c r="E158" s="68" t="s">
        <v>57</v>
      </c>
      <c r="F158" s="68"/>
      <c r="G158" s="68"/>
      <c r="H158" s="68"/>
      <c r="I158" s="68"/>
      <c r="J158" s="68"/>
      <c r="K158" s="248">
        <f>'Final allowances'!$F$33</f>
        <v>23.07973755910934</v>
      </c>
    </row>
    <row r="159" spans="1:11" x14ac:dyDescent="0.3">
      <c r="A159" s="248" t="s">
        <v>19</v>
      </c>
      <c r="B159" s="248" t="s">
        <v>328</v>
      </c>
      <c r="C159" s="248" t="s">
        <v>330</v>
      </c>
      <c r="D159" s="68" t="s">
        <v>2</v>
      </c>
      <c r="E159" s="68" t="s">
        <v>57</v>
      </c>
      <c r="F159" s="68"/>
      <c r="G159" s="68"/>
      <c r="H159" s="68"/>
      <c r="I159" s="68"/>
      <c r="J159" s="68"/>
      <c r="K159" s="248">
        <f>'Final allowances'!$G$33</f>
        <v>1.9375101346816139</v>
      </c>
    </row>
    <row r="160" spans="1:11" x14ac:dyDescent="0.3">
      <c r="A160" s="248" t="s">
        <v>19</v>
      </c>
      <c r="B160" s="248" t="str">
        <f t="shared" ref="B160:B167" si="32" xml:space="preserve"> B135</f>
        <v>C_ENC_WR_PR19CA004_OFWAT</v>
      </c>
      <c r="C160" s="248" t="s">
        <v>226</v>
      </c>
      <c r="D160" s="68" t="s">
        <v>2</v>
      </c>
      <c r="E160" s="68" t="s">
        <v>57</v>
      </c>
      <c r="F160" s="68"/>
      <c r="G160" s="68"/>
      <c r="H160" s="68"/>
      <c r="I160" s="68"/>
      <c r="J160" s="68"/>
      <c r="K160" s="248">
        <f>'Final allowances'!$C$54</f>
        <v>9.3558000000000003</v>
      </c>
    </row>
    <row r="161" spans="1:11" x14ac:dyDescent="0.3">
      <c r="A161" s="248" t="s">
        <v>19</v>
      </c>
      <c r="B161" s="248" t="str">
        <f t="shared" si="32"/>
        <v>C_ENC_WN_PR19CA004_OFWAT</v>
      </c>
      <c r="C161" s="248" t="s">
        <v>227</v>
      </c>
      <c r="D161" s="68" t="s">
        <v>2</v>
      </c>
      <c r="E161" s="68" t="s">
        <v>57</v>
      </c>
      <c r="F161" s="68"/>
      <c r="G161" s="68"/>
      <c r="H161" s="68"/>
      <c r="I161" s="68"/>
      <c r="J161" s="68"/>
      <c r="K161" s="248">
        <f>'Final allowances'!$D$54</f>
        <v>144.93473895067913</v>
      </c>
    </row>
    <row r="162" spans="1:11" x14ac:dyDescent="0.3">
      <c r="A162" s="248" t="s">
        <v>19</v>
      </c>
      <c r="B162" s="248" t="str">
        <f t="shared" si="32"/>
        <v>C_3PTYC_WR_PR19CA004_OFWAT</v>
      </c>
      <c r="C162" s="248" t="s">
        <v>228</v>
      </c>
      <c r="D162" s="68" t="s">
        <v>2</v>
      </c>
      <c r="E162" s="68" t="s">
        <v>57</v>
      </c>
      <c r="F162" s="68"/>
      <c r="G162" s="68"/>
      <c r="H162" s="68"/>
      <c r="I162" s="68"/>
      <c r="J162" s="68"/>
      <c r="K162" s="248">
        <f>'Final allowances'!$C$77</f>
        <v>0</v>
      </c>
    </row>
    <row r="163" spans="1:11" x14ac:dyDescent="0.3">
      <c r="A163" s="248" t="s">
        <v>19</v>
      </c>
      <c r="B163" s="248" t="str">
        <f t="shared" si="32"/>
        <v>C_3PTYC_WN_PR19CA004_OFWAT</v>
      </c>
      <c r="C163" s="248" t="s">
        <v>229</v>
      </c>
      <c r="D163" s="68" t="s">
        <v>2</v>
      </c>
      <c r="E163" s="68" t="s">
        <v>57</v>
      </c>
      <c r="F163" s="68"/>
      <c r="G163" s="68"/>
      <c r="H163" s="68"/>
      <c r="I163" s="68"/>
      <c r="J163" s="68"/>
      <c r="K163" s="248">
        <f>'Final allowances'!$D$77</f>
        <v>4.6636550478014653</v>
      </c>
    </row>
    <row r="164" spans="1:11" x14ac:dyDescent="0.3">
      <c r="A164" s="248" t="s">
        <v>19</v>
      </c>
      <c r="B164" s="248" t="str">
        <f t="shared" si="32"/>
        <v>C_CSH_WR_PR19CA004_OFWAT</v>
      </c>
      <c r="C164" s="248" t="s">
        <v>230</v>
      </c>
      <c r="D164" s="68" t="s">
        <v>2</v>
      </c>
      <c r="E164" s="68" t="s">
        <v>57</v>
      </c>
      <c r="F164" s="68"/>
      <c r="G164" s="68"/>
      <c r="H164" s="68"/>
      <c r="I164" s="68"/>
      <c r="J164" s="68"/>
      <c r="K164" s="248">
        <f>'Final allowances'!$F$77</f>
        <v>0</v>
      </c>
    </row>
    <row r="165" spans="1:11" x14ac:dyDescent="0.3">
      <c r="A165" s="248" t="s">
        <v>19</v>
      </c>
      <c r="B165" s="248" t="str">
        <f t="shared" si="32"/>
        <v>C_CSH_WN_PR19CA004_OFWAT</v>
      </c>
      <c r="C165" s="248" t="s">
        <v>231</v>
      </c>
      <c r="D165" s="68" t="s">
        <v>2</v>
      </c>
      <c r="E165" s="68" t="s">
        <v>57</v>
      </c>
      <c r="F165" s="68"/>
      <c r="G165" s="68"/>
      <c r="H165" s="68"/>
      <c r="I165" s="68"/>
      <c r="J165" s="68"/>
      <c r="K165" s="248">
        <f>'Final allowances'!$G$77</f>
        <v>0</v>
      </c>
    </row>
    <row r="166" spans="1:11" x14ac:dyDescent="0.3">
      <c r="A166" s="248" t="s">
        <v>19</v>
      </c>
      <c r="B166" s="248" t="str">
        <f t="shared" si="32"/>
        <v>C_SSDC_WR_PR19CA004_OFWAT</v>
      </c>
      <c r="C166" s="248" t="s">
        <v>232</v>
      </c>
      <c r="D166" s="68" t="s">
        <v>2</v>
      </c>
      <c r="E166" s="68" t="s">
        <v>57</v>
      </c>
      <c r="F166" s="68"/>
      <c r="G166" s="68"/>
      <c r="H166" s="68"/>
      <c r="I166" s="68"/>
      <c r="J166" s="68"/>
      <c r="K166" s="248">
        <f>'Final allowances'!$L$77</f>
        <v>0.98249999999999993</v>
      </c>
    </row>
    <row r="167" spans="1:11" x14ac:dyDescent="0.3">
      <c r="A167" s="248" t="s">
        <v>19</v>
      </c>
      <c r="B167" s="248" t="str">
        <f t="shared" si="32"/>
        <v>C_SSDC_WN_PR19CA004_OFWAT</v>
      </c>
      <c r="C167" s="248" t="s">
        <v>233</v>
      </c>
      <c r="D167" s="68" t="s">
        <v>2</v>
      </c>
      <c r="E167" s="68" t="s">
        <v>57</v>
      </c>
      <c r="F167" s="68"/>
      <c r="G167" s="68"/>
      <c r="H167" s="68"/>
      <c r="I167" s="68"/>
      <c r="J167" s="68"/>
      <c r="K167" s="248">
        <f>'Final allowances'!$M$77</f>
        <v>2.9474999999999993</v>
      </c>
    </row>
    <row r="168" spans="1:11" x14ac:dyDescent="0.3">
      <c r="A168" s="248" t="s">
        <v>19</v>
      </c>
      <c r="B168" s="248" t="s">
        <v>331</v>
      </c>
      <c r="C168" s="248" t="s">
        <v>332</v>
      </c>
      <c r="D168" s="68" t="s">
        <v>2</v>
      </c>
      <c r="E168" s="68" t="s">
        <v>57</v>
      </c>
      <c r="F168" s="68"/>
      <c r="G168" s="68"/>
      <c r="H168" s="68"/>
      <c r="I168" s="68"/>
      <c r="J168" s="68"/>
      <c r="K168" s="248">
        <f>'Final allowances'!$P$77</f>
        <v>0.45273478021454727</v>
      </c>
    </row>
    <row r="169" spans="1:11" x14ac:dyDescent="0.3">
      <c r="A169" s="248" t="s">
        <v>19</v>
      </c>
      <c r="B169" s="248" t="s">
        <v>333</v>
      </c>
      <c r="C169" s="248" t="s">
        <v>334</v>
      </c>
      <c r="D169" s="68" t="s">
        <v>2</v>
      </c>
      <c r="E169" s="68" t="s">
        <v>57</v>
      </c>
      <c r="F169" s="68"/>
      <c r="G169" s="68"/>
      <c r="H169" s="68"/>
      <c r="I169" s="68"/>
      <c r="J169" s="68"/>
      <c r="K169" s="248">
        <f>'Final allowances'!$O$77</f>
        <v>0</v>
      </c>
    </row>
    <row r="170" spans="1:11" x14ac:dyDescent="0.3">
      <c r="A170" s="248" t="s">
        <v>19</v>
      </c>
      <c r="B170" s="248" t="str">
        <f xml:space="preserve"> B145</f>
        <v xml:space="preserve">C_WRPDR_PR19CA004 </v>
      </c>
      <c r="C170" s="248" t="s">
        <v>109</v>
      </c>
      <c r="D170" s="68" t="s">
        <v>2</v>
      </c>
      <c r="E170" s="68" t="s">
        <v>57</v>
      </c>
      <c r="F170" s="68">
        <f xml:space="preserve"> INDEX( PDR!$D$5:$D$89, MATCH(F_Outputs!$A170 &amp; RIGHT( F_Outputs!F$2, 2),PDR!$A$5:$A$89, 0 ) )</f>
        <v>0.20374909223196042</v>
      </c>
      <c r="G170" s="68">
        <f xml:space="preserve"> INDEX( PDR!$D$5:$D$89, MATCH(F_Outputs!$A170 &amp; RIGHT( F_Outputs!G$2, 2),PDR!$A$5:$A$89, 0 ) )</f>
        <v>0.20371672996602336</v>
      </c>
      <c r="H170" s="68">
        <f xml:space="preserve"> INDEX( PDR!$D$5:$D$89, MATCH(F_Outputs!$A170 &amp; RIGHT( F_Outputs!H$2, 2),PDR!$A$5:$A$89, 0 ) )</f>
        <v>0</v>
      </c>
      <c r="I170" s="68">
        <f xml:space="preserve"> INDEX( PDR!$D$5:$D$89, MATCH(F_Outputs!$A170 &amp; RIGHT( F_Outputs!I$2, 2),PDR!$A$5:$A$89, 0 ) )</f>
        <v>0</v>
      </c>
      <c r="J170" s="68">
        <f xml:space="preserve"> INDEX( PDR!$D$5:$D$89, MATCH(F_Outputs!$A170 &amp; RIGHT( F_Outputs!J$2, 2),PDR!$A$5:$A$89, 0 ) )</f>
        <v>0</v>
      </c>
      <c r="K170" s="248"/>
    </row>
    <row r="171" spans="1:11" x14ac:dyDescent="0.3">
      <c r="A171" s="248" t="s">
        <v>19</v>
      </c>
      <c r="B171" s="248" t="str">
        <f xml:space="preserve"> B146</f>
        <v>C_WNPDR_PR19CA004</v>
      </c>
      <c r="C171" s="248" t="s">
        <v>110</v>
      </c>
      <c r="D171" s="68" t="s">
        <v>2</v>
      </c>
      <c r="E171" s="68" t="s">
        <v>57</v>
      </c>
      <c r="F171" s="68">
        <f>INDEX(PDR!$E$5:$E$89,MATCH(F_Outputs!$A171&amp;RIGHT(F_Outputs!F$2,2),PDR!$A$5:$A$89,0))</f>
        <v>4.4455255368845883</v>
      </c>
      <c r="G171" s="68">
        <f>INDEX(PDR!$E$5:$E$89,MATCH(F_Outputs!$A171&amp;RIGHT(F_Outputs!G$2,2),PDR!$A$5:$A$89,0))</f>
        <v>4.4451781611518211</v>
      </c>
      <c r="H171" s="68">
        <f>INDEX(PDR!$E$5:$E$89,MATCH(F_Outputs!$A171&amp;RIGHT(F_Outputs!H$2,2),PDR!$A$5:$A$89,0))</f>
        <v>0</v>
      </c>
      <c r="I171" s="68">
        <f>INDEX(PDR!$E$5:$E$89,MATCH(F_Outputs!$A171&amp;RIGHT(F_Outputs!I$2,2),PDR!$A$5:$A$89,0))</f>
        <v>0</v>
      </c>
      <c r="J171" s="68">
        <f>INDEX(PDR!$E$5:$E$89,MATCH(F_Outputs!$A171&amp;RIGHT(F_Outputs!J$2,2),PDR!$A$5:$A$89,0))</f>
        <v>0</v>
      </c>
      <c r="K171" s="248"/>
    </row>
    <row r="172" spans="1:11" x14ac:dyDescent="0.3">
      <c r="A172" s="248" t="s">
        <v>19</v>
      </c>
      <c r="B172" s="248" t="s">
        <v>193</v>
      </c>
      <c r="C172" s="248" t="s">
        <v>195</v>
      </c>
      <c r="D172" s="68" t="s">
        <v>2</v>
      </c>
      <c r="E172" s="68" t="s">
        <v>57</v>
      </c>
      <c r="F172" s="249">
        <f>K172/5</f>
        <v>14.790490043757055</v>
      </c>
      <c r="G172" s="249">
        <f t="shared" ref="G172:J174" si="33">F172</f>
        <v>14.790490043757055</v>
      </c>
      <c r="H172" s="249">
        <f t="shared" si="33"/>
        <v>14.790490043757055</v>
      </c>
      <c r="I172" s="249">
        <f t="shared" si="33"/>
        <v>14.790490043757055</v>
      </c>
      <c r="J172" s="249">
        <f t="shared" si="33"/>
        <v>14.790490043757055</v>
      </c>
      <c r="K172" s="248">
        <f>INDEX('Final allowances'!$G$6:$G$22,MATCH(F_Outputs!A172,'Final allowances'!$B$6:$B$22,0))</f>
        <v>73.952450218785273</v>
      </c>
    </row>
    <row r="173" spans="1:11" x14ac:dyDescent="0.3">
      <c r="A173" s="248" t="s">
        <v>19</v>
      </c>
      <c r="B173" s="248" t="s">
        <v>194</v>
      </c>
      <c r="C173" s="248" t="s">
        <v>196</v>
      </c>
      <c r="D173" s="68" t="s">
        <v>2</v>
      </c>
      <c r="E173" s="68" t="s">
        <v>57</v>
      </c>
      <c r="F173" s="249">
        <f>K173/5</f>
        <v>170.84460421299318</v>
      </c>
      <c r="G173" s="249">
        <f t="shared" si="33"/>
        <v>170.84460421299318</v>
      </c>
      <c r="H173" s="249">
        <f t="shared" si="33"/>
        <v>170.84460421299318</v>
      </c>
      <c r="I173" s="249">
        <f t="shared" si="33"/>
        <v>170.84460421299318</v>
      </c>
      <c r="J173" s="249">
        <f t="shared" si="33"/>
        <v>170.84460421299318</v>
      </c>
      <c r="K173" s="248">
        <f>INDEX('Final allowances'!$H$6:$H$22,MATCH(F_Outputs!A173,'Final allowances'!$B$6:$B$22,0))</f>
        <v>854.22302106496591</v>
      </c>
    </row>
    <row r="174" spans="1:11" x14ac:dyDescent="0.3">
      <c r="A174" s="248" t="s">
        <v>19</v>
      </c>
      <c r="B174" s="248" t="s">
        <v>319</v>
      </c>
      <c r="C174" s="248" t="s">
        <v>320</v>
      </c>
      <c r="D174" s="68" t="s">
        <v>2</v>
      </c>
      <c r="E174" s="68" t="s">
        <v>57</v>
      </c>
      <c r="F174" s="249">
        <f>K174/5</f>
        <v>0</v>
      </c>
      <c r="G174" s="249">
        <f t="shared" si="33"/>
        <v>0</v>
      </c>
      <c r="H174" s="249">
        <f t="shared" si="33"/>
        <v>0</v>
      </c>
      <c r="I174" s="249">
        <f t="shared" si="33"/>
        <v>0</v>
      </c>
      <c r="J174" s="249">
        <f t="shared" si="33"/>
        <v>0</v>
      </c>
      <c r="K174" s="248">
        <f>INDEX('Final allowances'!$E$6:$E$22,MATCH(F_Outputs!A174,'Final allowances'!$B$6:$B$22,0))</f>
        <v>0</v>
      </c>
    </row>
    <row r="175" spans="1:11" x14ac:dyDescent="0.3">
      <c r="A175" s="248" t="s">
        <v>19</v>
      </c>
      <c r="B175" s="248" t="s">
        <v>197</v>
      </c>
      <c r="C175" s="248" t="s">
        <v>199</v>
      </c>
      <c r="D175" s="68" t="s">
        <v>2</v>
      </c>
      <c r="E175" s="68" t="s">
        <v>57</v>
      </c>
      <c r="F175" s="68">
        <f>K175/5</f>
        <v>0.19649999999999998</v>
      </c>
      <c r="G175" s="68">
        <f>F175</f>
        <v>0.19649999999999998</v>
      </c>
      <c r="H175" s="68">
        <f t="shared" ref="H175:J175" si="34">G175</f>
        <v>0.19649999999999998</v>
      </c>
      <c r="I175" s="68">
        <f t="shared" si="34"/>
        <v>0.19649999999999998</v>
      </c>
      <c r="J175" s="68">
        <f t="shared" si="34"/>
        <v>0.19649999999999998</v>
      </c>
      <c r="K175" s="248">
        <f>K162+K164+K166+K169</f>
        <v>0.98249999999999993</v>
      </c>
    </row>
    <row r="176" spans="1:11" x14ac:dyDescent="0.3">
      <c r="A176" s="248" t="s">
        <v>19</v>
      </c>
      <c r="B176" s="248" t="s">
        <v>198</v>
      </c>
      <c r="C176" s="248" t="s">
        <v>200</v>
      </c>
      <c r="D176" s="68" t="s">
        <v>2</v>
      </c>
      <c r="E176" s="68" t="s">
        <v>57</v>
      </c>
      <c r="F176" s="68">
        <f>K176/5</f>
        <v>1.6127779656032022</v>
      </c>
      <c r="G176" s="68">
        <f>F176</f>
        <v>1.6127779656032022</v>
      </c>
      <c r="H176" s="68">
        <f t="shared" ref="H176:J176" si="35">G176</f>
        <v>1.6127779656032022</v>
      </c>
      <c r="I176" s="68">
        <f t="shared" si="35"/>
        <v>1.6127779656032022</v>
      </c>
      <c r="J176" s="68">
        <f t="shared" si="35"/>
        <v>1.6127779656032022</v>
      </c>
      <c r="K176" s="248">
        <f>K163+K165+K167+K168</f>
        <v>8.063889828016011</v>
      </c>
    </row>
    <row r="177" spans="1:11" ht="14.5" x14ac:dyDescent="0.3">
      <c r="A177" s="248" t="s">
        <v>19</v>
      </c>
      <c r="B177" s="68" t="s">
        <v>113</v>
      </c>
      <c r="C177" s="68" t="s">
        <v>98</v>
      </c>
      <c r="D177" s="68" t="s">
        <v>62</v>
      </c>
      <c r="E177" s="68" t="s">
        <v>57</v>
      </c>
      <c r="F177" s="250" t="str">
        <f ca="1">CONCATENATE("[…]", TEXT(NOW(),"dd/mm/yyy hh:mm:ss"))</f>
        <v>[…]11/12/2019 16:31:19</v>
      </c>
      <c r="G177" s="250" t="str">
        <f t="shared" ref="G177:K177" ca="1" si="36">CONCATENATE("[…]", TEXT(NOW(),"dd/mm/yyy hh:mm:ss"))</f>
        <v>[…]11/12/2019 16:31:19</v>
      </c>
      <c r="H177" s="250" t="str">
        <f t="shared" ca="1" si="36"/>
        <v>[…]11/12/2019 16:31:19</v>
      </c>
      <c r="I177" s="250" t="str">
        <f t="shared" ca="1" si="36"/>
        <v>[…]11/12/2019 16:31:19</v>
      </c>
      <c r="J177" s="250" t="str">
        <f t="shared" ca="1" si="36"/>
        <v>[…]11/12/2019 16:31:19</v>
      </c>
      <c r="K177" s="250" t="str">
        <f t="shared" ca="1" si="36"/>
        <v>[…]11/12/2019 16:31:19</v>
      </c>
    </row>
    <row r="178" spans="1:11" x14ac:dyDescent="0.3">
      <c r="A178" s="248" t="s">
        <v>19</v>
      </c>
      <c r="B178" s="68" t="s">
        <v>114</v>
      </c>
      <c r="C178" s="68" t="s">
        <v>99</v>
      </c>
      <c r="D178" s="68" t="s">
        <v>62</v>
      </c>
      <c r="E178" s="68" t="s">
        <v>57</v>
      </c>
      <c r="F178" s="251" t="s">
        <v>316</v>
      </c>
      <c r="G178" s="251" t="s">
        <v>316</v>
      </c>
      <c r="H178" s="251" t="s">
        <v>316</v>
      </c>
      <c r="I178" s="251" t="s">
        <v>316</v>
      </c>
      <c r="J178" s="251" t="s">
        <v>316</v>
      </c>
      <c r="K178" s="251" t="s">
        <v>316</v>
      </c>
    </row>
    <row r="179" spans="1:11" x14ac:dyDescent="0.3">
      <c r="A179" s="248" t="s">
        <v>9</v>
      </c>
      <c r="B179" s="248" t="str">
        <f xml:space="preserve"> B154</f>
        <v>C_TBC_WR_PR19CA004_OFWAT</v>
      </c>
      <c r="C179" s="248" t="s">
        <v>215</v>
      </c>
      <c r="D179" s="68" t="s">
        <v>2</v>
      </c>
      <c r="E179" s="68" t="s">
        <v>57</v>
      </c>
      <c r="F179" s="68"/>
      <c r="G179" s="68"/>
      <c r="H179" s="68"/>
      <c r="I179" s="68"/>
      <c r="J179" s="68"/>
      <c r="K179" s="248">
        <f>'Final allowances'!$O$34</f>
        <v>342.35834468158743</v>
      </c>
    </row>
    <row r="180" spans="1:11" x14ac:dyDescent="0.3">
      <c r="A180" s="248" t="s">
        <v>9</v>
      </c>
      <c r="B180" s="248" t="str">
        <f xml:space="preserve"> B155</f>
        <v>C_TBC_WN_PR19CA004_OFWAT</v>
      </c>
      <c r="C180" s="248" t="s">
        <v>217</v>
      </c>
      <c r="D180" s="68" t="s">
        <v>2</v>
      </c>
      <c r="E180" s="68" t="s">
        <v>57</v>
      </c>
      <c r="F180" s="68"/>
      <c r="G180" s="68"/>
      <c r="H180" s="68"/>
      <c r="I180" s="68"/>
      <c r="J180" s="68"/>
      <c r="K180" s="248">
        <f>'Final allowances'!$P$34</f>
        <v>3357.7962049441612</v>
      </c>
    </row>
    <row r="181" spans="1:11" x14ac:dyDescent="0.3">
      <c r="A181" s="248" t="s">
        <v>9</v>
      </c>
      <c r="B181" s="248" t="s">
        <v>317</v>
      </c>
      <c r="C181" s="248" t="s">
        <v>236</v>
      </c>
      <c r="D181" s="68" t="s">
        <v>2</v>
      </c>
      <c r="E181" s="68" t="s">
        <v>57</v>
      </c>
      <c r="F181" s="68"/>
      <c r="G181" s="68"/>
      <c r="H181" s="68"/>
      <c r="I181" s="68"/>
      <c r="J181" s="68"/>
      <c r="K181" s="248">
        <f>'Final allowances'!$L$34</f>
        <v>17.005661224400871</v>
      </c>
    </row>
    <row r="182" spans="1:11" x14ac:dyDescent="0.3">
      <c r="A182" s="248" t="s">
        <v>9</v>
      </c>
      <c r="B182" s="248" t="s">
        <v>318</v>
      </c>
      <c r="C182" s="248" t="s">
        <v>237</v>
      </c>
      <c r="D182" s="68" t="s">
        <v>2</v>
      </c>
      <c r="E182" s="68" t="s">
        <v>57</v>
      </c>
      <c r="F182" s="68"/>
      <c r="G182" s="68"/>
      <c r="H182" s="68"/>
      <c r="I182" s="68"/>
      <c r="J182" s="68"/>
      <c r="K182" s="248">
        <f>'Final allowances'!$M$34</f>
        <v>352.64729700196295</v>
      </c>
    </row>
    <row r="183" spans="1:11" x14ac:dyDescent="0.3">
      <c r="A183" s="248" t="s">
        <v>9</v>
      </c>
      <c r="B183" s="248" t="s">
        <v>327</v>
      </c>
      <c r="C183" s="248" t="s">
        <v>329</v>
      </c>
      <c r="D183" s="68" t="s">
        <v>2</v>
      </c>
      <c r="E183" s="68" t="s">
        <v>57</v>
      </c>
      <c r="F183" s="68"/>
      <c r="G183" s="68"/>
      <c r="H183" s="68"/>
      <c r="I183" s="68"/>
      <c r="J183" s="68"/>
      <c r="K183" s="248">
        <f>'Final allowances'!$F$34</f>
        <v>64.6489986033082</v>
      </c>
    </row>
    <row r="184" spans="1:11" x14ac:dyDescent="0.3">
      <c r="A184" s="248" t="s">
        <v>9</v>
      </c>
      <c r="B184" s="248" t="s">
        <v>328</v>
      </c>
      <c r="C184" s="248" t="s">
        <v>330</v>
      </c>
      <c r="D184" s="68" t="s">
        <v>2</v>
      </c>
      <c r="E184" s="68" t="s">
        <v>57</v>
      </c>
      <c r="F184" s="68"/>
      <c r="G184" s="68"/>
      <c r="H184" s="68"/>
      <c r="I184" s="68"/>
      <c r="J184" s="68"/>
      <c r="K184" s="248">
        <f>'Final allowances'!$G$34</f>
        <v>0.38330565983781373</v>
      </c>
    </row>
    <row r="185" spans="1:11" x14ac:dyDescent="0.3">
      <c r="A185" s="248" t="s">
        <v>9</v>
      </c>
      <c r="B185" s="248" t="str">
        <f t="shared" ref="B185:B192" si="37" xml:space="preserve"> B160</f>
        <v>C_ENC_WR_PR19CA004_OFWAT</v>
      </c>
      <c r="C185" s="248" t="s">
        <v>226</v>
      </c>
      <c r="D185" s="68" t="s">
        <v>2</v>
      </c>
      <c r="E185" s="68" t="s">
        <v>57</v>
      </c>
      <c r="F185" s="68"/>
      <c r="G185" s="68"/>
      <c r="H185" s="68"/>
      <c r="I185" s="68"/>
      <c r="J185" s="68"/>
      <c r="K185" s="248">
        <f>'Final allowances'!$C$55</f>
        <v>119.22934983119968</v>
      </c>
    </row>
    <row r="186" spans="1:11" x14ac:dyDescent="0.3">
      <c r="A186" s="248" t="s">
        <v>9</v>
      </c>
      <c r="B186" s="248" t="str">
        <f t="shared" si="37"/>
        <v>C_ENC_WN_PR19CA004_OFWAT</v>
      </c>
      <c r="C186" s="248" t="s">
        <v>227</v>
      </c>
      <c r="D186" s="68" t="s">
        <v>2</v>
      </c>
      <c r="E186" s="68" t="s">
        <v>57</v>
      </c>
      <c r="F186" s="68"/>
      <c r="G186" s="68"/>
      <c r="H186" s="68"/>
      <c r="I186" s="68"/>
      <c r="J186" s="68"/>
      <c r="K186" s="248">
        <f>'Final allowances'!$D$55</f>
        <v>988.47198038701379</v>
      </c>
    </row>
    <row r="187" spans="1:11" x14ac:dyDescent="0.3">
      <c r="A187" s="248" t="s">
        <v>9</v>
      </c>
      <c r="B187" s="248" t="str">
        <f t="shared" si="37"/>
        <v>C_3PTYC_WR_PR19CA004_OFWAT</v>
      </c>
      <c r="C187" s="248" t="s">
        <v>228</v>
      </c>
      <c r="D187" s="68" t="s">
        <v>2</v>
      </c>
      <c r="E187" s="68" t="s">
        <v>57</v>
      </c>
      <c r="F187" s="68"/>
      <c r="G187" s="68"/>
      <c r="H187" s="68"/>
      <c r="I187" s="68"/>
      <c r="J187" s="68"/>
      <c r="K187" s="248">
        <f>'Final allowances'!$C$78</f>
        <v>14.770609899930633</v>
      </c>
    </row>
    <row r="188" spans="1:11" x14ac:dyDescent="0.3">
      <c r="A188" s="248" t="s">
        <v>9</v>
      </c>
      <c r="B188" s="248" t="str">
        <f t="shared" si="37"/>
        <v>C_3PTYC_WN_PR19CA004_OFWAT</v>
      </c>
      <c r="C188" s="248" t="s">
        <v>229</v>
      </c>
      <c r="D188" s="68" t="s">
        <v>2</v>
      </c>
      <c r="E188" s="68" t="s">
        <v>57</v>
      </c>
      <c r="F188" s="68"/>
      <c r="G188" s="68"/>
      <c r="H188" s="68"/>
      <c r="I188" s="68"/>
      <c r="J188" s="68"/>
      <c r="K188" s="248">
        <f>'Final allowances'!$D$78</f>
        <v>18.690638724976477</v>
      </c>
    </row>
    <row r="189" spans="1:11" x14ac:dyDescent="0.3">
      <c r="A189" s="248" t="s">
        <v>9</v>
      </c>
      <c r="B189" s="248" t="str">
        <f t="shared" si="37"/>
        <v>C_CSH_WR_PR19CA004_OFWAT</v>
      </c>
      <c r="C189" s="248" t="s">
        <v>230</v>
      </c>
      <c r="D189" s="68" t="s">
        <v>2</v>
      </c>
      <c r="E189" s="68" t="s">
        <v>57</v>
      </c>
      <c r="F189" s="68"/>
      <c r="G189" s="68"/>
      <c r="H189" s="68"/>
      <c r="I189" s="68"/>
      <c r="J189" s="68"/>
      <c r="K189" s="248">
        <f>'Final allowances'!$F$78</f>
        <v>0</v>
      </c>
    </row>
    <row r="190" spans="1:11" x14ac:dyDescent="0.3">
      <c r="A190" s="248" t="s">
        <v>9</v>
      </c>
      <c r="B190" s="248" t="str">
        <f t="shared" si="37"/>
        <v>C_CSH_WN_PR19CA004_OFWAT</v>
      </c>
      <c r="C190" s="248" t="s">
        <v>231</v>
      </c>
      <c r="D190" s="68" t="s">
        <v>2</v>
      </c>
      <c r="E190" s="68" t="s">
        <v>57</v>
      </c>
      <c r="F190" s="68"/>
      <c r="G190" s="68"/>
      <c r="H190" s="68"/>
      <c r="I190" s="68"/>
      <c r="J190" s="68"/>
      <c r="K190" s="248">
        <f>'Final allowances'!$G$78</f>
        <v>0</v>
      </c>
    </row>
    <row r="191" spans="1:11" x14ac:dyDescent="0.3">
      <c r="A191" s="248" t="s">
        <v>9</v>
      </c>
      <c r="B191" s="248" t="str">
        <f t="shared" si="37"/>
        <v>C_SSDC_WR_PR19CA004_OFWAT</v>
      </c>
      <c r="C191" s="248" t="s">
        <v>232</v>
      </c>
      <c r="D191" s="68" t="s">
        <v>2</v>
      </c>
      <c r="E191" s="68" t="s">
        <v>57</v>
      </c>
      <c r="F191" s="68"/>
      <c r="G191" s="68"/>
      <c r="H191" s="68"/>
      <c r="I191" s="68"/>
      <c r="J191" s="68"/>
      <c r="K191" s="248">
        <f>'Final allowances'!$L$78</f>
        <v>116.32162499686299</v>
      </c>
    </row>
    <row r="192" spans="1:11" x14ac:dyDescent="0.3">
      <c r="A192" s="248" t="s">
        <v>9</v>
      </c>
      <c r="B192" s="248" t="str">
        <f t="shared" si="37"/>
        <v>C_SSDC_WN_PR19CA004_OFWAT</v>
      </c>
      <c r="C192" s="248" t="s">
        <v>233</v>
      </c>
      <c r="D192" s="68" t="s">
        <v>2</v>
      </c>
      <c r="E192" s="68" t="s">
        <v>57</v>
      </c>
      <c r="F192" s="68"/>
      <c r="G192" s="68"/>
      <c r="H192" s="68"/>
      <c r="I192" s="68"/>
      <c r="J192" s="68"/>
      <c r="K192" s="248">
        <f>'Final allowances'!$M$78</f>
        <v>62.920708336470327</v>
      </c>
    </row>
    <row r="193" spans="1:11" x14ac:dyDescent="0.3">
      <c r="A193" s="248" t="s">
        <v>9</v>
      </c>
      <c r="B193" s="248" t="s">
        <v>331</v>
      </c>
      <c r="C193" s="248" t="s">
        <v>332</v>
      </c>
      <c r="D193" s="68" t="s">
        <v>2</v>
      </c>
      <c r="E193" s="68" t="s">
        <v>57</v>
      </c>
      <c r="F193" s="68"/>
      <c r="G193" s="68"/>
      <c r="H193" s="68"/>
      <c r="I193" s="68"/>
      <c r="J193" s="68"/>
      <c r="K193" s="248">
        <f>'Final allowances'!$P$78</f>
        <v>49.864136347600279</v>
      </c>
    </row>
    <row r="194" spans="1:11" x14ac:dyDescent="0.3">
      <c r="A194" s="248" t="s">
        <v>9</v>
      </c>
      <c r="B194" s="248" t="s">
        <v>333</v>
      </c>
      <c r="C194" s="248" t="s">
        <v>334</v>
      </c>
      <c r="D194" s="68" t="s">
        <v>2</v>
      </c>
      <c r="E194" s="68" t="s">
        <v>57</v>
      </c>
      <c r="F194" s="68"/>
      <c r="G194" s="68"/>
      <c r="H194" s="68"/>
      <c r="I194" s="68"/>
      <c r="J194" s="68"/>
      <c r="K194" s="248">
        <f>'Final allowances'!$O$78</f>
        <v>0</v>
      </c>
    </row>
    <row r="195" spans="1:11" x14ac:dyDescent="0.3">
      <c r="A195" s="248" t="s">
        <v>9</v>
      </c>
      <c r="B195" s="248" t="str">
        <f xml:space="preserve"> B170</f>
        <v xml:space="preserve">C_WRPDR_PR19CA004 </v>
      </c>
      <c r="C195" s="248" t="s">
        <v>109</v>
      </c>
      <c r="D195" s="68" t="s">
        <v>2</v>
      </c>
      <c r="E195" s="68" t="s">
        <v>57</v>
      </c>
      <c r="F195" s="68">
        <f xml:space="preserve"> INDEX( PDR!$D$5:$D$89, MATCH(F_Outputs!$A195 &amp; RIGHT( F_Outputs!F$2, 2),PDR!$A$5:$A$89, 0 ) )</f>
        <v>1.1408689450250236</v>
      </c>
      <c r="G195" s="68">
        <f xml:space="preserve"> INDEX( PDR!$D$5:$D$89, MATCH(F_Outputs!$A195 &amp; RIGHT( F_Outputs!G$2, 2),PDR!$A$5:$A$89, 0 ) )</f>
        <v>1.1408689450250193</v>
      </c>
      <c r="H195" s="68">
        <f xml:space="preserve"> INDEX( PDR!$D$5:$D$89, MATCH(F_Outputs!$A195 &amp; RIGHT( F_Outputs!H$2, 2),PDR!$A$5:$A$89, 0 ) )</f>
        <v>1.1408689450250264</v>
      </c>
      <c r="I195" s="68">
        <f xml:space="preserve"> INDEX( PDR!$D$5:$D$89, MATCH(F_Outputs!$A195 &amp; RIGHT( F_Outputs!I$2, 2),PDR!$A$5:$A$89, 0 ) )</f>
        <v>0</v>
      </c>
      <c r="J195" s="68">
        <f xml:space="preserve"> INDEX( PDR!$D$5:$D$89, MATCH(F_Outputs!$A195 &amp; RIGHT( F_Outputs!J$2, 2),PDR!$A$5:$A$89, 0 ) )</f>
        <v>0</v>
      </c>
      <c r="K195" s="248"/>
    </row>
    <row r="196" spans="1:11" x14ac:dyDescent="0.3">
      <c r="A196" s="248" t="s">
        <v>9</v>
      </c>
      <c r="B196" s="248" t="str">
        <f xml:space="preserve"> B171</f>
        <v>C_WNPDR_PR19CA004</v>
      </c>
      <c r="C196" s="248" t="s">
        <v>110</v>
      </c>
      <c r="D196" s="68" t="s">
        <v>2</v>
      </c>
      <c r="E196" s="68" t="s">
        <v>57</v>
      </c>
      <c r="F196" s="68">
        <f>INDEX(PDR!$E$5:$E$89,MATCH(F_Outputs!$A196&amp;RIGHT(F_Outputs!F$2,2),PDR!$A$5:$A$89,0))</f>
        <v>9.9861393444003959</v>
      </c>
      <c r="G196" s="68">
        <f>INDEX(PDR!$E$5:$E$89,MATCH(F_Outputs!$A196&amp;RIGHT(F_Outputs!G$2,2),PDR!$A$5:$A$89,0))</f>
        <v>9.9861393444003674</v>
      </c>
      <c r="H196" s="68">
        <f>INDEX(PDR!$E$5:$E$89,MATCH(F_Outputs!$A196&amp;RIGHT(F_Outputs!H$2,2),PDR!$A$5:$A$89,0))</f>
        <v>9.9861393444003745</v>
      </c>
      <c r="I196" s="68">
        <f>INDEX(PDR!$E$5:$E$89,MATCH(F_Outputs!$A196&amp;RIGHT(F_Outputs!I$2,2),PDR!$A$5:$A$89,0))</f>
        <v>0</v>
      </c>
      <c r="J196" s="68">
        <f>INDEX(PDR!$E$5:$E$89,MATCH(F_Outputs!$A196&amp;RIGHT(F_Outputs!J$2,2),PDR!$A$5:$A$89,0))</f>
        <v>0</v>
      </c>
      <c r="K196" s="248"/>
    </row>
    <row r="197" spans="1:11" x14ac:dyDescent="0.3">
      <c r="A197" s="248" t="s">
        <v>9</v>
      </c>
      <c r="B197" s="248" t="s">
        <v>193</v>
      </c>
      <c r="C197" s="248" t="s">
        <v>195</v>
      </c>
      <c r="D197" s="68" t="s">
        <v>2</v>
      </c>
      <c r="E197" s="68" t="s">
        <v>57</v>
      </c>
      <c r="F197" s="249">
        <f>K197/5</f>
        <v>92.317538902557402</v>
      </c>
      <c r="G197" s="249">
        <f t="shared" ref="G197:J199" si="38">F197</f>
        <v>92.317538902557402</v>
      </c>
      <c r="H197" s="249">
        <f t="shared" si="38"/>
        <v>92.317538902557402</v>
      </c>
      <c r="I197" s="249">
        <f t="shared" si="38"/>
        <v>92.317538902557402</v>
      </c>
      <c r="J197" s="249">
        <f t="shared" si="38"/>
        <v>92.317538902557402</v>
      </c>
      <c r="K197" s="248">
        <f>INDEX('Final allowances'!$G$6:$G$22,MATCH(F_Outputs!A197,'Final allowances'!$B$6:$B$22,0))</f>
        <v>461.58769451278704</v>
      </c>
    </row>
    <row r="198" spans="1:11" x14ac:dyDescent="0.3">
      <c r="A198" s="248" t="s">
        <v>9</v>
      </c>
      <c r="B198" s="248" t="s">
        <v>194</v>
      </c>
      <c r="C198" s="248" t="s">
        <v>196</v>
      </c>
      <c r="D198" s="68" t="s">
        <v>2</v>
      </c>
      <c r="E198" s="68" t="s">
        <v>57</v>
      </c>
      <c r="F198" s="249">
        <f>K198/5</f>
        <v>869.253637066235</v>
      </c>
      <c r="G198" s="249">
        <f t="shared" si="38"/>
        <v>869.253637066235</v>
      </c>
      <c r="H198" s="249">
        <f t="shared" si="38"/>
        <v>869.253637066235</v>
      </c>
      <c r="I198" s="249">
        <f t="shared" si="38"/>
        <v>869.253637066235</v>
      </c>
      <c r="J198" s="249">
        <f t="shared" si="38"/>
        <v>869.253637066235</v>
      </c>
      <c r="K198" s="248">
        <f>INDEX('Final allowances'!$H$6:$H$22,MATCH(F_Outputs!A198,'Final allowances'!$B$6:$B$22,0))</f>
        <v>4346.2681853311751</v>
      </c>
    </row>
    <row r="199" spans="1:11" x14ac:dyDescent="0.3">
      <c r="A199" s="248" t="s">
        <v>9</v>
      </c>
      <c r="B199" s="248" t="s">
        <v>319</v>
      </c>
      <c r="C199" s="248" t="s">
        <v>320</v>
      </c>
      <c r="D199" s="68" t="s">
        <v>2</v>
      </c>
      <c r="E199" s="68" t="s">
        <v>57</v>
      </c>
      <c r="F199" s="249">
        <f>K199/5</f>
        <v>0</v>
      </c>
      <c r="G199" s="249">
        <f t="shared" si="38"/>
        <v>0</v>
      </c>
      <c r="H199" s="249">
        <f t="shared" si="38"/>
        <v>0</v>
      </c>
      <c r="I199" s="249">
        <f t="shared" si="38"/>
        <v>0</v>
      </c>
      <c r="J199" s="249">
        <f t="shared" si="38"/>
        <v>0</v>
      </c>
      <c r="K199" s="248">
        <f>INDEX('Final allowances'!$E$6:$E$22,MATCH(F_Outputs!A199,'Final allowances'!$B$6:$B$22,0))</f>
        <v>0</v>
      </c>
    </row>
    <row r="200" spans="1:11" x14ac:dyDescent="0.3">
      <c r="A200" s="248" t="s">
        <v>9</v>
      </c>
      <c r="B200" s="248" t="s">
        <v>197</v>
      </c>
      <c r="C200" s="248" t="s">
        <v>199</v>
      </c>
      <c r="D200" s="68" t="s">
        <v>2</v>
      </c>
      <c r="E200" s="68" t="s">
        <v>57</v>
      </c>
      <c r="F200" s="68">
        <f>K200/5</f>
        <v>26.218446979358724</v>
      </c>
      <c r="G200" s="68">
        <f>F200</f>
        <v>26.218446979358724</v>
      </c>
      <c r="H200" s="68">
        <f t="shared" ref="H200:J200" si="39">G200</f>
        <v>26.218446979358724</v>
      </c>
      <c r="I200" s="68">
        <f t="shared" si="39"/>
        <v>26.218446979358724</v>
      </c>
      <c r="J200" s="68">
        <f t="shared" si="39"/>
        <v>26.218446979358724</v>
      </c>
      <c r="K200" s="248">
        <f>K187+K189+K191+K194</f>
        <v>131.09223489679363</v>
      </c>
    </row>
    <row r="201" spans="1:11" x14ac:dyDescent="0.3">
      <c r="A201" s="248" t="s">
        <v>9</v>
      </c>
      <c r="B201" s="248" t="s">
        <v>198</v>
      </c>
      <c r="C201" s="248" t="s">
        <v>200</v>
      </c>
      <c r="D201" s="68" t="s">
        <v>2</v>
      </c>
      <c r="E201" s="68" t="s">
        <v>57</v>
      </c>
      <c r="F201" s="68">
        <f>K201/5</f>
        <v>26.295096681809419</v>
      </c>
      <c r="G201" s="68">
        <f>F201</f>
        <v>26.295096681809419</v>
      </c>
      <c r="H201" s="68">
        <f t="shared" ref="H201:J201" si="40">G201</f>
        <v>26.295096681809419</v>
      </c>
      <c r="I201" s="68">
        <f t="shared" si="40"/>
        <v>26.295096681809419</v>
      </c>
      <c r="J201" s="68">
        <f t="shared" si="40"/>
        <v>26.295096681809419</v>
      </c>
      <c r="K201" s="248">
        <f>K188+K190+K192+K193</f>
        <v>131.47548340904709</v>
      </c>
    </row>
    <row r="202" spans="1:11" ht="14.5" x14ac:dyDescent="0.3">
      <c r="A202" s="248" t="s">
        <v>9</v>
      </c>
      <c r="B202" s="68" t="s">
        <v>113</v>
      </c>
      <c r="C202" s="68" t="s">
        <v>98</v>
      </c>
      <c r="D202" s="68" t="s">
        <v>62</v>
      </c>
      <c r="E202" s="68" t="s">
        <v>57</v>
      </c>
      <c r="F202" s="250" t="str">
        <f ca="1">CONCATENATE("[…]", TEXT(NOW(),"dd/mm/yyy hh:mm:ss"))</f>
        <v>[…]11/12/2019 16:31:19</v>
      </c>
      <c r="G202" s="250" t="str">
        <f t="shared" ref="G202:K202" ca="1" si="41">CONCATENATE("[…]", TEXT(NOW(),"dd/mm/yyy hh:mm:ss"))</f>
        <v>[…]11/12/2019 16:31:19</v>
      </c>
      <c r="H202" s="250" t="str">
        <f t="shared" ca="1" si="41"/>
        <v>[…]11/12/2019 16:31:19</v>
      </c>
      <c r="I202" s="250" t="str">
        <f t="shared" ca="1" si="41"/>
        <v>[…]11/12/2019 16:31:19</v>
      </c>
      <c r="J202" s="250" t="str">
        <f t="shared" ca="1" si="41"/>
        <v>[…]11/12/2019 16:31:19</v>
      </c>
      <c r="K202" s="250" t="str">
        <f t="shared" ca="1" si="41"/>
        <v>[…]11/12/2019 16:31:19</v>
      </c>
    </row>
    <row r="203" spans="1:11" x14ac:dyDescent="0.3">
      <c r="A203" s="248" t="s">
        <v>9</v>
      </c>
      <c r="B203" s="68" t="s">
        <v>114</v>
      </c>
      <c r="C203" s="68" t="s">
        <v>99</v>
      </c>
      <c r="D203" s="68" t="s">
        <v>62</v>
      </c>
      <c r="E203" s="68" t="s">
        <v>57</v>
      </c>
      <c r="F203" s="251" t="s">
        <v>316</v>
      </c>
      <c r="G203" s="251" t="s">
        <v>316</v>
      </c>
      <c r="H203" s="251" t="s">
        <v>316</v>
      </c>
      <c r="I203" s="251" t="s">
        <v>316</v>
      </c>
      <c r="J203" s="251" t="s">
        <v>316</v>
      </c>
      <c r="K203" s="251" t="s">
        <v>316</v>
      </c>
    </row>
    <row r="204" spans="1:11" x14ac:dyDescent="0.3">
      <c r="A204" s="248" t="s">
        <v>23</v>
      </c>
      <c r="B204" s="248" t="str">
        <f xml:space="preserve"> B179</f>
        <v>C_TBC_WR_PR19CA004_OFWAT</v>
      </c>
      <c r="C204" s="248" t="s">
        <v>215</v>
      </c>
      <c r="D204" s="68" t="s">
        <v>2</v>
      </c>
      <c r="E204" s="68" t="s">
        <v>57</v>
      </c>
      <c r="F204" s="68"/>
      <c r="G204" s="68"/>
      <c r="H204" s="68"/>
      <c r="I204" s="68"/>
      <c r="J204" s="68"/>
      <c r="K204" s="248">
        <f>'Final allowances'!$O$35</f>
        <v>159.46769046697841</v>
      </c>
    </row>
    <row r="205" spans="1:11" x14ac:dyDescent="0.3">
      <c r="A205" s="248" t="s">
        <v>23</v>
      </c>
      <c r="B205" s="248" t="str">
        <f xml:space="preserve"> B180</f>
        <v>C_TBC_WN_PR19CA004_OFWAT</v>
      </c>
      <c r="C205" s="248" t="s">
        <v>217</v>
      </c>
      <c r="D205" s="68" t="s">
        <v>2</v>
      </c>
      <c r="E205" s="68" t="s">
        <v>57</v>
      </c>
      <c r="F205" s="68"/>
      <c r="G205" s="68"/>
      <c r="H205" s="68"/>
      <c r="I205" s="68"/>
      <c r="J205" s="68"/>
      <c r="K205" s="248">
        <f>'Final allowances'!$P$35</f>
        <v>963.45145267472276</v>
      </c>
    </row>
    <row r="206" spans="1:11" x14ac:dyDescent="0.3">
      <c r="A206" s="248" t="s">
        <v>23</v>
      </c>
      <c r="B206" s="248" t="s">
        <v>317</v>
      </c>
      <c r="C206" s="248" t="s">
        <v>236</v>
      </c>
      <c r="D206" s="68" t="s">
        <v>2</v>
      </c>
      <c r="E206" s="68" t="s">
        <v>57</v>
      </c>
      <c r="F206" s="68"/>
      <c r="G206" s="68"/>
      <c r="H206" s="68"/>
      <c r="I206" s="68"/>
      <c r="J206" s="68"/>
      <c r="K206" s="248">
        <f>'Final allowances'!$L$35</f>
        <v>2.4895379338241925</v>
      </c>
    </row>
    <row r="207" spans="1:11" x14ac:dyDescent="0.3">
      <c r="A207" s="248" t="s">
        <v>23</v>
      </c>
      <c r="B207" s="248" t="s">
        <v>318</v>
      </c>
      <c r="C207" s="248" t="s">
        <v>237</v>
      </c>
      <c r="D207" s="68" t="s">
        <v>2</v>
      </c>
      <c r="E207" s="68" t="s">
        <v>57</v>
      </c>
      <c r="F207" s="68"/>
      <c r="G207" s="68"/>
      <c r="H207" s="68"/>
      <c r="I207" s="68"/>
      <c r="J207" s="68"/>
      <c r="K207" s="248">
        <f>'Final allowances'!$M$35</f>
        <v>72.02184428084098</v>
      </c>
    </row>
    <row r="208" spans="1:11" x14ac:dyDescent="0.3">
      <c r="A208" s="248" t="s">
        <v>23</v>
      </c>
      <c r="B208" s="248" t="s">
        <v>327</v>
      </c>
      <c r="C208" s="248" t="s">
        <v>329</v>
      </c>
      <c r="D208" s="68" t="s">
        <v>2</v>
      </c>
      <c r="E208" s="68" t="s">
        <v>57</v>
      </c>
      <c r="F208" s="68"/>
      <c r="G208" s="68"/>
      <c r="H208" s="68"/>
      <c r="I208" s="68"/>
      <c r="J208" s="68"/>
      <c r="K208" s="248">
        <f>'Final allowances'!$F$35</f>
        <v>39.582650515317034</v>
      </c>
    </row>
    <row r="209" spans="1:11" x14ac:dyDescent="0.3">
      <c r="A209" s="248" t="s">
        <v>23</v>
      </c>
      <c r="B209" s="248" t="s">
        <v>328</v>
      </c>
      <c r="C209" s="248" t="s">
        <v>330</v>
      </c>
      <c r="D209" s="68" t="s">
        <v>2</v>
      </c>
      <c r="E209" s="68" t="s">
        <v>57</v>
      </c>
      <c r="F209" s="68"/>
      <c r="G209" s="68"/>
      <c r="H209" s="68"/>
      <c r="I209" s="68"/>
      <c r="J209" s="68"/>
      <c r="K209" s="248">
        <f>'Final allowances'!$G$35</f>
        <v>1.664895643369628</v>
      </c>
    </row>
    <row r="210" spans="1:11" x14ac:dyDescent="0.3">
      <c r="A210" s="248" t="s">
        <v>23</v>
      </c>
      <c r="B210" s="248" t="str">
        <f t="shared" ref="B210:B217" si="42" xml:space="preserve"> B185</f>
        <v>C_ENC_WR_PR19CA004_OFWAT</v>
      </c>
      <c r="C210" s="248" t="s">
        <v>226</v>
      </c>
      <c r="D210" s="68" t="s">
        <v>2</v>
      </c>
      <c r="E210" s="68" t="s">
        <v>57</v>
      </c>
      <c r="F210" s="68"/>
      <c r="G210" s="68"/>
      <c r="H210" s="68"/>
      <c r="I210" s="68"/>
      <c r="J210" s="68"/>
      <c r="K210" s="248">
        <f>'Final allowances'!$C$56</f>
        <v>117.79484064049345</v>
      </c>
    </row>
    <row r="211" spans="1:11" x14ac:dyDescent="0.3">
      <c r="A211" s="248" t="s">
        <v>23</v>
      </c>
      <c r="B211" s="248" t="str">
        <f t="shared" si="42"/>
        <v>C_ENC_WN_PR19CA004_OFWAT</v>
      </c>
      <c r="C211" s="248" t="s">
        <v>227</v>
      </c>
      <c r="D211" s="68" t="s">
        <v>2</v>
      </c>
      <c r="E211" s="68" t="s">
        <v>57</v>
      </c>
      <c r="F211" s="68"/>
      <c r="G211" s="68"/>
      <c r="H211" s="68"/>
      <c r="I211" s="68"/>
      <c r="J211" s="68"/>
      <c r="K211" s="248">
        <f>'Final allowances'!$D$56</f>
        <v>212.3433606270784</v>
      </c>
    </row>
    <row r="212" spans="1:11" x14ac:dyDescent="0.3">
      <c r="A212" s="248" t="s">
        <v>23</v>
      </c>
      <c r="B212" s="248" t="str">
        <f t="shared" si="42"/>
        <v>C_3PTYC_WR_PR19CA004_OFWAT</v>
      </c>
      <c r="C212" s="248" t="s">
        <v>228</v>
      </c>
      <c r="D212" s="68" t="s">
        <v>2</v>
      </c>
      <c r="E212" s="68" t="s">
        <v>57</v>
      </c>
      <c r="F212" s="68"/>
      <c r="G212" s="68"/>
      <c r="H212" s="68"/>
      <c r="I212" s="68"/>
      <c r="J212" s="68"/>
      <c r="K212" s="248">
        <f>'Final allowances'!$C$79</f>
        <v>44.45563454751877</v>
      </c>
    </row>
    <row r="213" spans="1:11" x14ac:dyDescent="0.3">
      <c r="A213" s="248" t="s">
        <v>23</v>
      </c>
      <c r="B213" s="248" t="str">
        <f t="shared" si="42"/>
        <v>C_3PTYC_WN_PR19CA004_OFWAT</v>
      </c>
      <c r="C213" s="248" t="s">
        <v>229</v>
      </c>
      <c r="D213" s="68" t="s">
        <v>2</v>
      </c>
      <c r="E213" s="68" t="s">
        <v>57</v>
      </c>
      <c r="F213" s="68"/>
      <c r="G213" s="68"/>
      <c r="H213" s="68"/>
      <c r="I213" s="68"/>
      <c r="J213" s="68"/>
      <c r="K213" s="248">
        <f>'Final allowances'!$D$79</f>
        <v>9.2981014001052174</v>
      </c>
    </row>
    <row r="214" spans="1:11" x14ac:dyDescent="0.3">
      <c r="A214" s="248" t="s">
        <v>23</v>
      </c>
      <c r="B214" s="248" t="str">
        <f t="shared" si="42"/>
        <v>C_CSH_WR_PR19CA004_OFWAT</v>
      </c>
      <c r="C214" s="248" t="s">
        <v>230</v>
      </c>
      <c r="D214" s="68" t="s">
        <v>2</v>
      </c>
      <c r="E214" s="68" t="s">
        <v>57</v>
      </c>
      <c r="F214" s="68"/>
      <c r="G214" s="68"/>
      <c r="H214" s="68"/>
      <c r="I214" s="68"/>
      <c r="J214" s="68"/>
      <c r="K214" s="248">
        <f>'Final allowances'!$F$79</f>
        <v>0</v>
      </c>
    </row>
    <row r="215" spans="1:11" x14ac:dyDescent="0.3">
      <c r="A215" s="248" t="s">
        <v>23</v>
      </c>
      <c r="B215" s="248" t="str">
        <f t="shared" si="42"/>
        <v>C_CSH_WN_PR19CA004_OFWAT</v>
      </c>
      <c r="C215" s="248" t="s">
        <v>231</v>
      </c>
      <c r="D215" s="68" t="s">
        <v>2</v>
      </c>
      <c r="E215" s="68" t="s">
        <v>57</v>
      </c>
      <c r="F215" s="68"/>
      <c r="G215" s="68"/>
      <c r="H215" s="68"/>
      <c r="I215" s="68"/>
      <c r="J215" s="68"/>
      <c r="K215" s="248">
        <f>'Final allowances'!$G$79</f>
        <v>0</v>
      </c>
    </row>
    <row r="216" spans="1:11" x14ac:dyDescent="0.3">
      <c r="A216" s="248" t="s">
        <v>23</v>
      </c>
      <c r="B216" s="248" t="str">
        <f t="shared" si="42"/>
        <v>C_SSDC_WR_PR19CA004_OFWAT</v>
      </c>
      <c r="C216" s="248" t="s">
        <v>232</v>
      </c>
      <c r="D216" s="68" t="s">
        <v>2</v>
      </c>
      <c r="E216" s="68" t="s">
        <v>57</v>
      </c>
      <c r="F216" s="68"/>
      <c r="G216" s="68"/>
      <c r="H216" s="68"/>
      <c r="I216" s="68"/>
      <c r="J216" s="68"/>
      <c r="K216" s="248">
        <f>'Final allowances'!$L$79</f>
        <v>0</v>
      </c>
    </row>
    <row r="217" spans="1:11" x14ac:dyDescent="0.3">
      <c r="A217" s="248" t="s">
        <v>23</v>
      </c>
      <c r="B217" s="248" t="str">
        <f t="shared" si="42"/>
        <v>C_SSDC_WN_PR19CA004_OFWAT</v>
      </c>
      <c r="C217" s="248" t="s">
        <v>233</v>
      </c>
      <c r="D217" s="68" t="s">
        <v>2</v>
      </c>
      <c r="E217" s="68" t="s">
        <v>57</v>
      </c>
      <c r="F217" s="68"/>
      <c r="G217" s="68"/>
      <c r="H217" s="68"/>
      <c r="I217" s="68"/>
      <c r="J217" s="68"/>
      <c r="K217" s="248">
        <f>'Final allowances'!$M$79</f>
        <v>0</v>
      </c>
    </row>
    <row r="218" spans="1:11" x14ac:dyDescent="0.3">
      <c r="A218" s="248" t="s">
        <v>23</v>
      </c>
      <c r="B218" s="248" t="s">
        <v>331</v>
      </c>
      <c r="C218" s="248" t="s">
        <v>332</v>
      </c>
      <c r="D218" s="68" t="s">
        <v>2</v>
      </c>
      <c r="E218" s="68" t="s">
        <v>57</v>
      </c>
      <c r="F218" s="68"/>
      <c r="G218" s="68"/>
      <c r="H218" s="68"/>
      <c r="I218" s="68"/>
      <c r="J218" s="68"/>
      <c r="K218" s="248">
        <f>'Final allowances'!$P$79</f>
        <v>6.1240898226871021</v>
      </c>
    </row>
    <row r="219" spans="1:11" x14ac:dyDescent="0.3">
      <c r="A219" s="248" t="s">
        <v>23</v>
      </c>
      <c r="B219" s="248" t="s">
        <v>333</v>
      </c>
      <c r="C219" s="248" t="s">
        <v>334</v>
      </c>
      <c r="D219" s="68" t="s">
        <v>2</v>
      </c>
      <c r="E219" s="68" t="s">
        <v>57</v>
      </c>
      <c r="F219" s="68"/>
      <c r="G219" s="68"/>
      <c r="H219" s="68"/>
      <c r="I219" s="68"/>
      <c r="J219" s="68"/>
      <c r="K219" s="248">
        <f>'Final allowances'!$O$79</f>
        <v>0</v>
      </c>
    </row>
    <row r="220" spans="1:11" x14ac:dyDescent="0.3">
      <c r="A220" s="248" t="s">
        <v>23</v>
      </c>
      <c r="B220" s="248" t="str">
        <f xml:space="preserve"> B195</f>
        <v xml:space="preserve">C_WRPDR_PR19CA004 </v>
      </c>
      <c r="C220" s="248" t="s">
        <v>109</v>
      </c>
      <c r="D220" s="68" t="s">
        <v>2</v>
      </c>
      <c r="E220" s="68" t="s">
        <v>57</v>
      </c>
      <c r="F220" s="68">
        <f xml:space="preserve"> INDEX( PDR!$D$5:$D$89, MATCH(F_Outputs!$A220 &amp; RIGHT( F_Outputs!F$2, 2),PDR!$A$5:$A$89, 0 ) )</f>
        <v>0</v>
      </c>
      <c r="G220" s="68">
        <f xml:space="preserve"> INDEX( PDR!$D$5:$D$89, MATCH(F_Outputs!$A220 &amp; RIGHT( F_Outputs!G$2, 2),PDR!$A$5:$A$89, 0 ) )</f>
        <v>0</v>
      </c>
      <c r="H220" s="68">
        <f xml:space="preserve"> INDEX( PDR!$D$5:$D$89, MATCH(F_Outputs!$A220 &amp; RIGHT( F_Outputs!H$2, 2),PDR!$A$5:$A$89, 0 ) )</f>
        <v>0</v>
      </c>
      <c r="I220" s="68">
        <f xml:space="preserve"> INDEX( PDR!$D$5:$D$89, MATCH(F_Outputs!$A220 &amp; RIGHT( F_Outputs!I$2, 2),PDR!$A$5:$A$89, 0 ) )</f>
        <v>0</v>
      </c>
      <c r="J220" s="68">
        <f xml:space="preserve"> INDEX( PDR!$D$5:$D$89, MATCH(F_Outputs!$A220 &amp; RIGHT( F_Outputs!J$2, 2),PDR!$A$5:$A$89, 0 ) )</f>
        <v>0</v>
      </c>
      <c r="K220" s="248"/>
    </row>
    <row r="221" spans="1:11" x14ac:dyDescent="0.3">
      <c r="A221" s="248" t="s">
        <v>23</v>
      </c>
      <c r="B221" s="248" t="str">
        <f xml:space="preserve"> B196</f>
        <v>C_WNPDR_PR19CA004</v>
      </c>
      <c r="C221" s="248" t="s">
        <v>110</v>
      </c>
      <c r="D221" s="68" t="s">
        <v>2</v>
      </c>
      <c r="E221" s="68" t="s">
        <v>57</v>
      </c>
      <c r="F221" s="68">
        <f>INDEX(PDR!$E$5:$E$89,MATCH(F_Outputs!$A221&amp;RIGHT(F_Outputs!F$2,2),PDR!$A$5:$A$89,0))</f>
        <v>0</v>
      </c>
      <c r="G221" s="68">
        <f>INDEX(PDR!$E$5:$E$89,MATCH(F_Outputs!$A221&amp;RIGHT(F_Outputs!G$2,2),PDR!$A$5:$A$89,0))</f>
        <v>0</v>
      </c>
      <c r="H221" s="68">
        <f>INDEX(PDR!$E$5:$E$89,MATCH(F_Outputs!$A221&amp;RIGHT(F_Outputs!H$2,2),PDR!$A$5:$A$89,0))</f>
        <v>0</v>
      </c>
      <c r="I221" s="68">
        <f>INDEX(PDR!$E$5:$E$89,MATCH(F_Outputs!$A221&amp;RIGHT(F_Outputs!I$2,2),PDR!$A$5:$A$89,0))</f>
        <v>0</v>
      </c>
      <c r="J221" s="68">
        <f>INDEX(PDR!$E$5:$E$89,MATCH(F_Outputs!$A221&amp;RIGHT(F_Outputs!J$2,2),PDR!$A$5:$A$89,0))</f>
        <v>0</v>
      </c>
      <c r="K221" s="248"/>
    </row>
    <row r="222" spans="1:11" x14ac:dyDescent="0.3">
      <c r="A222" s="248" t="s">
        <v>23</v>
      </c>
      <c r="B222" s="248" t="s">
        <v>193</v>
      </c>
      <c r="C222" s="248" t="s">
        <v>195</v>
      </c>
      <c r="D222" s="68" t="s">
        <v>2</v>
      </c>
      <c r="E222" s="68" t="s">
        <v>57</v>
      </c>
      <c r="F222" s="249">
        <f>K222/5</f>
        <v>55.452506221494374</v>
      </c>
      <c r="G222" s="249">
        <f t="shared" ref="G222:J224" si="43">F222</f>
        <v>55.452506221494374</v>
      </c>
      <c r="H222" s="249">
        <f t="shared" si="43"/>
        <v>55.452506221494374</v>
      </c>
      <c r="I222" s="249">
        <f t="shared" si="43"/>
        <v>55.452506221494374</v>
      </c>
      <c r="J222" s="249">
        <f t="shared" si="43"/>
        <v>55.452506221494374</v>
      </c>
      <c r="K222" s="248">
        <f>INDEX('Final allowances'!$G$6:$G$22,MATCH(F_Outputs!A222,'Final allowances'!$B$6:$B$22,0))</f>
        <v>277.26253110747189</v>
      </c>
    </row>
    <row r="223" spans="1:11" x14ac:dyDescent="0.3">
      <c r="A223" s="248" t="s">
        <v>23</v>
      </c>
      <c r="B223" s="248" t="s">
        <v>194</v>
      </c>
      <c r="C223" s="248" t="s">
        <v>196</v>
      </c>
      <c r="D223" s="68" t="s">
        <v>2</v>
      </c>
      <c r="E223" s="68" t="s">
        <v>57</v>
      </c>
      <c r="F223" s="249">
        <f>K223/5</f>
        <v>235.15896266036026</v>
      </c>
      <c r="G223" s="249">
        <f t="shared" si="43"/>
        <v>235.15896266036026</v>
      </c>
      <c r="H223" s="249">
        <f t="shared" si="43"/>
        <v>235.15896266036026</v>
      </c>
      <c r="I223" s="249">
        <f t="shared" si="43"/>
        <v>235.15896266036026</v>
      </c>
      <c r="J223" s="249">
        <f t="shared" si="43"/>
        <v>235.15896266036026</v>
      </c>
      <c r="K223" s="248">
        <f>INDEX('Final allowances'!$H$6:$H$22,MATCH(F_Outputs!A223,'Final allowances'!$B$6:$B$22,0))</f>
        <v>1175.7948133018012</v>
      </c>
    </row>
    <row r="224" spans="1:11" x14ac:dyDescent="0.3">
      <c r="A224" s="248" t="s">
        <v>23</v>
      </c>
      <c r="B224" s="248" t="s">
        <v>319</v>
      </c>
      <c r="C224" s="248" t="s">
        <v>320</v>
      </c>
      <c r="D224" s="68" t="s">
        <v>2</v>
      </c>
      <c r="E224" s="68" t="s">
        <v>57</v>
      </c>
      <c r="F224" s="249">
        <f>K224/5</f>
        <v>0</v>
      </c>
      <c r="G224" s="249">
        <f t="shared" si="43"/>
        <v>0</v>
      </c>
      <c r="H224" s="249">
        <f t="shared" si="43"/>
        <v>0</v>
      </c>
      <c r="I224" s="249">
        <f t="shared" si="43"/>
        <v>0</v>
      </c>
      <c r="J224" s="249">
        <f t="shared" si="43"/>
        <v>0</v>
      </c>
      <c r="K224" s="248">
        <f>INDEX('Final allowances'!$E$6:$E$22,MATCH(F_Outputs!A224,'Final allowances'!$B$6:$B$22,0))</f>
        <v>0</v>
      </c>
    </row>
    <row r="225" spans="1:11" x14ac:dyDescent="0.3">
      <c r="A225" s="248" t="s">
        <v>23</v>
      </c>
      <c r="B225" s="248" t="s">
        <v>197</v>
      </c>
      <c r="C225" s="248" t="s">
        <v>199</v>
      </c>
      <c r="D225" s="68" t="s">
        <v>2</v>
      </c>
      <c r="E225" s="68" t="s">
        <v>57</v>
      </c>
      <c r="F225" s="68">
        <f>K225/5</f>
        <v>8.891126909503754</v>
      </c>
      <c r="G225" s="68">
        <f>F225</f>
        <v>8.891126909503754</v>
      </c>
      <c r="H225" s="68">
        <f t="shared" ref="H225:J225" si="44">G225</f>
        <v>8.891126909503754</v>
      </c>
      <c r="I225" s="68">
        <f t="shared" si="44"/>
        <v>8.891126909503754</v>
      </c>
      <c r="J225" s="68">
        <f t="shared" si="44"/>
        <v>8.891126909503754</v>
      </c>
      <c r="K225" s="248">
        <f>K212+K214+K216+K219</f>
        <v>44.45563454751877</v>
      </c>
    </row>
    <row r="226" spans="1:11" x14ac:dyDescent="0.3">
      <c r="A226" s="248" t="s">
        <v>23</v>
      </c>
      <c r="B226" s="248" t="s">
        <v>198</v>
      </c>
      <c r="C226" s="248" t="s">
        <v>200</v>
      </c>
      <c r="D226" s="68" t="s">
        <v>2</v>
      </c>
      <c r="E226" s="68" t="s">
        <v>57</v>
      </c>
      <c r="F226" s="68">
        <f>K226/5</f>
        <v>3.0844382445584637</v>
      </c>
      <c r="G226" s="68">
        <f>F226</f>
        <v>3.0844382445584637</v>
      </c>
      <c r="H226" s="68">
        <f t="shared" ref="H226:J226" si="45">G226</f>
        <v>3.0844382445584637</v>
      </c>
      <c r="I226" s="68">
        <f t="shared" si="45"/>
        <v>3.0844382445584637</v>
      </c>
      <c r="J226" s="68">
        <f t="shared" si="45"/>
        <v>3.0844382445584637</v>
      </c>
      <c r="K226" s="248">
        <f>K213+K215+K217+K218</f>
        <v>15.422191222792319</v>
      </c>
    </row>
    <row r="227" spans="1:11" ht="14.5" x14ac:dyDescent="0.3">
      <c r="A227" s="248" t="s">
        <v>23</v>
      </c>
      <c r="B227" s="68" t="s">
        <v>113</v>
      </c>
      <c r="C227" s="68" t="s">
        <v>98</v>
      </c>
      <c r="D227" s="68" t="s">
        <v>62</v>
      </c>
      <c r="E227" s="68" t="s">
        <v>57</v>
      </c>
      <c r="F227" s="250" t="str">
        <f ca="1">CONCATENATE("[…]", TEXT(NOW(),"dd/mm/yyy hh:mm:ss"))</f>
        <v>[…]11/12/2019 16:31:19</v>
      </c>
      <c r="G227" s="250" t="str">
        <f t="shared" ref="G227:K227" ca="1" si="46">CONCATENATE("[…]", TEXT(NOW(),"dd/mm/yyy hh:mm:ss"))</f>
        <v>[…]11/12/2019 16:31:19</v>
      </c>
      <c r="H227" s="250" t="str">
        <f t="shared" ca="1" si="46"/>
        <v>[…]11/12/2019 16:31:19</v>
      </c>
      <c r="I227" s="250" t="str">
        <f t="shared" ca="1" si="46"/>
        <v>[…]11/12/2019 16:31:19</v>
      </c>
      <c r="J227" s="250" t="str">
        <f t="shared" ca="1" si="46"/>
        <v>[…]11/12/2019 16:31:19</v>
      </c>
      <c r="K227" s="250" t="str">
        <f t="shared" ca="1" si="46"/>
        <v>[…]11/12/2019 16:31:19</v>
      </c>
    </row>
    <row r="228" spans="1:11" x14ac:dyDescent="0.3">
      <c r="A228" s="248" t="s">
        <v>23</v>
      </c>
      <c r="B228" s="68" t="s">
        <v>114</v>
      </c>
      <c r="C228" s="68" t="s">
        <v>99</v>
      </c>
      <c r="D228" s="68" t="s">
        <v>62</v>
      </c>
      <c r="E228" s="68" t="s">
        <v>57</v>
      </c>
      <c r="F228" s="251" t="s">
        <v>316</v>
      </c>
      <c r="G228" s="251" t="s">
        <v>316</v>
      </c>
      <c r="H228" s="251" t="s">
        <v>316</v>
      </c>
      <c r="I228" s="251" t="s">
        <v>316</v>
      </c>
      <c r="J228" s="251" t="s">
        <v>316</v>
      </c>
      <c r="K228" s="251" t="s">
        <v>316</v>
      </c>
    </row>
    <row r="229" spans="1:11" x14ac:dyDescent="0.3">
      <c r="A229" s="248" t="s">
        <v>10</v>
      </c>
      <c r="B229" s="248" t="str">
        <f xml:space="preserve"> B204</f>
        <v>C_TBC_WR_PR19CA004_OFWAT</v>
      </c>
      <c r="C229" s="248" t="s">
        <v>215</v>
      </c>
      <c r="D229" s="68" t="s">
        <v>2</v>
      </c>
      <c r="E229" s="68" t="s">
        <v>57</v>
      </c>
      <c r="F229" s="68"/>
      <c r="G229" s="68"/>
      <c r="H229" s="68"/>
      <c r="I229" s="68"/>
      <c r="J229" s="68"/>
      <c r="K229" s="248">
        <f>'Final allowances'!$O$36</f>
        <v>60.820179781313634</v>
      </c>
    </row>
    <row r="230" spans="1:11" x14ac:dyDescent="0.3">
      <c r="A230" s="248" t="s">
        <v>10</v>
      </c>
      <c r="B230" s="248" t="str">
        <f xml:space="preserve"> B205</f>
        <v>C_TBC_WN_PR19CA004_OFWAT</v>
      </c>
      <c r="C230" s="248" t="s">
        <v>217</v>
      </c>
      <c r="D230" s="68" t="s">
        <v>2</v>
      </c>
      <c r="E230" s="68" t="s">
        <v>57</v>
      </c>
      <c r="F230" s="68"/>
      <c r="G230" s="68"/>
      <c r="H230" s="68"/>
      <c r="I230" s="68"/>
      <c r="J230" s="68"/>
      <c r="K230" s="248">
        <f>'Final allowances'!$P$36</f>
        <v>486.23372048206522</v>
      </c>
    </row>
    <row r="231" spans="1:11" x14ac:dyDescent="0.3">
      <c r="A231" s="248" t="s">
        <v>10</v>
      </c>
      <c r="B231" s="248" t="s">
        <v>317</v>
      </c>
      <c r="C231" s="248" t="s">
        <v>236</v>
      </c>
      <c r="D231" s="68" t="s">
        <v>2</v>
      </c>
      <c r="E231" s="68" t="s">
        <v>57</v>
      </c>
      <c r="F231" s="68"/>
      <c r="G231" s="68"/>
      <c r="H231" s="68"/>
      <c r="I231" s="68"/>
      <c r="J231" s="68"/>
      <c r="K231" s="248">
        <f>'Final allowances'!$L$36</f>
        <v>3.2810145914608184</v>
      </c>
    </row>
    <row r="232" spans="1:11" x14ac:dyDescent="0.3">
      <c r="A232" s="248" t="s">
        <v>10</v>
      </c>
      <c r="B232" s="248" t="s">
        <v>318</v>
      </c>
      <c r="C232" s="248" t="s">
        <v>237</v>
      </c>
      <c r="D232" s="68" t="s">
        <v>2</v>
      </c>
      <c r="E232" s="68" t="s">
        <v>57</v>
      </c>
      <c r="F232" s="68"/>
      <c r="G232" s="68"/>
      <c r="H232" s="68"/>
      <c r="I232" s="68"/>
      <c r="J232" s="68"/>
      <c r="K232" s="248">
        <f>'Final allowances'!$M$36</f>
        <v>68.609227970398777</v>
      </c>
    </row>
    <row r="233" spans="1:11" x14ac:dyDescent="0.3">
      <c r="A233" s="248" t="s">
        <v>10</v>
      </c>
      <c r="B233" s="248" t="s">
        <v>327</v>
      </c>
      <c r="C233" s="248" t="s">
        <v>329</v>
      </c>
      <c r="D233" s="68" t="s">
        <v>2</v>
      </c>
      <c r="E233" s="68" t="s">
        <v>57</v>
      </c>
      <c r="F233" s="68"/>
      <c r="G233" s="68"/>
      <c r="H233" s="68"/>
      <c r="I233" s="68"/>
      <c r="J233" s="68"/>
      <c r="K233" s="248">
        <f>'Final allowances'!$F$36</f>
        <v>11.222511023359866</v>
      </c>
    </row>
    <row r="234" spans="1:11" x14ac:dyDescent="0.3">
      <c r="A234" s="248" t="s">
        <v>10</v>
      </c>
      <c r="B234" s="248" t="s">
        <v>328</v>
      </c>
      <c r="C234" s="248" t="s">
        <v>330</v>
      </c>
      <c r="D234" s="68" t="s">
        <v>2</v>
      </c>
      <c r="E234" s="68" t="s">
        <v>57</v>
      </c>
      <c r="F234" s="68"/>
      <c r="G234" s="68"/>
      <c r="H234" s="68"/>
      <c r="I234" s="68"/>
      <c r="J234" s="68"/>
      <c r="K234" s="248">
        <f>'Final allowances'!$G$36</f>
        <v>1.4761620238208066</v>
      </c>
    </row>
    <row r="235" spans="1:11" x14ac:dyDescent="0.3">
      <c r="A235" s="248" t="s">
        <v>10</v>
      </c>
      <c r="B235" s="248" t="str">
        <f t="shared" ref="B235:B242" si="47" xml:space="preserve"> B210</f>
        <v>C_ENC_WR_PR19CA004_OFWAT</v>
      </c>
      <c r="C235" s="248" t="s">
        <v>226</v>
      </c>
      <c r="D235" s="68" t="s">
        <v>2</v>
      </c>
      <c r="E235" s="68" t="s">
        <v>57</v>
      </c>
      <c r="F235" s="68"/>
      <c r="G235" s="68"/>
      <c r="H235" s="68"/>
      <c r="I235" s="68"/>
      <c r="J235" s="68"/>
      <c r="K235" s="248">
        <f>'Final allowances'!$C$57</f>
        <v>20.10199219474087</v>
      </c>
    </row>
    <row r="236" spans="1:11" x14ac:dyDescent="0.3">
      <c r="A236" s="248" t="s">
        <v>10</v>
      </c>
      <c r="B236" s="248" t="str">
        <f t="shared" si="47"/>
        <v>C_ENC_WN_PR19CA004_OFWAT</v>
      </c>
      <c r="C236" s="248" t="s">
        <v>227</v>
      </c>
      <c r="D236" s="68" t="s">
        <v>2</v>
      </c>
      <c r="E236" s="68" t="s">
        <v>57</v>
      </c>
      <c r="F236" s="68"/>
      <c r="G236" s="68"/>
      <c r="H236" s="68"/>
      <c r="I236" s="68"/>
      <c r="J236" s="68"/>
      <c r="K236" s="248">
        <f>'Final allowances'!$D$57</f>
        <v>47.788189900459983</v>
      </c>
    </row>
    <row r="237" spans="1:11" x14ac:dyDescent="0.3">
      <c r="A237" s="248" t="s">
        <v>10</v>
      </c>
      <c r="B237" s="248" t="str">
        <f t="shared" si="47"/>
        <v>C_3PTYC_WR_PR19CA004_OFWAT</v>
      </c>
      <c r="C237" s="248" t="s">
        <v>228</v>
      </c>
      <c r="D237" s="68" t="s">
        <v>2</v>
      </c>
      <c r="E237" s="68" t="s">
        <v>57</v>
      </c>
      <c r="F237" s="68"/>
      <c r="G237" s="68"/>
      <c r="H237" s="68"/>
      <c r="I237" s="68"/>
      <c r="J237" s="68"/>
      <c r="K237" s="248">
        <f>'Final allowances'!$C$80</f>
        <v>2.6928098414758064</v>
      </c>
    </row>
    <row r="238" spans="1:11" x14ac:dyDescent="0.3">
      <c r="A238" s="248" t="s">
        <v>10</v>
      </c>
      <c r="B238" s="248" t="str">
        <f t="shared" si="47"/>
        <v>C_3PTYC_WN_PR19CA004_OFWAT</v>
      </c>
      <c r="C238" s="248" t="s">
        <v>229</v>
      </c>
      <c r="D238" s="68" t="s">
        <v>2</v>
      </c>
      <c r="E238" s="68" t="s">
        <v>57</v>
      </c>
      <c r="F238" s="68"/>
      <c r="G238" s="68"/>
      <c r="H238" s="68"/>
      <c r="I238" s="68"/>
      <c r="J238" s="68"/>
      <c r="K238" s="248">
        <f>'Final allowances'!$D$80</f>
        <v>2.4829825231013962</v>
      </c>
    </row>
    <row r="239" spans="1:11" x14ac:dyDescent="0.3">
      <c r="A239" s="248" t="s">
        <v>10</v>
      </c>
      <c r="B239" s="248" t="str">
        <f t="shared" si="47"/>
        <v>C_CSH_WR_PR19CA004_OFWAT</v>
      </c>
      <c r="C239" s="248" t="s">
        <v>230</v>
      </c>
      <c r="D239" s="68" t="s">
        <v>2</v>
      </c>
      <c r="E239" s="68" t="s">
        <v>57</v>
      </c>
      <c r="F239" s="68"/>
      <c r="G239" s="68"/>
      <c r="H239" s="68"/>
      <c r="I239" s="68"/>
      <c r="J239" s="68"/>
      <c r="K239" s="248">
        <f>'Final allowances'!$F$80</f>
        <v>0</v>
      </c>
    </row>
    <row r="240" spans="1:11" x14ac:dyDescent="0.3">
      <c r="A240" s="248" t="s">
        <v>10</v>
      </c>
      <c r="B240" s="248" t="str">
        <f t="shared" si="47"/>
        <v>C_CSH_WN_PR19CA004_OFWAT</v>
      </c>
      <c r="C240" s="248" t="s">
        <v>231</v>
      </c>
      <c r="D240" s="68" t="s">
        <v>2</v>
      </c>
      <c r="E240" s="68" t="s">
        <v>57</v>
      </c>
      <c r="F240" s="68"/>
      <c r="G240" s="68"/>
      <c r="H240" s="68"/>
      <c r="I240" s="68"/>
      <c r="J240" s="68"/>
      <c r="K240" s="248">
        <f>'Final allowances'!$G$80</f>
        <v>0</v>
      </c>
    </row>
    <row r="241" spans="1:11" x14ac:dyDescent="0.3">
      <c r="A241" s="248" t="s">
        <v>10</v>
      </c>
      <c r="B241" s="248" t="str">
        <f t="shared" si="47"/>
        <v>C_SSDC_WR_PR19CA004_OFWAT</v>
      </c>
      <c r="C241" s="248" t="s">
        <v>232</v>
      </c>
      <c r="D241" s="68" t="s">
        <v>2</v>
      </c>
      <c r="E241" s="68" t="s">
        <v>57</v>
      </c>
      <c r="F241" s="68"/>
      <c r="G241" s="68"/>
      <c r="H241" s="68"/>
      <c r="I241" s="68"/>
      <c r="J241" s="68"/>
      <c r="K241" s="248">
        <f>'Final allowances'!$L$80</f>
        <v>1.0575000000000001</v>
      </c>
    </row>
    <row r="242" spans="1:11" x14ac:dyDescent="0.3">
      <c r="A242" s="248" t="s">
        <v>10</v>
      </c>
      <c r="B242" s="248" t="str">
        <f t="shared" si="47"/>
        <v>C_SSDC_WN_PR19CA004_OFWAT</v>
      </c>
      <c r="C242" s="248" t="s">
        <v>233</v>
      </c>
      <c r="D242" s="68" t="s">
        <v>2</v>
      </c>
      <c r="E242" s="68" t="s">
        <v>57</v>
      </c>
      <c r="F242" s="68"/>
      <c r="G242" s="68"/>
      <c r="H242" s="68"/>
      <c r="I242" s="68"/>
      <c r="J242" s="68"/>
      <c r="K242" s="248">
        <f>'Final allowances'!$M$80</f>
        <v>3.1725000000000003</v>
      </c>
    </row>
    <row r="243" spans="1:11" x14ac:dyDescent="0.3">
      <c r="A243" s="248" t="s">
        <v>10</v>
      </c>
      <c r="B243" s="248" t="s">
        <v>331</v>
      </c>
      <c r="C243" s="248" t="s">
        <v>332</v>
      </c>
      <c r="D243" s="68" t="s">
        <v>2</v>
      </c>
      <c r="E243" s="68" t="s">
        <v>57</v>
      </c>
      <c r="F243" s="68"/>
      <c r="G243" s="68"/>
      <c r="H243" s="68"/>
      <c r="I243" s="68"/>
      <c r="J243" s="68"/>
      <c r="K243" s="248">
        <f>'Final allowances'!$P$80</f>
        <v>1.0486213207774253</v>
      </c>
    </row>
    <row r="244" spans="1:11" x14ac:dyDescent="0.3">
      <c r="A244" s="248" t="s">
        <v>10</v>
      </c>
      <c r="B244" s="248" t="s">
        <v>333</v>
      </c>
      <c r="C244" s="248" t="s">
        <v>334</v>
      </c>
      <c r="D244" s="68" t="s">
        <v>2</v>
      </c>
      <c r="E244" s="68" t="s">
        <v>57</v>
      </c>
      <c r="F244" s="68"/>
      <c r="G244" s="68"/>
      <c r="H244" s="68"/>
      <c r="I244" s="68"/>
      <c r="J244" s="68"/>
      <c r="K244" s="248">
        <f>'Final allowances'!$O$80</f>
        <v>0</v>
      </c>
    </row>
    <row r="245" spans="1:11" x14ac:dyDescent="0.3">
      <c r="A245" s="248" t="s">
        <v>10</v>
      </c>
      <c r="B245" s="248" t="str">
        <f xml:space="preserve"> B220</f>
        <v xml:space="preserve">C_WRPDR_PR19CA004 </v>
      </c>
      <c r="C245" s="248" t="s">
        <v>109</v>
      </c>
      <c r="D245" s="68" t="s">
        <v>2</v>
      </c>
      <c r="E245" s="68" t="s">
        <v>57</v>
      </c>
      <c r="F245" s="68">
        <f xml:space="preserve"> INDEX( PDR!$D$5:$D$89, MATCH(F_Outputs!$A245 &amp; RIGHT( F_Outputs!F$2, 2),PDR!$A$5:$A$89, 0 ) )</f>
        <v>0.22995557091026853</v>
      </c>
      <c r="G245" s="68">
        <f xml:space="preserve"> INDEX( PDR!$D$5:$D$89, MATCH(F_Outputs!$A245 &amp; RIGHT( F_Outputs!G$2, 2),PDR!$A$5:$A$89, 0 ) )</f>
        <v>0.22368130158832608</v>
      </c>
      <c r="H245" s="68">
        <f xml:space="preserve"> INDEX( PDR!$D$5:$D$89, MATCH(F_Outputs!$A245 &amp; RIGHT( F_Outputs!H$2, 2),PDR!$A$5:$A$89, 0 ) )</f>
        <v>0.21728824478733122</v>
      </c>
      <c r="I245" s="68">
        <f xml:space="preserve"> INDEX( PDR!$D$5:$D$89, MATCH(F_Outputs!$A245 &amp; RIGHT( F_Outputs!I$2, 2),PDR!$A$5:$A$89, 0 ) )</f>
        <v>0</v>
      </c>
      <c r="J245" s="68">
        <f xml:space="preserve"> INDEX( PDR!$D$5:$D$89, MATCH(F_Outputs!$A245 &amp; RIGHT( F_Outputs!J$2, 2),PDR!$A$5:$A$89, 0 ) )</f>
        <v>0</v>
      </c>
      <c r="K245" s="248"/>
    </row>
    <row r="246" spans="1:11" x14ac:dyDescent="0.3">
      <c r="A246" s="248" t="s">
        <v>10</v>
      </c>
      <c r="B246" s="248" t="str">
        <f xml:space="preserve"> B221</f>
        <v>C_WNPDR_PR19CA004</v>
      </c>
      <c r="C246" s="248" t="s">
        <v>110</v>
      </c>
      <c r="D246" s="68" t="s">
        <v>2</v>
      </c>
      <c r="E246" s="68" t="s">
        <v>57</v>
      </c>
      <c r="F246" s="68">
        <f>INDEX(PDR!$E$5:$E$89,MATCH(F_Outputs!$A246&amp;RIGHT(F_Outputs!F$2,2),PDR!$A$5:$A$89,0))</f>
        <v>1.7159978218125398</v>
      </c>
      <c r="G246" s="68">
        <f>INDEX(PDR!$E$5:$E$89,MATCH(F_Outputs!$A246&amp;RIGHT(F_Outputs!G$2,2),PDR!$A$5:$A$89,0))</f>
        <v>1.6678844879303445</v>
      </c>
      <c r="H246" s="68">
        <f>INDEX(PDR!$E$5:$E$89,MATCH(F_Outputs!$A246&amp;RIGHT(F_Outputs!H$2,2),PDR!$A$5:$A$89,0))</f>
        <v>1.6213045957208561</v>
      </c>
      <c r="I246" s="68">
        <f>INDEX(PDR!$E$5:$E$89,MATCH(F_Outputs!$A246&amp;RIGHT(F_Outputs!I$2,2),PDR!$A$5:$A$89,0))</f>
        <v>0</v>
      </c>
      <c r="J246" s="68">
        <f>INDEX(PDR!$E$5:$E$89,MATCH(F_Outputs!$A246&amp;RIGHT(F_Outputs!J$2,2),PDR!$A$5:$A$89,0))</f>
        <v>0</v>
      </c>
      <c r="K246" s="248"/>
    </row>
    <row r="247" spans="1:11" x14ac:dyDescent="0.3">
      <c r="A247" s="248" t="s">
        <v>10</v>
      </c>
      <c r="B247" s="248" t="s">
        <v>193</v>
      </c>
      <c r="C247" s="248" t="s">
        <v>195</v>
      </c>
      <c r="D247" s="68" t="s">
        <v>2</v>
      </c>
      <c r="E247" s="68" t="s">
        <v>57</v>
      </c>
      <c r="F247" s="249">
        <f>K247/5</f>
        <v>16.1844343952109</v>
      </c>
      <c r="G247" s="249">
        <f t="shared" ref="G247:J249" si="48">F247</f>
        <v>16.1844343952109</v>
      </c>
      <c r="H247" s="249">
        <f t="shared" si="48"/>
        <v>16.1844343952109</v>
      </c>
      <c r="I247" s="249">
        <f t="shared" si="48"/>
        <v>16.1844343952109</v>
      </c>
      <c r="J247" s="249">
        <f t="shared" si="48"/>
        <v>16.1844343952109</v>
      </c>
      <c r="K247" s="248">
        <f>INDEX('Final allowances'!$G$6:$G$22,MATCH(F_Outputs!A247,'Final allowances'!$B$6:$B$22,0))</f>
        <v>80.9221719760545</v>
      </c>
    </row>
    <row r="248" spans="1:11" x14ac:dyDescent="0.3">
      <c r="A248" s="248" t="s">
        <v>10</v>
      </c>
      <c r="B248" s="248" t="s">
        <v>194</v>
      </c>
      <c r="C248" s="248" t="s">
        <v>196</v>
      </c>
      <c r="D248" s="68" t="s">
        <v>2</v>
      </c>
      <c r="E248" s="68" t="s">
        <v>57</v>
      </c>
      <c r="F248" s="249">
        <f>K248/5</f>
        <v>106.80438207650505</v>
      </c>
      <c r="G248" s="249">
        <f t="shared" si="48"/>
        <v>106.80438207650505</v>
      </c>
      <c r="H248" s="249">
        <f t="shared" si="48"/>
        <v>106.80438207650505</v>
      </c>
      <c r="I248" s="249">
        <f t="shared" si="48"/>
        <v>106.80438207650505</v>
      </c>
      <c r="J248" s="249">
        <f t="shared" si="48"/>
        <v>106.80438207650505</v>
      </c>
      <c r="K248" s="248">
        <f>INDEX('Final allowances'!$H$6:$H$22,MATCH(F_Outputs!A248,'Final allowances'!$B$6:$B$22,0))</f>
        <v>534.02191038252522</v>
      </c>
    </row>
    <row r="249" spans="1:11" x14ac:dyDescent="0.3">
      <c r="A249" s="248" t="s">
        <v>10</v>
      </c>
      <c r="B249" s="248" t="s">
        <v>319</v>
      </c>
      <c r="C249" s="248" t="s">
        <v>320</v>
      </c>
      <c r="D249" s="68" t="s">
        <v>2</v>
      </c>
      <c r="E249" s="68" t="s">
        <v>57</v>
      </c>
      <c r="F249" s="249">
        <f>K249/5</f>
        <v>0</v>
      </c>
      <c r="G249" s="249">
        <f t="shared" si="48"/>
        <v>0</v>
      </c>
      <c r="H249" s="249">
        <f t="shared" si="48"/>
        <v>0</v>
      </c>
      <c r="I249" s="249">
        <f t="shared" si="48"/>
        <v>0</v>
      </c>
      <c r="J249" s="249">
        <f t="shared" si="48"/>
        <v>0</v>
      </c>
      <c r="K249" s="248">
        <f>INDEX('Final allowances'!$E$6:$E$22,MATCH(F_Outputs!A249,'Final allowances'!$B$6:$B$22,0))</f>
        <v>0</v>
      </c>
    </row>
    <row r="250" spans="1:11" x14ac:dyDescent="0.3">
      <c r="A250" s="248" t="s">
        <v>10</v>
      </c>
      <c r="B250" s="248" t="s">
        <v>197</v>
      </c>
      <c r="C250" s="248" t="s">
        <v>199</v>
      </c>
      <c r="D250" s="68" t="s">
        <v>2</v>
      </c>
      <c r="E250" s="68" t="s">
        <v>57</v>
      </c>
      <c r="F250" s="68">
        <f>K250/5</f>
        <v>0.75006196829516125</v>
      </c>
      <c r="G250" s="68">
        <f>F250</f>
        <v>0.75006196829516125</v>
      </c>
      <c r="H250" s="68">
        <f t="shared" ref="H250:J250" si="49">G250</f>
        <v>0.75006196829516125</v>
      </c>
      <c r="I250" s="68">
        <f t="shared" si="49"/>
        <v>0.75006196829516125</v>
      </c>
      <c r="J250" s="68">
        <f t="shared" si="49"/>
        <v>0.75006196829516125</v>
      </c>
      <c r="K250" s="248">
        <f>K237+K239+K241+K244</f>
        <v>3.7503098414758065</v>
      </c>
    </row>
    <row r="251" spans="1:11" x14ac:dyDescent="0.3">
      <c r="A251" s="248" t="s">
        <v>10</v>
      </c>
      <c r="B251" s="248" t="s">
        <v>198</v>
      </c>
      <c r="C251" s="248" t="s">
        <v>200</v>
      </c>
      <c r="D251" s="68" t="s">
        <v>2</v>
      </c>
      <c r="E251" s="68" t="s">
        <v>57</v>
      </c>
      <c r="F251" s="68">
        <f>K251/5</f>
        <v>1.3408207687757643</v>
      </c>
      <c r="G251" s="68">
        <f>F251</f>
        <v>1.3408207687757643</v>
      </c>
      <c r="H251" s="68">
        <f t="shared" ref="H251:J251" si="50">G251</f>
        <v>1.3408207687757643</v>
      </c>
      <c r="I251" s="68">
        <f t="shared" si="50"/>
        <v>1.3408207687757643</v>
      </c>
      <c r="J251" s="68">
        <f t="shared" si="50"/>
        <v>1.3408207687757643</v>
      </c>
      <c r="K251" s="248">
        <f>K238+K240+K242+K243</f>
        <v>6.704103843878821</v>
      </c>
    </row>
    <row r="252" spans="1:11" ht="14.5" x14ac:dyDescent="0.3">
      <c r="A252" s="248" t="s">
        <v>10</v>
      </c>
      <c r="B252" s="68" t="s">
        <v>113</v>
      </c>
      <c r="C252" s="68" t="s">
        <v>98</v>
      </c>
      <c r="D252" s="68" t="s">
        <v>62</v>
      </c>
      <c r="E252" s="68" t="s">
        <v>57</v>
      </c>
      <c r="F252" s="250" t="str">
        <f ca="1">CONCATENATE("[…]", TEXT(NOW(),"dd/mm/yyy hh:mm:ss"))</f>
        <v>[…]11/12/2019 16:31:19</v>
      </c>
      <c r="G252" s="250" t="str">
        <f t="shared" ref="G252:K252" ca="1" si="51">CONCATENATE("[…]", TEXT(NOW(),"dd/mm/yyy hh:mm:ss"))</f>
        <v>[…]11/12/2019 16:31:19</v>
      </c>
      <c r="H252" s="250" t="str">
        <f t="shared" ca="1" si="51"/>
        <v>[…]11/12/2019 16:31:19</v>
      </c>
      <c r="I252" s="250" t="str">
        <f t="shared" ca="1" si="51"/>
        <v>[…]11/12/2019 16:31:19</v>
      </c>
      <c r="J252" s="250" t="str">
        <f t="shared" ca="1" si="51"/>
        <v>[…]11/12/2019 16:31:19</v>
      </c>
      <c r="K252" s="250" t="str">
        <f t="shared" ca="1" si="51"/>
        <v>[…]11/12/2019 16:31:19</v>
      </c>
    </row>
    <row r="253" spans="1:11" x14ac:dyDescent="0.3">
      <c r="A253" s="248" t="s">
        <v>10</v>
      </c>
      <c r="B253" s="68" t="s">
        <v>114</v>
      </c>
      <c r="C253" s="68" t="s">
        <v>99</v>
      </c>
      <c r="D253" s="68" t="s">
        <v>62</v>
      </c>
      <c r="E253" s="68" t="s">
        <v>57</v>
      </c>
      <c r="F253" s="251" t="s">
        <v>316</v>
      </c>
      <c r="G253" s="251" t="s">
        <v>316</v>
      </c>
      <c r="H253" s="251" t="s">
        <v>316</v>
      </c>
      <c r="I253" s="251" t="s">
        <v>316</v>
      </c>
      <c r="J253" s="251" t="s">
        <v>316</v>
      </c>
      <c r="K253" s="251" t="s">
        <v>316</v>
      </c>
    </row>
    <row r="254" spans="1:11" x14ac:dyDescent="0.3">
      <c r="A254" s="248" t="s">
        <v>11</v>
      </c>
      <c r="B254" s="248" t="str">
        <f xml:space="preserve"> B229</f>
        <v>C_TBC_WR_PR19CA004_OFWAT</v>
      </c>
      <c r="C254" s="248" t="s">
        <v>215</v>
      </c>
      <c r="D254" s="68" t="s">
        <v>2</v>
      </c>
      <c r="E254" s="68" t="s">
        <v>57</v>
      </c>
      <c r="F254" s="68"/>
      <c r="G254" s="68"/>
      <c r="H254" s="68"/>
      <c r="I254" s="68"/>
      <c r="J254" s="68"/>
      <c r="K254" s="248">
        <f>'Final allowances'!$O$37</f>
        <v>178.77173756971166</v>
      </c>
    </row>
    <row r="255" spans="1:11" x14ac:dyDescent="0.3">
      <c r="A255" s="248" t="s">
        <v>11</v>
      </c>
      <c r="B255" s="248" t="str">
        <f xml:space="preserve"> B230</f>
        <v>C_TBC_WN_PR19CA004_OFWAT</v>
      </c>
      <c r="C255" s="248" t="s">
        <v>217</v>
      </c>
      <c r="D255" s="68" t="s">
        <v>2</v>
      </c>
      <c r="E255" s="68" t="s">
        <v>57</v>
      </c>
      <c r="F255" s="68"/>
      <c r="G255" s="68"/>
      <c r="H255" s="68"/>
      <c r="I255" s="68"/>
      <c r="J255" s="68"/>
      <c r="K255" s="248">
        <f>'Final allowances'!$P$37</f>
        <v>1374.5382140991674</v>
      </c>
    </row>
    <row r="256" spans="1:11" x14ac:dyDescent="0.3">
      <c r="A256" s="248" t="s">
        <v>11</v>
      </c>
      <c r="B256" s="248" t="s">
        <v>317</v>
      </c>
      <c r="C256" s="248" t="s">
        <v>236</v>
      </c>
      <c r="D256" s="68" t="s">
        <v>2</v>
      </c>
      <c r="E256" s="68" t="s">
        <v>57</v>
      </c>
      <c r="F256" s="68"/>
      <c r="G256" s="68"/>
      <c r="H256" s="68"/>
      <c r="I256" s="68"/>
      <c r="J256" s="68"/>
      <c r="K256" s="248">
        <f>'Final allowances'!$L$37</f>
        <v>37.537487137785391</v>
      </c>
    </row>
    <row r="257" spans="1:11" x14ac:dyDescent="0.3">
      <c r="A257" s="248" t="s">
        <v>11</v>
      </c>
      <c r="B257" s="248" t="s">
        <v>318</v>
      </c>
      <c r="C257" s="248" t="s">
        <v>237</v>
      </c>
      <c r="D257" s="68" t="s">
        <v>2</v>
      </c>
      <c r="E257" s="68" t="s">
        <v>57</v>
      </c>
      <c r="F257" s="68"/>
      <c r="G257" s="68"/>
      <c r="H257" s="68"/>
      <c r="I257" s="68"/>
      <c r="J257" s="68"/>
      <c r="K257" s="248">
        <f>'Final allowances'!$M$37</f>
        <v>149.00871477427322</v>
      </c>
    </row>
    <row r="258" spans="1:11" x14ac:dyDescent="0.3">
      <c r="A258" s="248" t="s">
        <v>11</v>
      </c>
      <c r="B258" s="248" t="s">
        <v>327</v>
      </c>
      <c r="C258" s="248" t="s">
        <v>329</v>
      </c>
      <c r="D258" s="68" t="s">
        <v>2</v>
      </c>
      <c r="E258" s="68" t="s">
        <v>57</v>
      </c>
      <c r="F258" s="68"/>
      <c r="G258" s="68"/>
      <c r="H258" s="68"/>
      <c r="I258" s="68"/>
      <c r="J258" s="68"/>
      <c r="K258" s="248">
        <f>'Final allowances'!$F$37</f>
        <v>25.657891748374116</v>
      </c>
    </row>
    <row r="259" spans="1:11" x14ac:dyDescent="0.3">
      <c r="A259" s="248" t="s">
        <v>11</v>
      </c>
      <c r="B259" s="248" t="s">
        <v>328</v>
      </c>
      <c r="C259" s="248" t="s">
        <v>330</v>
      </c>
      <c r="D259" s="68" t="s">
        <v>2</v>
      </c>
      <c r="E259" s="68" t="s">
        <v>57</v>
      </c>
      <c r="F259" s="68"/>
      <c r="G259" s="68"/>
      <c r="H259" s="68"/>
      <c r="I259" s="68"/>
      <c r="J259" s="68"/>
      <c r="K259" s="248">
        <f>'Final allowances'!$G$37</f>
        <v>0.12170289790713723</v>
      </c>
    </row>
    <row r="260" spans="1:11" x14ac:dyDescent="0.3">
      <c r="A260" s="248" t="s">
        <v>11</v>
      </c>
      <c r="B260" s="248" t="str">
        <f t="shared" ref="B260:B267" si="52" xml:space="preserve"> B235</f>
        <v>C_ENC_WR_PR19CA004_OFWAT</v>
      </c>
      <c r="C260" s="248" t="s">
        <v>226</v>
      </c>
      <c r="D260" s="68" t="s">
        <v>2</v>
      </c>
      <c r="E260" s="68" t="s">
        <v>57</v>
      </c>
      <c r="F260" s="68"/>
      <c r="G260" s="68"/>
      <c r="H260" s="68"/>
      <c r="I260" s="68"/>
      <c r="J260" s="68"/>
      <c r="K260" s="248">
        <f>'Final allowances'!$C$58</f>
        <v>35.511899999999997</v>
      </c>
    </row>
    <row r="261" spans="1:11" x14ac:dyDescent="0.3">
      <c r="A261" s="248" t="s">
        <v>11</v>
      </c>
      <c r="B261" s="248" t="str">
        <f t="shared" si="52"/>
        <v>C_ENC_WN_PR19CA004_OFWAT</v>
      </c>
      <c r="C261" s="248" t="s">
        <v>227</v>
      </c>
      <c r="D261" s="68" t="s">
        <v>2</v>
      </c>
      <c r="E261" s="68" t="s">
        <v>57</v>
      </c>
      <c r="F261" s="68"/>
      <c r="G261" s="68"/>
      <c r="H261" s="68"/>
      <c r="I261" s="68"/>
      <c r="J261" s="68"/>
      <c r="K261" s="248">
        <f>'Final allowances'!$D$58</f>
        <v>107.26475439570505</v>
      </c>
    </row>
    <row r="262" spans="1:11" x14ac:dyDescent="0.3">
      <c r="A262" s="248" t="s">
        <v>11</v>
      </c>
      <c r="B262" s="248" t="str">
        <f t="shared" si="52"/>
        <v>C_3PTYC_WR_PR19CA004_OFWAT</v>
      </c>
      <c r="C262" s="248" t="s">
        <v>228</v>
      </c>
      <c r="D262" s="68" t="s">
        <v>2</v>
      </c>
      <c r="E262" s="68" t="s">
        <v>57</v>
      </c>
      <c r="F262" s="68"/>
      <c r="G262" s="68"/>
      <c r="H262" s="68"/>
      <c r="I262" s="68"/>
      <c r="J262" s="68"/>
      <c r="K262" s="248">
        <f>'Final allowances'!$C$81</f>
        <v>0</v>
      </c>
    </row>
    <row r="263" spans="1:11" x14ac:dyDescent="0.3">
      <c r="A263" s="248" t="s">
        <v>11</v>
      </c>
      <c r="B263" s="248" t="str">
        <f t="shared" si="52"/>
        <v>C_3PTYC_WN_PR19CA004_OFWAT</v>
      </c>
      <c r="C263" s="248" t="s">
        <v>229</v>
      </c>
      <c r="D263" s="68" t="s">
        <v>2</v>
      </c>
      <c r="E263" s="68" t="s">
        <v>57</v>
      </c>
      <c r="F263" s="68"/>
      <c r="G263" s="68"/>
      <c r="H263" s="68"/>
      <c r="I263" s="68"/>
      <c r="J263" s="68"/>
      <c r="K263" s="248">
        <f>'Final allowances'!$D$81</f>
        <v>12.365014427365054</v>
      </c>
    </row>
    <row r="264" spans="1:11" x14ac:dyDescent="0.3">
      <c r="A264" s="248" t="s">
        <v>11</v>
      </c>
      <c r="B264" s="248" t="str">
        <f t="shared" si="52"/>
        <v>C_CSH_WR_PR19CA004_OFWAT</v>
      </c>
      <c r="C264" s="248" t="s">
        <v>230</v>
      </c>
      <c r="D264" s="68" t="s">
        <v>2</v>
      </c>
      <c r="E264" s="68" t="s">
        <v>57</v>
      </c>
      <c r="F264" s="68"/>
      <c r="G264" s="68"/>
      <c r="H264" s="68"/>
      <c r="I264" s="68"/>
      <c r="J264" s="68"/>
      <c r="K264" s="248">
        <f>'Final allowances'!$F$81</f>
        <v>0</v>
      </c>
    </row>
    <row r="265" spans="1:11" x14ac:dyDescent="0.3">
      <c r="A265" s="248" t="s">
        <v>11</v>
      </c>
      <c r="B265" s="248" t="str">
        <f t="shared" si="52"/>
        <v>C_CSH_WN_PR19CA004_OFWAT</v>
      </c>
      <c r="C265" s="248" t="s">
        <v>231</v>
      </c>
      <c r="D265" s="68" t="s">
        <v>2</v>
      </c>
      <c r="E265" s="68" t="s">
        <v>57</v>
      </c>
      <c r="F265" s="68"/>
      <c r="G265" s="68"/>
      <c r="H265" s="68"/>
      <c r="I265" s="68"/>
      <c r="J265" s="68"/>
      <c r="K265" s="248">
        <f>'Final allowances'!$G$81</f>
        <v>0</v>
      </c>
    </row>
    <row r="266" spans="1:11" x14ac:dyDescent="0.3">
      <c r="A266" s="248" t="s">
        <v>11</v>
      </c>
      <c r="B266" s="248" t="str">
        <f t="shared" si="52"/>
        <v>C_SSDC_WR_PR19CA004_OFWAT</v>
      </c>
      <c r="C266" s="248" t="s">
        <v>232</v>
      </c>
      <c r="D266" s="68" t="s">
        <v>2</v>
      </c>
      <c r="E266" s="68" t="s">
        <v>57</v>
      </c>
      <c r="F266" s="68"/>
      <c r="G266" s="68"/>
      <c r="H266" s="68"/>
      <c r="I266" s="68"/>
      <c r="J266" s="68"/>
      <c r="K266" s="248">
        <f>'Final allowances'!$L$81</f>
        <v>0</v>
      </c>
    </row>
    <row r="267" spans="1:11" x14ac:dyDescent="0.3">
      <c r="A267" s="248" t="s">
        <v>11</v>
      </c>
      <c r="B267" s="248" t="str">
        <f t="shared" si="52"/>
        <v>C_SSDC_WN_PR19CA004_OFWAT</v>
      </c>
      <c r="C267" s="248" t="s">
        <v>233</v>
      </c>
      <c r="D267" s="68" t="s">
        <v>2</v>
      </c>
      <c r="E267" s="68" t="s">
        <v>57</v>
      </c>
      <c r="F267" s="68"/>
      <c r="G267" s="68"/>
      <c r="H267" s="68"/>
      <c r="I267" s="68"/>
      <c r="J267" s="68"/>
      <c r="K267" s="248">
        <f>'Final allowances'!$M$81</f>
        <v>0</v>
      </c>
    </row>
    <row r="268" spans="1:11" x14ac:dyDescent="0.3">
      <c r="A268" s="248" t="s">
        <v>11</v>
      </c>
      <c r="B268" s="248" t="s">
        <v>331</v>
      </c>
      <c r="C268" s="248" t="s">
        <v>332</v>
      </c>
      <c r="D268" s="68" t="s">
        <v>2</v>
      </c>
      <c r="E268" s="68" t="s">
        <v>57</v>
      </c>
      <c r="F268" s="68"/>
      <c r="G268" s="68"/>
      <c r="H268" s="68"/>
      <c r="I268" s="68"/>
      <c r="J268" s="68"/>
      <c r="K268" s="248">
        <f>'Final allowances'!$P$81</f>
        <v>7.3343034394756668</v>
      </c>
    </row>
    <row r="269" spans="1:11" x14ac:dyDescent="0.3">
      <c r="A269" s="248" t="s">
        <v>11</v>
      </c>
      <c r="B269" s="248" t="s">
        <v>333</v>
      </c>
      <c r="C269" s="248" t="s">
        <v>334</v>
      </c>
      <c r="D269" s="68" t="s">
        <v>2</v>
      </c>
      <c r="E269" s="68" t="s">
        <v>57</v>
      </c>
      <c r="F269" s="68"/>
      <c r="G269" s="68"/>
      <c r="H269" s="68"/>
      <c r="I269" s="68"/>
      <c r="J269" s="68"/>
      <c r="K269" s="248">
        <f>'Final allowances'!$O$81</f>
        <v>0</v>
      </c>
    </row>
    <row r="270" spans="1:11" x14ac:dyDescent="0.3">
      <c r="A270" s="248" t="s">
        <v>11</v>
      </c>
      <c r="B270" s="248" t="str">
        <f xml:space="preserve"> B245</f>
        <v xml:space="preserve">C_WRPDR_PR19CA004 </v>
      </c>
      <c r="C270" s="248" t="s">
        <v>109</v>
      </c>
      <c r="D270" s="68" t="s">
        <v>2</v>
      </c>
      <c r="E270" s="68" t="s">
        <v>57</v>
      </c>
      <c r="F270" s="68">
        <f xml:space="preserve"> INDEX( PDR!$D$5:$D$89, MATCH(F_Outputs!$A270 &amp; RIGHT( F_Outputs!F$2, 2),PDR!$A$5:$A$89, 0 ) )</f>
        <v>0.38003056541930369</v>
      </c>
      <c r="G270" s="68">
        <f xml:space="preserve"> INDEX( PDR!$D$5:$D$89, MATCH(F_Outputs!$A270 &amp; RIGHT( F_Outputs!G$2, 2),PDR!$A$5:$A$89, 0 ) )</f>
        <v>0.38003056541930369</v>
      </c>
      <c r="H270" s="68">
        <f xml:space="preserve"> INDEX( PDR!$D$5:$D$89, MATCH(F_Outputs!$A270 &amp; RIGHT( F_Outputs!H$2, 2),PDR!$A$5:$A$89, 0 ) )</f>
        <v>0</v>
      </c>
      <c r="I270" s="68">
        <f xml:space="preserve"> INDEX( PDR!$D$5:$D$89, MATCH(F_Outputs!$A270 &amp; RIGHT( F_Outputs!I$2, 2),PDR!$A$5:$A$89, 0 ) )</f>
        <v>0</v>
      </c>
      <c r="J270" s="68">
        <f xml:space="preserve"> INDEX( PDR!$D$5:$D$89, MATCH(F_Outputs!$A270 &amp; RIGHT( F_Outputs!J$2, 2),PDR!$A$5:$A$89, 0 ) )</f>
        <v>0</v>
      </c>
      <c r="K270" s="248"/>
    </row>
    <row r="271" spans="1:11" x14ac:dyDescent="0.3">
      <c r="A271" s="248" t="s">
        <v>11</v>
      </c>
      <c r="B271" s="248" t="str">
        <f xml:space="preserve"> B246</f>
        <v>C_WNPDR_PR19CA004</v>
      </c>
      <c r="C271" s="248" t="s">
        <v>110</v>
      </c>
      <c r="D271" s="68" t="s">
        <v>2</v>
      </c>
      <c r="E271" s="68" t="s">
        <v>57</v>
      </c>
      <c r="F271" s="68">
        <f>INDEX(PDR!$E$5:$E$89,MATCH(F_Outputs!$A271&amp;RIGHT(F_Outputs!F$2,2),PDR!$A$5:$A$89,0))</f>
        <v>5.9783056016263281</v>
      </c>
      <c r="G271" s="68">
        <f>INDEX(PDR!$E$5:$E$89,MATCH(F_Outputs!$A271&amp;RIGHT(F_Outputs!G$2,2),PDR!$A$5:$A$89,0))</f>
        <v>5.9783056016263281</v>
      </c>
      <c r="H271" s="68">
        <f>INDEX(PDR!$E$5:$E$89,MATCH(F_Outputs!$A271&amp;RIGHT(F_Outputs!H$2,2),PDR!$A$5:$A$89,0))</f>
        <v>0</v>
      </c>
      <c r="I271" s="68">
        <f>INDEX(PDR!$E$5:$E$89,MATCH(F_Outputs!$A271&amp;RIGHT(F_Outputs!I$2,2),PDR!$A$5:$A$89,0))</f>
        <v>0</v>
      </c>
      <c r="J271" s="68">
        <f>INDEX(PDR!$E$5:$E$89,MATCH(F_Outputs!$A271&amp;RIGHT(F_Outputs!J$2,2),PDR!$A$5:$A$89,0))</f>
        <v>0</v>
      </c>
      <c r="K271" s="248"/>
    </row>
    <row r="272" spans="1:11" x14ac:dyDescent="0.3">
      <c r="A272" s="248" t="s">
        <v>11</v>
      </c>
      <c r="B272" s="248" t="s">
        <v>193</v>
      </c>
      <c r="C272" s="248" t="s">
        <v>195</v>
      </c>
      <c r="D272" s="68" t="s">
        <v>2</v>
      </c>
      <c r="E272" s="68" t="s">
        <v>57</v>
      </c>
      <c r="F272" s="249">
        <f>K272/5</f>
        <v>42.856727513942332</v>
      </c>
      <c r="G272" s="249">
        <f t="shared" ref="G272:J274" si="53">F272</f>
        <v>42.856727513942332</v>
      </c>
      <c r="H272" s="249">
        <f t="shared" si="53"/>
        <v>42.856727513942332</v>
      </c>
      <c r="I272" s="249">
        <f t="shared" si="53"/>
        <v>42.856727513942332</v>
      </c>
      <c r="J272" s="249">
        <f t="shared" si="53"/>
        <v>42.856727513942332</v>
      </c>
      <c r="K272" s="248">
        <f>INDEX('Final allowances'!$G$6:$G$22,MATCH(F_Outputs!A272,'Final allowances'!$B$6:$B$22,0))</f>
        <v>214.28363756971166</v>
      </c>
    </row>
    <row r="273" spans="1:11" x14ac:dyDescent="0.3">
      <c r="A273" s="248" t="s">
        <v>11</v>
      </c>
      <c r="B273" s="248" t="s">
        <v>194</v>
      </c>
      <c r="C273" s="248" t="s">
        <v>196</v>
      </c>
      <c r="D273" s="68" t="s">
        <v>2</v>
      </c>
      <c r="E273" s="68" t="s">
        <v>57</v>
      </c>
      <c r="F273" s="249">
        <f>K273/5</f>
        <v>296.36059369897447</v>
      </c>
      <c r="G273" s="249">
        <f t="shared" si="53"/>
        <v>296.36059369897447</v>
      </c>
      <c r="H273" s="249">
        <f t="shared" si="53"/>
        <v>296.36059369897447</v>
      </c>
      <c r="I273" s="249">
        <f t="shared" si="53"/>
        <v>296.36059369897447</v>
      </c>
      <c r="J273" s="249">
        <f t="shared" si="53"/>
        <v>296.36059369897447</v>
      </c>
      <c r="K273" s="248">
        <f>INDEX('Final allowances'!$H$6:$H$22,MATCH(F_Outputs!A273,'Final allowances'!$B$6:$B$22,0))</f>
        <v>1481.8029684948724</v>
      </c>
    </row>
    <row r="274" spans="1:11" x14ac:dyDescent="0.3">
      <c r="A274" s="248" t="s">
        <v>11</v>
      </c>
      <c r="B274" s="248" t="s">
        <v>319</v>
      </c>
      <c r="C274" s="248" t="s">
        <v>320</v>
      </c>
      <c r="D274" s="68" t="s">
        <v>2</v>
      </c>
      <c r="E274" s="68" t="s">
        <v>57</v>
      </c>
      <c r="F274" s="249">
        <f>K274/5</f>
        <v>0</v>
      </c>
      <c r="G274" s="249">
        <f t="shared" si="53"/>
        <v>0</v>
      </c>
      <c r="H274" s="249">
        <f t="shared" si="53"/>
        <v>0</v>
      </c>
      <c r="I274" s="249">
        <f t="shared" si="53"/>
        <v>0</v>
      </c>
      <c r="J274" s="249">
        <f t="shared" si="53"/>
        <v>0</v>
      </c>
      <c r="K274" s="248">
        <f>INDEX('Final allowances'!$E$6:$E$22,MATCH(F_Outputs!A274,'Final allowances'!$B$6:$B$22,0))</f>
        <v>0</v>
      </c>
    </row>
    <row r="275" spans="1:11" x14ac:dyDescent="0.3">
      <c r="A275" s="248" t="s">
        <v>11</v>
      </c>
      <c r="B275" s="248" t="s">
        <v>197</v>
      </c>
      <c r="C275" s="248" t="s">
        <v>199</v>
      </c>
      <c r="D275" s="68" t="s">
        <v>2</v>
      </c>
      <c r="E275" s="68" t="s">
        <v>57</v>
      </c>
      <c r="F275" s="68">
        <f>K275/5</f>
        <v>0</v>
      </c>
      <c r="G275" s="68">
        <f>F275</f>
        <v>0</v>
      </c>
      <c r="H275" s="68">
        <f t="shared" ref="H275:J275" si="54">G275</f>
        <v>0</v>
      </c>
      <c r="I275" s="68">
        <f t="shared" si="54"/>
        <v>0</v>
      </c>
      <c r="J275" s="68">
        <f t="shared" si="54"/>
        <v>0</v>
      </c>
      <c r="K275" s="248">
        <f>K262+K264+K266+K269</f>
        <v>0</v>
      </c>
    </row>
    <row r="276" spans="1:11" x14ac:dyDescent="0.3">
      <c r="A276" s="248" t="s">
        <v>11</v>
      </c>
      <c r="B276" s="248" t="s">
        <v>198</v>
      </c>
      <c r="C276" s="248" t="s">
        <v>200</v>
      </c>
      <c r="D276" s="68" t="s">
        <v>2</v>
      </c>
      <c r="E276" s="68" t="s">
        <v>57</v>
      </c>
      <c r="F276" s="68">
        <f>K276/5</f>
        <v>3.9398635733681444</v>
      </c>
      <c r="G276" s="68">
        <f>F276</f>
        <v>3.9398635733681444</v>
      </c>
      <c r="H276" s="68">
        <f t="shared" ref="H276:J276" si="55">G276</f>
        <v>3.9398635733681444</v>
      </c>
      <c r="I276" s="68">
        <f t="shared" si="55"/>
        <v>3.9398635733681444</v>
      </c>
      <c r="J276" s="68">
        <f t="shared" si="55"/>
        <v>3.9398635733681444</v>
      </c>
      <c r="K276" s="248">
        <f>K263+K265+K267+K268</f>
        <v>19.699317866840723</v>
      </c>
    </row>
    <row r="277" spans="1:11" ht="14.5" x14ac:dyDescent="0.3">
      <c r="A277" s="248" t="s">
        <v>11</v>
      </c>
      <c r="B277" s="68" t="s">
        <v>113</v>
      </c>
      <c r="C277" s="68" t="s">
        <v>98</v>
      </c>
      <c r="D277" s="68" t="s">
        <v>62</v>
      </c>
      <c r="E277" s="68" t="s">
        <v>57</v>
      </c>
      <c r="F277" s="250" t="str">
        <f ca="1">CONCATENATE("[…]", TEXT(NOW(),"dd/mm/yyy hh:mm:ss"))</f>
        <v>[…]11/12/2019 16:31:19</v>
      </c>
      <c r="G277" s="250" t="str">
        <f t="shared" ref="G277:K277" ca="1" si="56">CONCATENATE("[…]", TEXT(NOW(),"dd/mm/yyy hh:mm:ss"))</f>
        <v>[…]11/12/2019 16:31:19</v>
      </c>
      <c r="H277" s="250" t="str">
        <f t="shared" ca="1" si="56"/>
        <v>[…]11/12/2019 16:31:19</v>
      </c>
      <c r="I277" s="250" t="str">
        <f t="shared" ca="1" si="56"/>
        <v>[…]11/12/2019 16:31:19</v>
      </c>
      <c r="J277" s="250" t="str">
        <f t="shared" ca="1" si="56"/>
        <v>[…]11/12/2019 16:31:19</v>
      </c>
      <c r="K277" s="250" t="str">
        <f t="shared" ca="1" si="56"/>
        <v>[…]11/12/2019 16:31:19</v>
      </c>
    </row>
    <row r="278" spans="1:11" x14ac:dyDescent="0.3">
      <c r="A278" s="248" t="s">
        <v>11</v>
      </c>
      <c r="B278" s="68" t="s">
        <v>114</v>
      </c>
      <c r="C278" s="68" t="s">
        <v>99</v>
      </c>
      <c r="D278" s="68" t="s">
        <v>62</v>
      </c>
      <c r="E278" s="68" t="s">
        <v>57</v>
      </c>
      <c r="F278" s="251" t="s">
        <v>316</v>
      </c>
      <c r="G278" s="251" t="s">
        <v>316</v>
      </c>
      <c r="H278" s="251" t="s">
        <v>316</v>
      </c>
      <c r="I278" s="251" t="s">
        <v>316</v>
      </c>
      <c r="J278" s="251" t="s">
        <v>316</v>
      </c>
      <c r="K278" s="251" t="s">
        <v>316</v>
      </c>
    </row>
    <row r="279" spans="1:11" x14ac:dyDescent="0.3">
      <c r="A279" s="248" t="s">
        <v>12</v>
      </c>
      <c r="B279" s="248" t="str">
        <f xml:space="preserve"> B254</f>
        <v>C_TBC_WR_PR19CA004_OFWAT</v>
      </c>
      <c r="C279" s="248" t="s">
        <v>215</v>
      </c>
      <c r="D279" s="68" t="s">
        <v>2</v>
      </c>
      <c r="E279" s="68" t="s">
        <v>57</v>
      </c>
      <c r="F279" s="68"/>
      <c r="G279" s="68"/>
      <c r="H279" s="68"/>
      <c r="I279" s="68"/>
      <c r="J279" s="68"/>
      <c r="K279" s="248">
        <f>'Final allowances'!$O$38</f>
        <v>88.081653639125335</v>
      </c>
    </row>
    <row r="280" spans="1:11" x14ac:dyDescent="0.3">
      <c r="A280" s="248" t="s">
        <v>12</v>
      </c>
      <c r="B280" s="248" t="str">
        <f xml:space="preserve"> B255</f>
        <v>C_TBC_WN_PR19CA004_OFWAT</v>
      </c>
      <c r="C280" s="248" t="s">
        <v>217</v>
      </c>
      <c r="D280" s="68" t="s">
        <v>2</v>
      </c>
      <c r="E280" s="68" t="s">
        <v>57</v>
      </c>
      <c r="F280" s="68"/>
      <c r="G280" s="68"/>
      <c r="H280" s="68"/>
      <c r="I280" s="68"/>
      <c r="J280" s="68"/>
      <c r="K280" s="248">
        <f>'Final allowances'!$P$38</f>
        <v>1002.956753187201</v>
      </c>
    </row>
    <row r="281" spans="1:11" x14ac:dyDescent="0.3">
      <c r="A281" s="248" t="s">
        <v>12</v>
      </c>
      <c r="B281" s="248" t="s">
        <v>317</v>
      </c>
      <c r="C281" s="248" t="s">
        <v>236</v>
      </c>
      <c r="D281" s="68" t="s">
        <v>2</v>
      </c>
      <c r="E281" s="68" t="s">
        <v>57</v>
      </c>
      <c r="F281" s="68"/>
      <c r="G281" s="68"/>
      <c r="H281" s="68"/>
      <c r="I281" s="68"/>
      <c r="J281" s="68"/>
      <c r="K281" s="248">
        <f>'Final allowances'!$L$38</f>
        <v>8.814084808826351</v>
      </c>
    </row>
    <row r="282" spans="1:11" x14ac:dyDescent="0.3">
      <c r="A282" s="248" t="s">
        <v>12</v>
      </c>
      <c r="B282" s="248" t="s">
        <v>318</v>
      </c>
      <c r="C282" s="248" t="s">
        <v>237</v>
      </c>
      <c r="D282" s="68" t="s">
        <v>2</v>
      </c>
      <c r="E282" s="68" t="s">
        <v>57</v>
      </c>
      <c r="F282" s="68"/>
      <c r="G282" s="68"/>
      <c r="H282" s="68"/>
      <c r="I282" s="68"/>
      <c r="J282" s="68"/>
      <c r="K282" s="248">
        <f>'Final allowances'!$M$38</f>
        <v>60.994171299440602</v>
      </c>
    </row>
    <row r="283" spans="1:11" x14ac:dyDescent="0.3">
      <c r="A283" s="248" t="s">
        <v>12</v>
      </c>
      <c r="B283" s="248" t="s">
        <v>327</v>
      </c>
      <c r="C283" s="248" t="s">
        <v>329</v>
      </c>
      <c r="D283" s="68" t="s">
        <v>2</v>
      </c>
      <c r="E283" s="68" t="s">
        <v>57</v>
      </c>
      <c r="F283" s="68"/>
      <c r="G283" s="68"/>
      <c r="H283" s="68"/>
      <c r="I283" s="68"/>
      <c r="J283" s="68"/>
      <c r="K283" s="248">
        <f>'Final allowances'!$F$38</f>
        <v>21.420303732211565</v>
      </c>
    </row>
    <row r="284" spans="1:11" x14ac:dyDescent="0.3">
      <c r="A284" s="248" t="s">
        <v>12</v>
      </c>
      <c r="B284" s="248" t="s">
        <v>328</v>
      </c>
      <c r="C284" s="248" t="s">
        <v>330</v>
      </c>
      <c r="D284" s="68" t="s">
        <v>2</v>
      </c>
      <c r="E284" s="68" t="s">
        <v>57</v>
      </c>
      <c r="F284" s="68"/>
      <c r="G284" s="68"/>
      <c r="H284" s="68"/>
      <c r="I284" s="68"/>
      <c r="J284" s="68"/>
      <c r="K284" s="248">
        <f>'Final allowances'!$G$38</f>
        <v>0</v>
      </c>
    </row>
    <row r="285" spans="1:11" x14ac:dyDescent="0.3">
      <c r="A285" s="248" t="s">
        <v>12</v>
      </c>
      <c r="B285" s="248" t="str">
        <f t="shared" ref="B285:B292" si="57" xml:space="preserve"> B260</f>
        <v>C_ENC_WR_PR19CA004_OFWAT</v>
      </c>
      <c r="C285" s="248" t="s">
        <v>226</v>
      </c>
      <c r="D285" s="68" t="s">
        <v>2</v>
      </c>
      <c r="E285" s="68" t="s">
        <v>57</v>
      </c>
      <c r="F285" s="68"/>
      <c r="G285" s="68"/>
      <c r="H285" s="68"/>
      <c r="I285" s="68"/>
      <c r="J285" s="68"/>
      <c r="K285" s="248">
        <f>'Final allowances'!$C$59</f>
        <v>128.66971364607838</v>
      </c>
    </row>
    <row r="286" spans="1:11" x14ac:dyDescent="0.3">
      <c r="A286" s="248" t="s">
        <v>12</v>
      </c>
      <c r="B286" s="248" t="str">
        <f t="shared" si="57"/>
        <v>C_ENC_WN_PR19CA004_OFWAT</v>
      </c>
      <c r="C286" s="248" t="s">
        <v>227</v>
      </c>
      <c r="D286" s="68" t="s">
        <v>2</v>
      </c>
      <c r="E286" s="68" t="s">
        <v>57</v>
      </c>
      <c r="F286" s="68"/>
      <c r="G286" s="68"/>
      <c r="H286" s="68"/>
      <c r="I286" s="68"/>
      <c r="J286" s="68"/>
      <c r="K286" s="248">
        <f>'Final allowances'!$D$59</f>
        <v>137.88416075353786</v>
      </c>
    </row>
    <row r="287" spans="1:11" x14ac:dyDescent="0.3">
      <c r="A287" s="248" t="s">
        <v>12</v>
      </c>
      <c r="B287" s="248" t="str">
        <f t="shared" si="57"/>
        <v>C_3PTYC_WR_PR19CA004_OFWAT</v>
      </c>
      <c r="C287" s="248" t="s">
        <v>228</v>
      </c>
      <c r="D287" s="68" t="s">
        <v>2</v>
      </c>
      <c r="E287" s="68" t="s">
        <v>57</v>
      </c>
      <c r="F287" s="68"/>
      <c r="G287" s="68"/>
      <c r="H287" s="68"/>
      <c r="I287" s="68"/>
      <c r="J287" s="68"/>
      <c r="K287" s="248">
        <f>'Final allowances'!$C$82</f>
        <v>0</v>
      </c>
    </row>
    <row r="288" spans="1:11" x14ac:dyDescent="0.3">
      <c r="A288" s="248" t="s">
        <v>12</v>
      </c>
      <c r="B288" s="248" t="str">
        <f t="shared" si="57"/>
        <v>C_3PTYC_WN_PR19CA004_OFWAT</v>
      </c>
      <c r="C288" s="248" t="s">
        <v>229</v>
      </c>
      <c r="D288" s="68" t="s">
        <v>2</v>
      </c>
      <c r="E288" s="68" t="s">
        <v>57</v>
      </c>
      <c r="F288" s="68"/>
      <c r="G288" s="68"/>
      <c r="H288" s="68"/>
      <c r="I288" s="68"/>
      <c r="J288" s="68"/>
      <c r="K288" s="248">
        <f>'Final allowances'!$D$82</f>
        <v>10.331325413652682</v>
      </c>
    </row>
    <row r="289" spans="1:11" x14ac:dyDescent="0.3">
      <c r="A289" s="248" t="s">
        <v>12</v>
      </c>
      <c r="B289" s="248" t="str">
        <f t="shared" si="57"/>
        <v>C_CSH_WR_PR19CA004_OFWAT</v>
      </c>
      <c r="C289" s="248" t="s">
        <v>230</v>
      </c>
      <c r="D289" s="68" t="s">
        <v>2</v>
      </c>
      <c r="E289" s="68" t="s">
        <v>57</v>
      </c>
      <c r="F289" s="68"/>
      <c r="G289" s="68"/>
      <c r="H289" s="68"/>
      <c r="I289" s="68"/>
      <c r="J289" s="68"/>
      <c r="K289" s="248">
        <f>'Final allowances'!$F$82</f>
        <v>0.22272501119717289</v>
      </c>
    </row>
    <row r="290" spans="1:11" x14ac:dyDescent="0.3">
      <c r="A290" s="248" t="s">
        <v>12</v>
      </c>
      <c r="B290" s="248" t="str">
        <f t="shared" si="57"/>
        <v>C_CSH_WN_PR19CA004_OFWAT</v>
      </c>
      <c r="C290" s="248" t="s">
        <v>231</v>
      </c>
      <c r="D290" s="68" t="s">
        <v>2</v>
      </c>
      <c r="E290" s="68" t="s">
        <v>57</v>
      </c>
      <c r="F290" s="68"/>
      <c r="G290" s="68"/>
      <c r="H290" s="68"/>
      <c r="I290" s="68"/>
      <c r="J290" s="68"/>
      <c r="K290" s="248">
        <f>'Final allowances'!$G$82</f>
        <v>1.8988315606420485</v>
      </c>
    </row>
    <row r="291" spans="1:11" x14ac:dyDescent="0.3">
      <c r="A291" s="248" t="s">
        <v>12</v>
      </c>
      <c r="B291" s="248" t="str">
        <f t="shared" si="57"/>
        <v>C_SSDC_WR_PR19CA004_OFWAT</v>
      </c>
      <c r="C291" s="248" t="s">
        <v>232</v>
      </c>
      <c r="D291" s="68" t="s">
        <v>2</v>
      </c>
      <c r="E291" s="68" t="s">
        <v>57</v>
      </c>
      <c r="F291" s="68"/>
      <c r="G291" s="68"/>
      <c r="H291" s="68"/>
      <c r="I291" s="68"/>
      <c r="J291" s="68"/>
      <c r="K291" s="248">
        <f>'Final allowances'!$L$82</f>
        <v>62.039903284672789</v>
      </c>
    </row>
    <row r="292" spans="1:11" x14ac:dyDescent="0.3">
      <c r="A292" s="248" t="s">
        <v>12</v>
      </c>
      <c r="B292" s="248" t="str">
        <f t="shared" si="57"/>
        <v>C_SSDC_WN_PR19CA004_OFWAT</v>
      </c>
      <c r="C292" s="248" t="s">
        <v>233</v>
      </c>
      <c r="D292" s="68" t="s">
        <v>2</v>
      </c>
      <c r="E292" s="68" t="s">
        <v>57</v>
      </c>
      <c r="F292" s="68"/>
      <c r="G292" s="68"/>
      <c r="H292" s="68"/>
      <c r="I292" s="68"/>
      <c r="J292" s="68"/>
      <c r="K292" s="248">
        <f>'Final allowances'!$M$82</f>
        <v>21.262096715327193</v>
      </c>
    </row>
    <row r="293" spans="1:11" x14ac:dyDescent="0.3">
      <c r="A293" s="248" t="s">
        <v>12</v>
      </c>
      <c r="B293" s="248" t="s">
        <v>331</v>
      </c>
      <c r="C293" s="248" t="s">
        <v>332</v>
      </c>
      <c r="D293" s="68" t="s">
        <v>2</v>
      </c>
      <c r="E293" s="68" t="s">
        <v>57</v>
      </c>
      <c r="F293" s="68"/>
      <c r="G293" s="68"/>
      <c r="H293" s="68"/>
      <c r="I293" s="68"/>
      <c r="J293" s="68"/>
      <c r="K293" s="248">
        <f>'Final allowances'!$P$82</f>
        <v>0</v>
      </c>
    </row>
    <row r="294" spans="1:11" x14ac:dyDescent="0.3">
      <c r="A294" s="248" t="s">
        <v>12</v>
      </c>
      <c r="B294" s="248" t="s">
        <v>333</v>
      </c>
      <c r="C294" s="248" t="s">
        <v>334</v>
      </c>
      <c r="D294" s="68" t="s">
        <v>2</v>
      </c>
      <c r="E294" s="68" t="s">
        <v>57</v>
      </c>
      <c r="F294" s="68"/>
      <c r="G294" s="68"/>
      <c r="H294" s="68"/>
      <c r="I294" s="68"/>
      <c r="J294" s="68"/>
      <c r="K294" s="248">
        <f>'Final allowances'!$O$82</f>
        <v>0</v>
      </c>
    </row>
    <row r="295" spans="1:11" x14ac:dyDescent="0.3">
      <c r="A295" s="248" t="s">
        <v>12</v>
      </c>
      <c r="B295" s="248" t="str">
        <f xml:space="preserve"> B270</f>
        <v xml:space="preserve">C_WRPDR_PR19CA004 </v>
      </c>
      <c r="C295" s="248" t="s">
        <v>109</v>
      </c>
      <c r="D295" s="68" t="s">
        <v>2</v>
      </c>
      <c r="E295" s="68" t="s">
        <v>57</v>
      </c>
      <c r="F295" s="68">
        <f xml:space="preserve"> INDEX( PDR!$D$5:$D$89, MATCH(F_Outputs!$A295 &amp; RIGHT( F_Outputs!F$2, 2),PDR!$A$5:$A$89, 0 ) )</f>
        <v>0</v>
      </c>
      <c r="G295" s="68">
        <f xml:space="preserve"> INDEX( PDR!$D$5:$D$89, MATCH(F_Outputs!$A295 &amp; RIGHT( F_Outputs!G$2, 2),PDR!$A$5:$A$89, 0 ) )</f>
        <v>0</v>
      </c>
      <c r="H295" s="68">
        <f xml:space="preserve"> INDEX( PDR!$D$5:$D$89, MATCH(F_Outputs!$A295 &amp; RIGHT( F_Outputs!H$2, 2),PDR!$A$5:$A$89, 0 ) )</f>
        <v>0</v>
      </c>
      <c r="I295" s="68">
        <f xml:space="preserve"> INDEX( PDR!$D$5:$D$89, MATCH(F_Outputs!$A295 &amp; RIGHT( F_Outputs!I$2, 2),PDR!$A$5:$A$89, 0 ) )</f>
        <v>0</v>
      </c>
      <c r="J295" s="68">
        <f xml:space="preserve"> INDEX( PDR!$D$5:$D$89, MATCH(F_Outputs!$A295 &amp; RIGHT( F_Outputs!J$2, 2),PDR!$A$5:$A$89, 0 ) )</f>
        <v>0</v>
      </c>
      <c r="K295" s="248"/>
    </row>
    <row r="296" spans="1:11" x14ac:dyDescent="0.3">
      <c r="A296" s="248" t="s">
        <v>12</v>
      </c>
      <c r="B296" s="248" t="str">
        <f xml:space="preserve"> B271</f>
        <v>C_WNPDR_PR19CA004</v>
      </c>
      <c r="C296" s="248" t="s">
        <v>110</v>
      </c>
      <c r="D296" s="68" t="s">
        <v>2</v>
      </c>
      <c r="E296" s="68" t="s">
        <v>57</v>
      </c>
      <c r="F296" s="68">
        <f>INDEX(PDR!$E$5:$E$89,MATCH(F_Outputs!$A296&amp;RIGHT(F_Outputs!F$2,2),PDR!$A$5:$A$89,0))</f>
        <v>0</v>
      </c>
      <c r="G296" s="68">
        <f>INDEX(PDR!$E$5:$E$89,MATCH(F_Outputs!$A296&amp;RIGHT(F_Outputs!G$2,2),PDR!$A$5:$A$89,0))</f>
        <v>0</v>
      </c>
      <c r="H296" s="68">
        <f>INDEX(PDR!$E$5:$E$89,MATCH(F_Outputs!$A296&amp;RIGHT(F_Outputs!H$2,2),PDR!$A$5:$A$89,0))</f>
        <v>0</v>
      </c>
      <c r="I296" s="68">
        <f>INDEX(PDR!$E$5:$E$89,MATCH(F_Outputs!$A296&amp;RIGHT(F_Outputs!I$2,2),PDR!$A$5:$A$89,0))</f>
        <v>0</v>
      </c>
      <c r="J296" s="68">
        <f>INDEX(PDR!$E$5:$E$89,MATCH(F_Outputs!$A296&amp;RIGHT(F_Outputs!J$2,2),PDR!$A$5:$A$89,0))</f>
        <v>0</v>
      </c>
      <c r="K296" s="248"/>
    </row>
    <row r="297" spans="1:11" x14ac:dyDescent="0.3">
      <c r="A297" s="248" t="s">
        <v>12</v>
      </c>
      <c r="B297" s="248" t="s">
        <v>193</v>
      </c>
      <c r="C297" s="248" t="s">
        <v>195</v>
      </c>
      <c r="D297" s="68" t="s">
        <v>2</v>
      </c>
      <c r="E297" s="68" t="s">
        <v>57</v>
      </c>
      <c r="F297" s="249">
        <f>K297/5</f>
        <v>43.35027345704075</v>
      </c>
      <c r="G297" s="249">
        <f t="shared" ref="G297:J299" si="58">F297</f>
        <v>43.35027345704075</v>
      </c>
      <c r="H297" s="249">
        <f t="shared" si="58"/>
        <v>43.35027345704075</v>
      </c>
      <c r="I297" s="249">
        <f t="shared" si="58"/>
        <v>43.35027345704075</v>
      </c>
      <c r="J297" s="249">
        <f t="shared" si="58"/>
        <v>43.35027345704075</v>
      </c>
      <c r="K297" s="248">
        <f>INDEX('Final allowances'!$G$6:$G$22,MATCH(F_Outputs!A297,'Final allowances'!$B$6:$B$22,0))</f>
        <v>216.75136728520374</v>
      </c>
    </row>
    <row r="298" spans="1:11" x14ac:dyDescent="0.3">
      <c r="A298" s="248" t="s">
        <v>12</v>
      </c>
      <c r="B298" s="248" t="s">
        <v>194</v>
      </c>
      <c r="C298" s="248" t="s">
        <v>196</v>
      </c>
      <c r="D298" s="68" t="s">
        <v>2</v>
      </c>
      <c r="E298" s="68" t="s">
        <v>57</v>
      </c>
      <c r="F298" s="249">
        <f>K298/5</f>
        <v>228.16818278814776</v>
      </c>
      <c r="G298" s="249">
        <f t="shared" si="58"/>
        <v>228.16818278814776</v>
      </c>
      <c r="H298" s="249">
        <f t="shared" si="58"/>
        <v>228.16818278814776</v>
      </c>
      <c r="I298" s="249">
        <f t="shared" si="58"/>
        <v>228.16818278814776</v>
      </c>
      <c r="J298" s="249">
        <f t="shared" si="58"/>
        <v>228.16818278814776</v>
      </c>
      <c r="K298" s="248">
        <f>INDEX('Final allowances'!$H$6:$H$22,MATCH(F_Outputs!A298,'Final allowances'!$B$6:$B$22,0))</f>
        <v>1140.8409139407388</v>
      </c>
    </row>
    <row r="299" spans="1:11" x14ac:dyDescent="0.3">
      <c r="A299" s="248" t="s">
        <v>12</v>
      </c>
      <c r="B299" s="248" t="s">
        <v>319</v>
      </c>
      <c r="C299" s="248" t="s">
        <v>320</v>
      </c>
      <c r="D299" s="68" t="s">
        <v>2</v>
      </c>
      <c r="E299" s="68" t="s">
        <v>57</v>
      </c>
      <c r="F299" s="249">
        <f>K299/5</f>
        <v>0</v>
      </c>
      <c r="G299" s="249">
        <f t="shared" si="58"/>
        <v>0</v>
      </c>
      <c r="H299" s="249">
        <f t="shared" si="58"/>
        <v>0</v>
      </c>
      <c r="I299" s="249">
        <f t="shared" si="58"/>
        <v>0</v>
      </c>
      <c r="J299" s="249">
        <f t="shared" si="58"/>
        <v>0</v>
      </c>
      <c r="K299" s="248">
        <f>INDEX('Final allowances'!$E$6:$E$22,MATCH(F_Outputs!A299,'Final allowances'!$B$6:$B$22,0))</f>
        <v>0</v>
      </c>
    </row>
    <row r="300" spans="1:11" x14ac:dyDescent="0.3">
      <c r="A300" s="248" t="s">
        <v>12</v>
      </c>
      <c r="B300" s="248" t="s">
        <v>197</v>
      </c>
      <c r="C300" s="248" t="s">
        <v>199</v>
      </c>
      <c r="D300" s="68" t="s">
        <v>2</v>
      </c>
      <c r="E300" s="68" t="s">
        <v>57</v>
      </c>
      <c r="F300" s="68">
        <f>K300/5</f>
        <v>12.452525659173991</v>
      </c>
      <c r="G300" s="68">
        <f>F300</f>
        <v>12.452525659173991</v>
      </c>
      <c r="H300" s="68">
        <f t="shared" ref="H300:J300" si="59">G300</f>
        <v>12.452525659173991</v>
      </c>
      <c r="I300" s="68">
        <f t="shared" si="59"/>
        <v>12.452525659173991</v>
      </c>
      <c r="J300" s="68">
        <f t="shared" si="59"/>
        <v>12.452525659173991</v>
      </c>
      <c r="K300" s="248">
        <f>K287+K289+K291+K294</f>
        <v>62.262628295869959</v>
      </c>
    </row>
    <row r="301" spans="1:11" x14ac:dyDescent="0.3">
      <c r="A301" s="248" t="s">
        <v>12</v>
      </c>
      <c r="B301" s="248" t="s">
        <v>198</v>
      </c>
      <c r="C301" s="248" t="s">
        <v>200</v>
      </c>
      <c r="D301" s="68" t="s">
        <v>2</v>
      </c>
      <c r="E301" s="68" t="s">
        <v>57</v>
      </c>
      <c r="F301" s="68">
        <f>K301/5</f>
        <v>6.6984507379243841</v>
      </c>
      <c r="G301" s="68">
        <f>F301</f>
        <v>6.6984507379243841</v>
      </c>
      <c r="H301" s="68">
        <f t="shared" ref="H301:J301" si="60">G301</f>
        <v>6.6984507379243841</v>
      </c>
      <c r="I301" s="68">
        <f t="shared" si="60"/>
        <v>6.6984507379243841</v>
      </c>
      <c r="J301" s="68">
        <f t="shared" si="60"/>
        <v>6.6984507379243841</v>
      </c>
      <c r="K301" s="248">
        <f>K288+K290+K292+K293</f>
        <v>33.492253689621919</v>
      </c>
    </row>
    <row r="302" spans="1:11" ht="14.5" x14ac:dyDescent="0.3">
      <c r="A302" s="248" t="s">
        <v>12</v>
      </c>
      <c r="B302" s="68" t="s">
        <v>113</v>
      </c>
      <c r="C302" s="68" t="s">
        <v>98</v>
      </c>
      <c r="D302" s="68" t="s">
        <v>62</v>
      </c>
      <c r="E302" s="68" t="s">
        <v>57</v>
      </c>
      <c r="F302" s="250" t="str">
        <f ca="1">CONCATENATE("[…]", TEXT(NOW(),"dd/mm/yyy hh:mm:ss"))</f>
        <v>[…]11/12/2019 16:31:19</v>
      </c>
      <c r="G302" s="250" t="str">
        <f t="shared" ref="G302:K302" ca="1" si="61">CONCATENATE("[…]", TEXT(NOW(),"dd/mm/yyy hh:mm:ss"))</f>
        <v>[…]11/12/2019 16:31:19</v>
      </c>
      <c r="H302" s="250" t="str">
        <f t="shared" ca="1" si="61"/>
        <v>[…]11/12/2019 16:31:19</v>
      </c>
      <c r="I302" s="250" t="str">
        <f t="shared" ca="1" si="61"/>
        <v>[…]11/12/2019 16:31:19</v>
      </c>
      <c r="J302" s="250" t="str">
        <f t="shared" ca="1" si="61"/>
        <v>[…]11/12/2019 16:31:19</v>
      </c>
      <c r="K302" s="250" t="str">
        <f t="shared" ca="1" si="61"/>
        <v>[…]11/12/2019 16:31:19</v>
      </c>
    </row>
    <row r="303" spans="1:11" x14ac:dyDescent="0.3">
      <c r="A303" s="248" t="s">
        <v>12</v>
      </c>
      <c r="B303" s="68" t="s">
        <v>114</v>
      </c>
      <c r="C303" s="68" t="s">
        <v>99</v>
      </c>
      <c r="D303" s="68" t="s">
        <v>62</v>
      </c>
      <c r="E303" s="68" t="s">
        <v>57</v>
      </c>
      <c r="F303" s="251" t="s">
        <v>316</v>
      </c>
      <c r="G303" s="251" t="s">
        <v>316</v>
      </c>
      <c r="H303" s="251" t="s">
        <v>316</v>
      </c>
      <c r="I303" s="251" t="s">
        <v>316</v>
      </c>
      <c r="J303" s="251" t="s">
        <v>316</v>
      </c>
      <c r="K303" s="251" t="s">
        <v>316</v>
      </c>
    </row>
    <row r="304" spans="1:11" x14ac:dyDescent="0.3">
      <c r="A304" s="248" t="s">
        <v>13</v>
      </c>
      <c r="B304" s="248" t="str">
        <f xml:space="preserve"> B279</f>
        <v>C_TBC_WR_PR19CA004_OFWAT</v>
      </c>
      <c r="C304" s="248" t="s">
        <v>215</v>
      </c>
      <c r="D304" s="68" t="s">
        <v>2</v>
      </c>
      <c r="E304" s="68" t="s">
        <v>57</v>
      </c>
      <c r="F304" s="68"/>
      <c r="G304" s="68"/>
      <c r="H304" s="68"/>
      <c r="I304" s="68"/>
      <c r="J304" s="68"/>
      <c r="K304" s="248">
        <f>'Final allowances'!$O$39</f>
        <v>69.364462291278741</v>
      </c>
    </row>
    <row r="305" spans="1:11" x14ac:dyDescent="0.3">
      <c r="A305" s="248" t="s">
        <v>13</v>
      </c>
      <c r="B305" s="248" t="str">
        <f xml:space="preserve"> B280</f>
        <v>C_TBC_WN_PR19CA004_OFWAT</v>
      </c>
      <c r="C305" s="248" t="s">
        <v>217</v>
      </c>
      <c r="D305" s="68" t="s">
        <v>2</v>
      </c>
      <c r="E305" s="68" t="s">
        <v>57</v>
      </c>
      <c r="F305" s="68"/>
      <c r="G305" s="68"/>
      <c r="H305" s="68"/>
      <c r="I305" s="68"/>
      <c r="J305" s="68"/>
      <c r="K305" s="248">
        <f>'Final allowances'!$P$39</f>
        <v>312.00620991129102</v>
      </c>
    </row>
    <row r="306" spans="1:11" x14ac:dyDescent="0.3">
      <c r="A306" s="248" t="s">
        <v>13</v>
      </c>
      <c r="B306" s="248" t="s">
        <v>317</v>
      </c>
      <c r="C306" s="248" t="s">
        <v>236</v>
      </c>
      <c r="D306" s="68" t="s">
        <v>2</v>
      </c>
      <c r="E306" s="68" t="s">
        <v>57</v>
      </c>
      <c r="F306" s="68"/>
      <c r="G306" s="68"/>
      <c r="H306" s="68"/>
      <c r="I306" s="68"/>
      <c r="J306" s="68"/>
      <c r="K306" s="248">
        <f>'Final allowances'!$L$39</f>
        <v>6.1696230925936693</v>
      </c>
    </row>
    <row r="307" spans="1:11" x14ac:dyDescent="0.3">
      <c r="A307" s="248" t="s">
        <v>13</v>
      </c>
      <c r="B307" s="248" t="s">
        <v>318</v>
      </c>
      <c r="C307" s="248" t="s">
        <v>237</v>
      </c>
      <c r="D307" s="68" t="s">
        <v>2</v>
      </c>
      <c r="E307" s="68" t="s">
        <v>57</v>
      </c>
      <c r="F307" s="68"/>
      <c r="G307" s="68"/>
      <c r="H307" s="68"/>
      <c r="I307" s="68"/>
      <c r="J307" s="68"/>
      <c r="K307" s="248">
        <f>'Final allowances'!$M$39</f>
        <v>16.840850913258759</v>
      </c>
    </row>
    <row r="308" spans="1:11" x14ac:dyDescent="0.3">
      <c r="A308" s="248" t="s">
        <v>13</v>
      </c>
      <c r="B308" s="248" t="s">
        <v>327</v>
      </c>
      <c r="C308" s="248" t="s">
        <v>329</v>
      </c>
      <c r="D308" s="68" t="s">
        <v>2</v>
      </c>
      <c r="E308" s="68" t="s">
        <v>57</v>
      </c>
      <c r="F308" s="68"/>
      <c r="G308" s="68"/>
      <c r="H308" s="68"/>
      <c r="I308" s="68"/>
      <c r="J308" s="68"/>
      <c r="K308" s="248">
        <f>'Final allowances'!$F$39</f>
        <v>14.129219635426905</v>
      </c>
    </row>
    <row r="309" spans="1:11" x14ac:dyDescent="0.3">
      <c r="A309" s="248" t="s">
        <v>13</v>
      </c>
      <c r="B309" s="248" t="s">
        <v>328</v>
      </c>
      <c r="C309" s="248" t="s">
        <v>330</v>
      </c>
      <c r="D309" s="68" t="s">
        <v>2</v>
      </c>
      <c r="E309" s="68" t="s">
        <v>57</v>
      </c>
      <c r="F309" s="68"/>
      <c r="G309" s="68"/>
      <c r="H309" s="68"/>
      <c r="I309" s="68"/>
      <c r="J309" s="68"/>
      <c r="K309" s="248">
        <f>'Final allowances'!$G$39</f>
        <v>0.50433680892717336</v>
      </c>
    </row>
    <row r="310" spans="1:11" x14ac:dyDescent="0.3">
      <c r="A310" s="248" t="s">
        <v>13</v>
      </c>
      <c r="B310" s="248" t="str">
        <f t="shared" ref="B310:B317" si="62" xml:space="preserve"> B285</f>
        <v>C_ENC_WR_PR19CA004_OFWAT</v>
      </c>
      <c r="C310" s="248" t="s">
        <v>226</v>
      </c>
      <c r="D310" s="68" t="s">
        <v>2</v>
      </c>
      <c r="E310" s="68" t="s">
        <v>57</v>
      </c>
      <c r="F310" s="68"/>
      <c r="G310" s="68"/>
      <c r="H310" s="68"/>
      <c r="I310" s="68"/>
      <c r="J310" s="68"/>
      <c r="K310" s="248">
        <f>'Final allowances'!$C$60</f>
        <v>6.1189524590163948</v>
      </c>
    </row>
    <row r="311" spans="1:11" x14ac:dyDescent="0.3">
      <c r="A311" s="248" t="s">
        <v>13</v>
      </c>
      <c r="B311" s="248" t="str">
        <f t="shared" si="62"/>
        <v>C_ENC_WN_PR19CA004_OFWAT</v>
      </c>
      <c r="C311" s="248" t="s">
        <v>227</v>
      </c>
      <c r="D311" s="68" t="s">
        <v>2</v>
      </c>
      <c r="E311" s="68" t="s">
        <v>57</v>
      </c>
      <c r="F311" s="68"/>
      <c r="G311" s="68"/>
      <c r="H311" s="68"/>
      <c r="I311" s="68"/>
      <c r="J311" s="68"/>
      <c r="K311" s="248">
        <f>'Final allowances'!$D$60</f>
        <v>23.819747540983606</v>
      </c>
    </row>
    <row r="312" spans="1:11" x14ac:dyDescent="0.3">
      <c r="A312" s="248" t="s">
        <v>13</v>
      </c>
      <c r="B312" s="248" t="str">
        <f t="shared" si="62"/>
        <v>C_3PTYC_WR_PR19CA004_OFWAT</v>
      </c>
      <c r="C312" s="248" t="s">
        <v>228</v>
      </c>
      <c r="D312" s="68" t="s">
        <v>2</v>
      </c>
      <c r="E312" s="68" t="s">
        <v>57</v>
      </c>
      <c r="F312" s="68"/>
      <c r="G312" s="68"/>
      <c r="H312" s="68"/>
      <c r="I312" s="68"/>
      <c r="J312" s="68"/>
      <c r="K312" s="248">
        <f>'Final allowances'!$C$83</f>
        <v>1.2715518773337608</v>
      </c>
    </row>
    <row r="313" spans="1:11" x14ac:dyDescent="0.3">
      <c r="A313" s="248" t="s">
        <v>13</v>
      </c>
      <c r="B313" s="248" t="str">
        <f t="shared" si="62"/>
        <v>C_3PTYC_WN_PR19CA004_OFWAT</v>
      </c>
      <c r="C313" s="248" t="s">
        <v>229</v>
      </c>
      <c r="D313" s="68" t="s">
        <v>2</v>
      </c>
      <c r="E313" s="68" t="s">
        <v>57</v>
      </c>
      <c r="F313" s="68"/>
      <c r="G313" s="68"/>
      <c r="H313" s="68"/>
      <c r="I313" s="68"/>
      <c r="J313" s="68"/>
      <c r="K313" s="248">
        <f>'Final allowances'!$D$83</f>
        <v>5.5418631590993623</v>
      </c>
    </row>
    <row r="314" spans="1:11" x14ac:dyDescent="0.3">
      <c r="A314" s="248" t="s">
        <v>13</v>
      </c>
      <c r="B314" s="248" t="str">
        <f t="shared" si="62"/>
        <v>C_CSH_WR_PR19CA004_OFWAT</v>
      </c>
      <c r="C314" s="248" t="s">
        <v>230</v>
      </c>
      <c r="D314" s="68" t="s">
        <v>2</v>
      </c>
      <c r="E314" s="68" t="s">
        <v>57</v>
      </c>
      <c r="F314" s="68"/>
      <c r="G314" s="68"/>
      <c r="H314" s="68"/>
      <c r="I314" s="68"/>
      <c r="J314" s="68"/>
      <c r="K314" s="248">
        <f>'Final allowances'!$F$83</f>
        <v>0</v>
      </c>
    </row>
    <row r="315" spans="1:11" x14ac:dyDescent="0.3">
      <c r="A315" s="248" t="s">
        <v>13</v>
      </c>
      <c r="B315" s="248" t="str">
        <f t="shared" si="62"/>
        <v>C_CSH_WN_PR19CA004_OFWAT</v>
      </c>
      <c r="C315" s="248" t="s">
        <v>231</v>
      </c>
      <c r="D315" s="68" t="s">
        <v>2</v>
      </c>
      <c r="E315" s="68" t="s">
        <v>57</v>
      </c>
      <c r="F315" s="68"/>
      <c r="G315" s="68"/>
      <c r="H315" s="68"/>
      <c r="I315" s="68"/>
      <c r="J315" s="68"/>
      <c r="K315" s="248">
        <f>'Final allowances'!$G$83</f>
        <v>0</v>
      </c>
    </row>
    <row r="316" spans="1:11" x14ac:dyDescent="0.3">
      <c r="A316" s="248" t="s">
        <v>13</v>
      </c>
      <c r="B316" s="248" t="str">
        <f t="shared" si="62"/>
        <v>C_SSDC_WR_PR19CA004_OFWAT</v>
      </c>
      <c r="C316" s="248" t="s">
        <v>232</v>
      </c>
      <c r="D316" s="68" t="s">
        <v>2</v>
      </c>
      <c r="E316" s="68" t="s">
        <v>57</v>
      </c>
      <c r="F316" s="68"/>
      <c r="G316" s="68"/>
      <c r="H316" s="68"/>
      <c r="I316" s="68"/>
      <c r="J316" s="68"/>
      <c r="K316" s="248">
        <f>'Final allowances'!$L$83</f>
        <v>0.502</v>
      </c>
    </row>
    <row r="317" spans="1:11" x14ac:dyDescent="0.3">
      <c r="A317" s="248" t="s">
        <v>13</v>
      </c>
      <c r="B317" s="248" t="str">
        <f t="shared" si="62"/>
        <v>C_SSDC_WN_PR19CA004_OFWAT</v>
      </c>
      <c r="C317" s="248" t="s">
        <v>233</v>
      </c>
      <c r="D317" s="68" t="s">
        <v>2</v>
      </c>
      <c r="E317" s="68" t="s">
        <v>57</v>
      </c>
      <c r="F317" s="68"/>
      <c r="G317" s="68"/>
      <c r="H317" s="68"/>
      <c r="I317" s="68"/>
      <c r="J317" s="68"/>
      <c r="K317" s="248">
        <f>'Final allowances'!$M$83</f>
        <v>1.508</v>
      </c>
    </row>
    <row r="318" spans="1:11" x14ac:dyDescent="0.3">
      <c r="A318" s="248" t="s">
        <v>13</v>
      </c>
      <c r="B318" s="248" t="s">
        <v>331</v>
      </c>
      <c r="C318" s="248" t="s">
        <v>332</v>
      </c>
      <c r="D318" s="68" t="s">
        <v>2</v>
      </c>
      <c r="E318" s="68" t="s">
        <v>57</v>
      </c>
      <c r="F318" s="68"/>
      <c r="G318" s="68"/>
      <c r="H318" s="68"/>
      <c r="I318" s="68"/>
      <c r="J318" s="68"/>
      <c r="K318" s="248">
        <f>'Final allowances'!$P$83</f>
        <v>0.10709855015827999</v>
      </c>
    </row>
    <row r="319" spans="1:11" x14ac:dyDescent="0.3">
      <c r="A319" s="248" t="s">
        <v>13</v>
      </c>
      <c r="B319" s="248" t="s">
        <v>333</v>
      </c>
      <c r="C319" s="248" t="s">
        <v>334</v>
      </c>
      <c r="D319" s="68" t="s">
        <v>2</v>
      </c>
      <c r="E319" s="68" t="s">
        <v>57</v>
      </c>
      <c r="F319" s="68"/>
      <c r="G319" s="68"/>
      <c r="H319" s="68"/>
      <c r="I319" s="68"/>
      <c r="J319" s="68"/>
      <c r="K319" s="248">
        <f>'Final allowances'!$O$83</f>
        <v>0</v>
      </c>
    </row>
    <row r="320" spans="1:11" x14ac:dyDescent="0.3">
      <c r="A320" s="248" t="s">
        <v>13</v>
      </c>
      <c r="B320" s="248" t="str">
        <f xml:space="preserve"> B295</f>
        <v xml:space="preserve">C_WRPDR_PR19CA004 </v>
      </c>
      <c r="C320" s="248" t="s">
        <v>109</v>
      </c>
      <c r="D320" s="68" t="s">
        <v>2</v>
      </c>
      <c r="E320" s="68" t="s">
        <v>57</v>
      </c>
      <c r="F320" s="68">
        <f xml:space="preserve"> INDEX( PDR!$D$5:$D$89, MATCH(F_Outputs!$A320 &amp; RIGHT( F_Outputs!F$2, 2),PDR!$A$5:$A$89, 0 ) )</f>
        <v>0</v>
      </c>
      <c r="G320" s="68">
        <f xml:space="preserve"> INDEX( PDR!$D$5:$D$89, MATCH(F_Outputs!$A320 &amp; RIGHT( F_Outputs!G$2, 2),PDR!$A$5:$A$89, 0 ) )</f>
        <v>0</v>
      </c>
      <c r="H320" s="68">
        <f xml:space="preserve"> INDEX( PDR!$D$5:$D$89, MATCH(F_Outputs!$A320 &amp; RIGHT( F_Outputs!H$2, 2),PDR!$A$5:$A$89, 0 ) )</f>
        <v>0</v>
      </c>
      <c r="I320" s="68">
        <f xml:space="preserve"> INDEX( PDR!$D$5:$D$89, MATCH(F_Outputs!$A320 &amp; RIGHT( F_Outputs!I$2, 2),PDR!$A$5:$A$89, 0 ) )</f>
        <v>0</v>
      </c>
      <c r="J320" s="68">
        <f xml:space="preserve"> INDEX( PDR!$D$5:$D$89, MATCH(F_Outputs!$A320 &amp; RIGHT( F_Outputs!J$2, 2),PDR!$A$5:$A$89, 0 ) )</f>
        <v>0</v>
      </c>
      <c r="K320" s="248"/>
    </row>
    <row r="321" spans="1:11" x14ac:dyDescent="0.3">
      <c r="A321" s="248" t="s">
        <v>13</v>
      </c>
      <c r="B321" s="248" t="str">
        <f xml:space="preserve"> B296</f>
        <v>C_WNPDR_PR19CA004</v>
      </c>
      <c r="C321" s="248" t="s">
        <v>110</v>
      </c>
      <c r="D321" s="68" t="s">
        <v>2</v>
      </c>
      <c r="E321" s="68" t="s">
        <v>57</v>
      </c>
      <c r="F321" s="68">
        <f>INDEX(PDR!$E$5:$E$89,MATCH(F_Outputs!$A321&amp;RIGHT(F_Outputs!F$2,2),PDR!$A$5:$A$89,0))</f>
        <v>0</v>
      </c>
      <c r="G321" s="68">
        <f>INDEX(PDR!$E$5:$E$89,MATCH(F_Outputs!$A321&amp;RIGHT(F_Outputs!G$2,2),PDR!$A$5:$A$89,0))</f>
        <v>0</v>
      </c>
      <c r="H321" s="68">
        <f>INDEX(PDR!$E$5:$E$89,MATCH(F_Outputs!$A321&amp;RIGHT(F_Outputs!H$2,2),PDR!$A$5:$A$89,0))</f>
        <v>0</v>
      </c>
      <c r="I321" s="68">
        <f>INDEX(PDR!$E$5:$E$89,MATCH(F_Outputs!$A321&amp;RIGHT(F_Outputs!I$2,2),PDR!$A$5:$A$89,0))</f>
        <v>0</v>
      </c>
      <c r="J321" s="68">
        <f>INDEX(PDR!$E$5:$E$89,MATCH(F_Outputs!$A321&amp;RIGHT(F_Outputs!J$2,2),PDR!$A$5:$A$89,0))</f>
        <v>0</v>
      </c>
      <c r="K321" s="248"/>
    </row>
    <row r="322" spans="1:11" x14ac:dyDescent="0.3">
      <c r="A322" s="248" t="s">
        <v>13</v>
      </c>
      <c r="B322" s="248" t="s">
        <v>193</v>
      </c>
      <c r="C322" s="248" t="s">
        <v>195</v>
      </c>
      <c r="D322" s="68" t="s">
        <v>2</v>
      </c>
      <c r="E322" s="68" t="s">
        <v>57</v>
      </c>
      <c r="F322" s="249">
        <f>K322/5</f>
        <v>15.096682950059028</v>
      </c>
      <c r="G322" s="249">
        <f t="shared" ref="G322:J324" si="63">F322</f>
        <v>15.096682950059028</v>
      </c>
      <c r="H322" s="249">
        <f t="shared" si="63"/>
        <v>15.096682950059028</v>
      </c>
      <c r="I322" s="249">
        <f t="shared" si="63"/>
        <v>15.096682950059028</v>
      </c>
      <c r="J322" s="249">
        <f t="shared" si="63"/>
        <v>15.096682950059028</v>
      </c>
      <c r="K322" s="248">
        <f>INDEX('Final allowances'!$G$6:$G$22,MATCH(F_Outputs!A322,'Final allowances'!$B$6:$B$22,0))</f>
        <v>75.48341475029514</v>
      </c>
    </row>
    <row r="323" spans="1:11" x14ac:dyDescent="0.3">
      <c r="A323" s="248" t="s">
        <v>13</v>
      </c>
      <c r="B323" s="248" t="s">
        <v>194</v>
      </c>
      <c r="C323" s="248" t="s">
        <v>196</v>
      </c>
      <c r="D323" s="68" t="s">
        <v>2</v>
      </c>
      <c r="E323" s="68" t="s">
        <v>57</v>
      </c>
      <c r="F323" s="249">
        <f>K323/5</f>
        <v>67.16519149045493</v>
      </c>
      <c r="G323" s="249">
        <f t="shared" si="63"/>
        <v>67.16519149045493</v>
      </c>
      <c r="H323" s="249">
        <f t="shared" si="63"/>
        <v>67.16519149045493</v>
      </c>
      <c r="I323" s="249">
        <f t="shared" si="63"/>
        <v>67.16519149045493</v>
      </c>
      <c r="J323" s="249">
        <f t="shared" si="63"/>
        <v>67.16519149045493</v>
      </c>
      <c r="K323" s="248">
        <f>INDEX('Final allowances'!$H$6:$H$22,MATCH(F_Outputs!A323,'Final allowances'!$B$6:$B$22,0))</f>
        <v>335.82595745227462</v>
      </c>
    </row>
    <row r="324" spans="1:11" x14ac:dyDescent="0.3">
      <c r="A324" s="248" t="s">
        <v>13</v>
      </c>
      <c r="B324" s="248" t="s">
        <v>319</v>
      </c>
      <c r="C324" s="248" t="s">
        <v>320</v>
      </c>
      <c r="D324" s="68" t="s">
        <v>2</v>
      </c>
      <c r="E324" s="68" t="s">
        <v>57</v>
      </c>
      <c r="F324" s="249">
        <f>K324/5</f>
        <v>0</v>
      </c>
      <c r="G324" s="249">
        <f t="shared" si="63"/>
        <v>0</v>
      </c>
      <c r="H324" s="249">
        <f t="shared" si="63"/>
        <v>0</v>
      </c>
      <c r="I324" s="249">
        <f t="shared" si="63"/>
        <v>0</v>
      </c>
      <c r="J324" s="249">
        <f t="shared" si="63"/>
        <v>0</v>
      </c>
      <c r="K324" s="248">
        <f>INDEX('Final allowances'!$E$6:$E$22,MATCH(F_Outputs!A324,'Final allowances'!$B$6:$B$22,0))</f>
        <v>0</v>
      </c>
    </row>
    <row r="325" spans="1:11" x14ac:dyDescent="0.3">
      <c r="A325" s="248" t="s">
        <v>13</v>
      </c>
      <c r="B325" s="248" t="s">
        <v>197</v>
      </c>
      <c r="C325" s="248" t="s">
        <v>199</v>
      </c>
      <c r="D325" s="68" t="s">
        <v>2</v>
      </c>
      <c r="E325" s="68" t="s">
        <v>57</v>
      </c>
      <c r="F325" s="68">
        <f>K325/5</f>
        <v>0.35471037546675216</v>
      </c>
      <c r="G325" s="68">
        <f>F325</f>
        <v>0.35471037546675216</v>
      </c>
      <c r="H325" s="68">
        <f t="shared" ref="H325:J325" si="64">G325</f>
        <v>0.35471037546675216</v>
      </c>
      <c r="I325" s="68">
        <f t="shared" si="64"/>
        <v>0.35471037546675216</v>
      </c>
      <c r="J325" s="68">
        <f t="shared" si="64"/>
        <v>0.35471037546675216</v>
      </c>
      <c r="K325" s="248">
        <f>K312+K314+K316+K319</f>
        <v>1.7735518773337609</v>
      </c>
    </row>
    <row r="326" spans="1:11" x14ac:dyDescent="0.3">
      <c r="A326" s="248" t="s">
        <v>13</v>
      </c>
      <c r="B326" s="248" t="s">
        <v>198</v>
      </c>
      <c r="C326" s="248" t="s">
        <v>200</v>
      </c>
      <c r="D326" s="68" t="s">
        <v>2</v>
      </c>
      <c r="E326" s="68" t="s">
        <v>57</v>
      </c>
      <c r="F326" s="68">
        <f>K326/5</f>
        <v>1.4313923418515286</v>
      </c>
      <c r="G326" s="68">
        <f>F326</f>
        <v>1.4313923418515286</v>
      </c>
      <c r="H326" s="68">
        <f t="shared" ref="H326:J326" si="65">G326</f>
        <v>1.4313923418515286</v>
      </c>
      <c r="I326" s="68">
        <f t="shared" si="65"/>
        <v>1.4313923418515286</v>
      </c>
      <c r="J326" s="68">
        <f t="shared" si="65"/>
        <v>1.4313923418515286</v>
      </c>
      <c r="K326" s="248">
        <f>K313+K315+K317+K318</f>
        <v>7.1569617092576427</v>
      </c>
    </row>
    <row r="327" spans="1:11" ht="14.5" x14ac:dyDescent="0.3">
      <c r="A327" s="248" t="s">
        <v>13</v>
      </c>
      <c r="B327" s="68" t="s">
        <v>113</v>
      </c>
      <c r="C327" s="68" t="s">
        <v>98</v>
      </c>
      <c r="D327" s="68" t="s">
        <v>62</v>
      </c>
      <c r="E327" s="68" t="s">
        <v>57</v>
      </c>
      <c r="F327" s="250" t="str">
        <f ca="1">CONCATENATE("[…]", TEXT(NOW(),"dd/mm/yyy hh:mm:ss"))</f>
        <v>[…]11/12/2019 16:31:19</v>
      </c>
      <c r="G327" s="250" t="str">
        <f t="shared" ref="G327:K327" ca="1" si="66">CONCATENATE("[…]", TEXT(NOW(),"dd/mm/yyy hh:mm:ss"))</f>
        <v>[…]11/12/2019 16:31:19</v>
      </c>
      <c r="H327" s="250" t="str">
        <f t="shared" ca="1" si="66"/>
        <v>[…]11/12/2019 16:31:19</v>
      </c>
      <c r="I327" s="250" t="str">
        <f t="shared" ca="1" si="66"/>
        <v>[…]11/12/2019 16:31:19</v>
      </c>
      <c r="J327" s="250" t="str">
        <f t="shared" ca="1" si="66"/>
        <v>[…]11/12/2019 16:31:19</v>
      </c>
      <c r="K327" s="250" t="str">
        <f t="shared" ca="1" si="66"/>
        <v>[…]11/12/2019 16:31:19</v>
      </c>
    </row>
    <row r="328" spans="1:11" x14ac:dyDescent="0.3">
      <c r="A328" s="248" t="s">
        <v>13</v>
      </c>
      <c r="B328" s="68" t="s">
        <v>114</v>
      </c>
      <c r="C328" s="68" t="s">
        <v>99</v>
      </c>
      <c r="D328" s="68" t="s">
        <v>62</v>
      </c>
      <c r="E328" s="68" t="s">
        <v>57</v>
      </c>
      <c r="F328" s="251" t="s">
        <v>316</v>
      </c>
      <c r="G328" s="251" t="s">
        <v>316</v>
      </c>
      <c r="H328" s="251" t="s">
        <v>316</v>
      </c>
      <c r="I328" s="251" t="s">
        <v>316</v>
      </c>
      <c r="J328" s="251" t="s">
        <v>316</v>
      </c>
      <c r="K328" s="251" t="s">
        <v>316</v>
      </c>
    </row>
    <row r="329" spans="1:11" x14ac:dyDescent="0.3">
      <c r="A329" s="248" t="s">
        <v>15</v>
      </c>
      <c r="B329" s="248" t="str">
        <f xml:space="preserve"> B304</f>
        <v>C_TBC_WR_PR19CA004_OFWAT</v>
      </c>
      <c r="C329" s="248" t="s">
        <v>215</v>
      </c>
      <c r="D329" s="68" t="s">
        <v>2</v>
      </c>
      <c r="E329" s="68" t="s">
        <v>57</v>
      </c>
      <c r="F329" s="68"/>
      <c r="G329" s="68"/>
      <c r="H329" s="68"/>
      <c r="I329" s="68"/>
      <c r="J329" s="68"/>
      <c r="K329" s="248">
        <f>'Final allowances'!$O$40</f>
        <v>25.529957694013856</v>
      </c>
    </row>
    <row r="330" spans="1:11" x14ac:dyDescent="0.3">
      <c r="A330" s="248" t="s">
        <v>15</v>
      </c>
      <c r="B330" s="248" t="str">
        <f xml:space="preserve"> B305</f>
        <v>C_TBC_WN_PR19CA004_OFWAT</v>
      </c>
      <c r="C330" s="248" t="s">
        <v>217</v>
      </c>
      <c r="D330" s="68" t="s">
        <v>2</v>
      </c>
      <c r="E330" s="68" t="s">
        <v>57</v>
      </c>
      <c r="F330" s="68"/>
      <c r="G330" s="68"/>
      <c r="H330" s="68"/>
      <c r="I330" s="68"/>
      <c r="J330" s="68"/>
      <c r="K330" s="248">
        <f>'Final allowances'!$P$40</f>
        <v>138.03129606412756</v>
      </c>
    </row>
    <row r="331" spans="1:11" x14ac:dyDescent="0.3">
      <c r="A331" s="248" t="s">
        <v>15</v>
      </c>
      <c r="B331" s="248" t="s">
        <v>317</v>
      </c>
      <c r="C331" s="248" t="s">
        <v>236</v>
      </c>
      <c r="D331" s="68" t="s">
        <v>2</v>
      </c>
      <c r="E331" s="68" t="s">
        <v>57</v>
      </c>
      <c r="F331" s="68"/>
      <c r="G331" s="68"/>
      <c r="H331" s="68"/>
      <c r="I331" s="68"/>
      <c r="J331" s="68"/>
      <c r="K331" s="248">
        <f>'Final allowances'!$L$40</f>
        <v>2.2026715458376649</v>
      </c>
    </row>
    <row r="332" spans="1:11" x14ac:dyDescent="0.3">
      <c r="A332" s="248" t="s">
        <v>15</v>
      </c>
      <c r="B332" s="248" t="s">
        <v>318</v>
      </c>
      <c r="C332" s="248" t="s">
        <v>237</v>
      </c>
      <c r="D332" s="68" t="s">
        <v>2</v>
      </c>
      <c r="E332" s="68" t="s">
        <v>57</v>
      </c>
      <c r="F332" s="68"/>
      <c r="G332" s="68"/>
      <c r="H332" s="68"/>
      <c r="I332" s="68"/>
      <c r="J332" s="68"/>
      <c r="K332" s="248">
        <f>'Final allowances'!$M$40</f>
        <v>8.0301081101943588</v>
      </c>
    </row>
    <row r="333" spans="1:11" x14ac:dyDescent="0.3">
      <c r="A333" s="248" t="s">
        <v>15</v>
      </c>
      <c r="B333" s="248" t="s">
        <v>327</v>
      </c>
      <c r="C333" s="248" t="s">
        <v>329</v>
      </c>
      <c r="D333" s="68" t="s">
        <v>2</v>
      </c>
      <c r="E333" s="68" t="s">
        <v>57</v>
      </c>
      <c r="F333" s="68"/>
      <c r="G333" s="68"/>
      <c r="H333" s="68"/>
      <c r="I333" s="68"/>
      <c r="J333" s="68"/>
      <c r="K333" s="248">
        <f>'Final allowances'!$F$40</f>
        <v>6.1844544600490412</v>
      </c>
    </row>
    <row r="334" spans="1:11" x14ac:dyDescent="0.3">
      <c r="A334" s="248" t="s">
        <v>15</v>
      </c>
      <c r="B334" s="248" t="s">
        <v>328</v>
      </c>
      <c r="C334" s="248" t="s">
        <v>330</v>
      </c>
      <c r="D334" s="68" t="s">
        <v>2</v>
      </c>
      <c r="E334" s="68" t="s">
        <v>57</v>
      </c>
      <c r="F334" s="68"/>
      <c r="G334" s="68"/>
      <c r="H334" s="68"/>
      <c r="I334" s="68"/>
      <c r="J334" s="68"/>
      <c r="K334" s="248">
        <f>'Final allowances'!$G$40</f>
        <v>0</v>
      </c>
    </row>
    <row r="335" spans="1:11" x14ac:dyDescent="0.3">
      <c r="A335" s="248" t="s">
        <v>15</v>
      </c>
      <c r="B335" s="248" t="str">
        <f t="shared" ref="B335:B342" si="67" xml:space="preserve"> B310</f>
        <v>C_ENC_WR_PR19CA004_OFWAT</v>
      </c>
      <c r="C335" s="248" t="s">
        <v>226</v>
      </c>
      <c r="D335" s="68" t="s">
        <v>2</v>
      </c>
      <c r="E335" s="68" t="s">
        <v>57</v>
      </c>
      <c r="F335" s="68"/>
      <c r="G335" s="68"/>
      <c r="H335" s="68"/>
      <c r="I335" s="68"/>
      <c r="J335" s="68"/>
      <c r="K335" s="248">
        <f>'Final allowances'!$C$61</f>
        <v>6.7919</v>
      </c>
    </row>
    <row r="336" spans="1:11" x14ac:dyDescent="0.3">
      <c r="A336" s="248" t="s">
        <v>15</v>
      </c>
      <c r="B336" s="248" t="str">
        <f t="shared" si="67"/>
        <v>C_ENC_WN_PR19CA004_OFWAT</v>
      </c>
      <c r="C336" s="248" t="s">
        <v>227</v>
      </c>
      <c r="D336" s="68" t="s">
        <v>2</v>
      </c>
      <c r="E336" s="68" t="s">
        <v>57</v>
      </c>
      <c r="F336" s="68"/>
      <c r="G336" s="68"/>
      <c r="H336" s="68"/>
      <c r="I336" s="68"/>
      <c r="J336" s="68"/>
      <c r="K336" s="248">
        <f>'Final allowances'!$D$61</f>
        <v>12.042246241858583</v>
      </c>
    </row>
    <row r="337" spans="1:11" x14ac:dyDescent="0.3">
      <c r="A337" s="248" t="s">
        <v>15</v>
      </c>
      <c r="B337" s="248" t="str">
        <f t="shared" si="67"/>
        <v>C_3PTYC_WR_PR19CA004_OFWAT</v>
      </c>
      <c r="C337" s="248" t="s">
        <v>228</v>
      </c>
      <c r="D337" s="68" t="s">
        <v>2</v>
      </c>
      <c r="E337" s="68" t="s">
        <v>57</v>
      </c>
      <c r="F337" s="68"/>
      <c r="G337" s="68"/>
      <c r="H337" s="68"/>
      <c r="I337" s="68"/>
      <c r="J337" s="68"/>
      <c r="K337" s="248">
        <f>'Final allowances'!$C$84</f>
        <v>0</v>
      </c>
    </row>
    <row r="338" spans="1:11" x14ac:dyDescent="0.3">
      <c r="A338" s="248" t="s">
        <v>15</v>
      </c>
      <c r="B338" s="248" t="str">
        <f t="shared" si="67"/>
        <v>C_3PTYC_WN_PR19CA004_OFWAT</v>
      </c>
      <c r="C338" s="248" t="s">
        <v>229</v>
      </c>
      <c r="D338" s="68" t="s">
        <v>2</v>
      </c>
      <c r="E338" s="68" t="s">
        <v>57</v>
      </c>
      <c r="F338" s="68"/>
      <c r="G338" s="68"/>
      <c r="H338" s="68"/>
      <c r="I338" s="68"/>
      <c r="J338" s="68"/>
      <c r="K338" s="248">
        <f>'Final allowances'!$D$84</f>
        <v>1.2121608631550784</v>
      </c>
    </row>
    <row r="339" spans="1:11" x14ac:dyDescent="0.3">
      <c r="A339" s="248" t="s">
        <v>15</v>
      </c>
      <c r="B339" s="248" t="str">
        <f t="shared" si="67"/>
        <v>C_CSH_WR_PR19CA004_OFWAT</v>
      </c>
      <c r="C339" s="248" t="s">
        <v>230</v>
      </c>
      <c r="D339" s="68" t="s">
        <v>2</v>
      </c>
      <c r="E339" s="68" t="s">
        <v>57</v>
      </c>
      <c r="F339" s="68"/>
      <c r="G339" s="68"/>
      <c r="H339" s="68"/>
      <c r="I339" s="68"/>
      <c r="J339" s="68"/>
      <c r="K339" s="248">
        <f>'Final allowances'!$F$84</f>
        <v>0</v>
      </c>
    </row>
    <row r="340" spans="1:11" x14ac:dyDescent="0.3">
      <c r="A340" s="248" t="s">
        <v>15</v>
      </c>
      <c r="B340" s="248" t="str">
        <f t="shared" si="67"/>
        <v>C_CSH_WN_PR19CA004_OFWAT</v>
      </c>
      <c r="C340" s="248" t="s">
        <v>231</v>
      </c>
      <c r="D340" s="68" t="s">
        <v>2</v>
      </c>
      <c r="E340" s="68" t="s">
        <v>57</v>
      </c>
      <c r="F340" s="68"/>
      <c r="G340" s="68"/>
      <c r="H340" s="68"/>
      <c r="I340" s="68"/>
      <c r="J340" s="68"/>
      <c r="K340" s="248">
        <f>'Final allowances'!$G$84</f>
        <v>0</v>
      </c>
    </row>
    <row r="341" spans="1:11" x14ac:dyDescent="0.3">
      <c r="A341" s="248" t="s">
        <v>15</v>
      </c>
      <c r="B341" s="248" t="str">
        <f t="shared" si="67"/>
        <v>C_SSDC_WR_PR19CA004_OFWAT</v>
      </c>
      <c r="C341" s="248" t="s">
        <v>232</v>
      </c>
      <c r="D341" s="68" t="s">
        <v>2</v>
      </c>
      <c r="E341" s="68" t="s">
        <v>57</v>
      </c>
      <c r="F341" s="68"/>
      <c r="G341" s="68"/>
      <c r="H341" s="68"/>
      <c r="I341" s="68"/>
      <c r="J341" s="68"/>
      <c r="K341" s="248">
        <f>'Final allowances'!$L$84</f>
        <v>0</v>
      </c>
    </row>
    <row r="342" spans="1:11" x14ac:dyDescent="0.3">
      <c r="A342" s="248" t="s">
        <v>15</v>
      </c>
      <c r="B342" s="248" t="str">
        <f t="shared" si="67"/>
        <v>C_SSDC_WN_PR19CA004_OFWAT</v>
      </c>
      <c r="C342" s="248" t="s">
        <v>233</v>
      </c>
      <c r="D342" s="68" t="s">
        <v>2</v>
      </c>
      <c r="E342" s="68" t="s">
        <v>57</v>
      </c>
      <c r="F342" s="68"/>
      <c r="G342" s="68"/>
      <c r="H342" s="68"/>
      <c r="I342" s="68"/>
      <c r="J342" s="68"/>
      <c r="K342" s="248">
        <f>'Final allowances'!$M$84</f>
        <v>0</v>
      </c>
    </row>
    <row r="343" spans="1:11" x14ac:dyDescent="0.3">
      <c r="A343" s="248" t="s">
        <v>15</v>
      </c>
      <c r="B343" s="248" t="s">
        <v>331</v>
      </c>
      <c r="C343" s="248" t="s">
        <v>332</v>
      </c>
      <c r="D343" s="68" t="s">
        <v>2</v>
      </c>
      <c r="E343" s="68" t="s">
        <v>57</v>
      </c>
      <c r="F343" s="68"/>
      <c r="G343" s="68"/>
      <c r="H343" s="68"/>
      <c r="I343" s="68"/>
      <c r="J343" s="68"/>
      <c r="K343" s="248">
        <f>'Final allowances'!$P$84</f>
        <v>0</v>
      </c>
    </row>
    <row r="344" spans="1:11" x14ac:dyDescent="0.3">
      <c r="A344" s="248" t="s">
        <v>15</v>
      </c>
      <c r="B344" s="248" t="s">
        <v>333</v>
      </c>
      <c r="C344" s="248" t="s">
        <v>334</v>
      </c>
      <c r="D344" s="68" t="s">
        <v>2</v>
      </c>
      <c r="E344" s="68" t="s">
        <v>57</v>
      </c>
      <c r="F344" s="68"/>
      <c r="G344" s="68"/>
      <c r="H344" s="68"/>
      <c r="I344" s="68"/>
      <c r="J344" s="68"/>
      <c r="K344" s="248">
        <f>'Final allowances'!$O$84</f>
        <v>0</v>
      </c>
    </row>
    <row r="345" spans="1:11" x14ac:dyDescent="0.3">
      <c r="A345" s="248" t="s">
        <v>15</v>
      </c>
      <c r="B345" s="248" t="str">
        <f xml:space="preserve"> B320</f>
        <v xml:space="preserve">C_WRPDR_PR19CA004 </v>
      </c>
      <c r="C345" s="248" t="s">
        <v>109</v>
      </c>
      <c r="D345" s="68" t="s">
        <v>2</v>
      </c>
      <c r="E345" s="68" t="s">
        <v>57</v>
      </c>
      <c r="F345" s="68">
        <f xml:space="preserve"> INDEX( PDR!$D$5:$D$89, MATCH(F_Outputs!$A345 &amp; RIGHT( F_Outputs!F$2, 2),PDR!$A$5:$A$89, 0 ) )</f>
        <v>0</v>
      </c>
      <c r="G345" s="68">
        <f xml:space="preserve"> INDEX( PDR!$D$5:$D$89, MATCH(F_Outputs!$A345 &amp; RIGHT( F_Outputs!G$2, 2),PDR!$A$5:$A$89, 0 ) )</f>
        <v>0</v>
      </c>
      <c r="H345" s="68">
        <f xml:space="preserve"> INDEX( PDR!$D$5:$D$89, MATCH(F_Outputs!$A345 &amp; RIGHT( F_Outputs!H$2, 2),PDR!$A$5:$A$89, 0 ) )</f>
        <v>0</v>
      </c>
      <c r="I345" s="68">
        <f xml:space="preserve"> INDEX( PDR!$D$5:$D$89, MATCH(F_Outputs!$A345 &amp; RIGHT( F_Outputs!I$2, 2),PDR!$A$5:$A$89, 0 ) )</f>
        <v>0</v>
      </c>
      <c r="J345" s="68">
        <f xml:space="preserve"> INDEX( PDR!$D$5:$D$89, MATCH(F_Outputs!$A345 &amp; RIGHT( F_Outputs!J$2, 2),PDR!$A$5:$A$89, 0 ) )</f>
        <v>0</v>
      </c>
      <c r="K345" s="248"/>
    </row>
    <row r="346" spans="1:11" x14ac:dyDescent="0.3">
      <c r="A346" s="248" t="s">
        <v>15</v>
      </c>
      <c r="B346" s="248" t="str">
        <f xml:space="preserve"> B321</f>
        <v>C_WNPDR_PR19CA004</v>
      </c>
      <c r="C346" s="248" t="s">
        <v>110</v>
      </c>
      <c r="D346" s="68" t="s">
        <v>2</v>
      </c>
      <c r="E346" s="68" t="s">
        <v>57</v>
      </c>
      <c r="F346" s="68">
        <f>INDEX(PDR!$E$5:$E$89,MATCH(F_Outputs!$A346&amp;RIGHT(F_Outputs!F$2,2),PDR!$A$5:$A$89,0))</f>
        <v>0</v>
      </c>
      <c r="G346" s="68">
        <f>INDEX(PDR!$E$5:$E$89,MATCH(F_Outputs!$A346&amp;RIGHT(F_Outputs!G$2,2),PDR!$A$5:$A$89,0))</f>
        <v>0</v>
      </c>
      <c r="H346" s="68">
        <f>INDEX(PDR!$E$5:$E$89,MATCH(F_Outputs!$A346&amp;RIGHT(F_Outputs!H$2,2),PDR!$A$5:$A$89,0))</f>
        <v>0</v>
      </c>
      <c r="I346" s="68">
        <f>INDEX(PDR!$E$5:$E$89,MATCH(F_Outputs!$A346&amp;RIGHT(F_Outputs!I$2,2),PDR!$A$5:$A$89,0))</f>
        <v>0</v>
      </c>
      <c r="J346" s="68">
        <f>INDEX(PDR!$E$5:$E$89,MATCH(F_Outputs!$A346&amp;RIGHT(F_Outputs!J$2,2),PDR!$A$5:$A$89,0))</f>
        <v>0</v>
      </c>
      <c r="K346" s="248"/>
    </row>
    <row r="347" spans="1:11" x14ac:dyDescent="0.3">
      <c r="A347" s="248" t="s">
        <v>15</v>
      </c>
      <c r="B347" s="248" t="s">
        <v>193</v>
      </c>
      <c r="C347" s="248" t="s">
        <v>195</v>
      </c>
      <c r="D347" s="68" t="s">
        <v>2</v>
      </c>
      <c r="E347" s="68" t="s">
        <v>57</v>
      </c>
      <c r="F347" s="249">
        <f>K347/5</f>
        <v>6.4643715388027712</v>
      </c>
      <c r="G347" s="249">
        <f t="shared" ref="G347:J349" si="68">F347</f>
        <v>6.4643715388027712</v>
      </c>
      <c r="H347" s="249">
        <f t="shared" si="68"/>
        <v>6.4643715388027712</v>
      </c>
      <c r="I347" s="249">
        <f t="shared" si="68"/>
        <v>6.4643715388027712</v>
      </c>
      <c r="J347" s="249">
        <f t="shared" si="68"/>
        <v>6.4643715388027712</v>
      </c>
      <c r="K347" s="248">
        <f>INDEX('Final allowances'!$G$6:$G$22,MATCH(F_Outputs!A347,'Final allowances'!$B$6:$B$22,0))</f>
        <v>32.321857694013858</v>
      </c>
    </row>
    <row r="348" spans="1:11" x14ac:dyDescent="0.3">
      <c r="A348" s="248" t="s">
        <v>15</v>
      </c>
      <c r="B348" s="248" t="s">
        <v>194</v>
      </c>
      <c r="C348" s="248" t="s">
        <v>196</v>
      </c>
      <c r="D348" s="68" t="s">
        <v>2</v>
      </c>
      <c r="E348" s="68" t="s">
        <v>57</v>
      </c>
      <c r="F348" s="249">
        <f>K348/5</f>
        <v>30.014708461197227</v>
      </c>
      <c r="G348" s="249">
        <f t="shared" si="68"/>
        <v>30.014708461197227</v>
      </c>
      <c r="H348" s="249">
        <f t="shared" si="68"/>
        <v>30.014708461197227</v>
      </c>
      <c r="I348" s="249">
        <f t="shared" si="68"/>
        <v>30.014708461197227</v>
      </c>
      <c r="J348" s="249">
        <f t="shared" si="68"/>
        <v>30.014708461197227</v>
      </c>
      <c r="K348" s="248">
        <f>INDEX('Final allowances'!$H$6:$H$22,MATCH(F_Outputs!A348,'Final allowances'!$B$6:$B$22,0))</f>
        <v>150.07354230598614</v>
      </c>
    </row>
    <row r="349" spans="1:11" x14ac:dyDescent="0.3">
      <c r="A349" s="248" t="s">
        <v>15</v>
      </c>
      <c r="B349" s="248" t="s">
        <v>319</v>
      </c>
      <c r="C349" s="248" t="s">
        <v>320</v>
      </c>
      <c r="D349" s="68" t="s">
        <v>2</v>
      </c>
      <c r="E349" s="68" t="s">
        <v>57</v>
      </c>
      <c r="F349" s="249">
        <f>K349/5</f>
        <v>12.285300183157318</v>
      </c>
      <c r="G349" s="249">
        <f t="shared" si="68"/>
        <v>12.285300183157318</v>
      </c>
      <c r="H349" s="249">
        <f t="shared" si="68"/>
        <v>12.285300183157318</v>
      </c>
      <c r="I349" s="249">
        <f t="shared" si="68"/>
        <v>12.285300183157318</v>
      </c>
      <c r="J349" s="249">
        <f t="shared" si="68"/>
        <v>12.285300183157318</v>
      </c>
      <c r="K349" s="248">
        <f>INDEX('Final allowances'!$E$6:$E$22,MATCH(F_Outputs!A349,'Final allowances'!$B$6:$B$22,0))</f>
        <v>61.42650091578659</v>
      </c>
    </row>
    <row r="350" spans="1:11" x14ac:dyDescent="0.3">
      <c r="A350" s="248" t="s">
        <v>15</v>
      </c>
      <c r="B350" s="248" t="s">
        <v>197</v>
      </c>
      <c r="C350" s="248" t="s">
        <v>199</v>
      </c>
      <c r="D350" s="68" t="s">
        <v>2</v>
      </c>
      <c r="E350" s="68" t="s">
        <v>57</v>
      </c>
      <c r="F350" s="68">
        <f>K350/5</f>
        <v>0</v>
      </c>
      <c r="G350" s="68">
        <f>F350</f>
        <v>0</v>
      </c>
      <c r="H350" s="68">
        <f t="shared" ref="H350:J350" si="69">G350</f>
        <v>0</v>
      </c>
      <c r="I350" s="68">
        <f t="shared" si="69"/>
        <v>0</v>
      </c>
      <c r="J350" s="68">
        <f t="shared" si="69"/>
        <v>0</v>
      </c>
      <c r="K350" s="248">
        <f>K337+K339+K341+K344</f>
        <v>0</v>
      </c>
    </row>
    <row r="351" spans="1:11" x14ac:dyDescent="0.3">
      <c r="A351" s="248" t="s">
        <v>15</v>
      </c>
      <c r="B351" s="248" t="s">
        <v>198</v>
      </c>
      <c r="C351" s="248" t="s">
        <v>200</v>
      </c>
      <c r="D351" s="68" t="s">
        <v>2</v>
      </c>
      <c r="E351" s="68" t="s">
        <v>57</v>
      </c>
      <c r="F351" s="68">
        <f>K351/5</f>
        <v>0.24243217263101569</v>
      </c>
      <c r="G351" s="68">
        <f>F351</f>
        <v>0.24243217263101569</v>
      </c>
      <c r="H351" s="68">
        <f t="shared" ref="H351:J351" si="70">G351</f>
        <v>0.24243217263101569</v>
      </c>
      <c r="I351" s="68">
        <f t="shared" si="70"/>
        <v>0.24243217263101569</v>
      </c>
      <c r="J351" s="68">
        <f t="shared" si="70"/>
        <v>0.24243217263101569</v>
      </c>
      <c r="K351" s="248">
        <f>K338+K340+K342+K343</f>
        <v>1.2121608631550784</v>
      </c>
    </row>
    <row r="352" spans="1:11" ht="14.5" x14ac:dyDescent="0.3">
      <c r="A352" s="248" t="s">
        <v>15</v>
      </c>
      <c r="B352" s="68" t="s">
        <v>113</v>
      </c>
      <c r="C352" s="68" t="s">
        <v>98</v>
      </c>
      <c r="D352" s="68" t="s">
        <v>62</v>
      </c>
      <c r="E352" s="68" t="s">
        <v>57</v>
      </c>
      <c r="F352" s="250" t="str">
        <f ca="1">CONCATENATE("[…]", TEXT(NOW(),"dd/mm/yyy hh:mm:ss"))</f>
        <v>[…]11/12/2019 16:31:19</v>
      </c>
      <c r="G352" s="250" t="str">
        <f t="shared" ref="G352:K352" ca="1" si="71">CONCATENATE("[…]", TEXT(NOW(),"dd/mm/yyy hh:mm:ss"))</f>
        <v>[…]11/12/2019 16:31:19</v>
      </c>
      <c r="H352" s="250" t="str">
        <f t="shared" ca="1" si="71"/>
        <v>[…]11/12/2019 16:31:19</v>
      </c>
      <c r="I352" s="250" t="str">
        <f t="shared" ca="1" si="71"/>
        <v>[…]11/12/2019 16:31:19</v>
      </c>
      <c r="J352" s="250" t="str">
        <f t="shared" ca="1" si="71"/>
        <v>[…]11/12/2019 16:31:19</v>
      </c>
      <c r="K352" s="250" t="str">
        <f t="shared" ca="1" si="71"/>
        <v>[…]11/12/2019 16:31:19</v>
      </c>
    </row>
    <row r="353" spans="1:11" x14ac:dyDescent="0.3">
      <c r="A353" s="248" t="s">
        <v>15</v>
      </c>
      <c r="B353" s="68" t="s">
        <v>114</v>
      </c>
      <c r="C353" s="68" t="s">
        <v>99</v>
      </c>
      <c r="D353" s="68" t="s">
        <v>62</v>
      </c>
      <c r="E353" s="68" t="s">
        <v>57</v>
      </c>
      <c r="F353" s="251" t="s">
        <v>316</v>
      </c>
      <c r="G353" s="251" t="s">
        <v>316</v>
      </c>
      <c r="H353" s="251" t="s">
        <v>316</v>
      </c>
      <c r="I353" s="251" t="s">
        <v>316</v>
      </c>
      <c r="J353" s="251" t="s">
        <v>316</v>
      </c>
      <c r="K353" s="251" t="s">
        <v>316</v>
      </c>
    </row>
    <row r="354" spans="1:11" x14ac:dyDescent="0.3">
      <c r="A354" s="248" t="s">
        <v>16</v>
      </c>
      <c r="B354" s="248" t="str">
        <f xml:space="preserve"> B329</f>
        <v>C_TBC_WR_PR19CA004_OFWAT</v>
      </c>
      <c r="C354" s="248" t="s">
        <v>215</v>
      </c>
      <c r="D354" s="68" t="s">
        <v>2</v>
      </c>
      <c r="E354" s="68" t="s">
        <v>57</v>
      </c>
      <c r="F354" s="68"/>
      <c r="G354" s="68"/>
      <c r="H354" s="68"/>
      <c r="I354" s="68"/>
      <c r="J354" s="68"/>
      <c r="K354" s="248">
        <f>'Final allowances'!$O$41</f>
        <v>23.900007861298853</v>
      </c>
    </row>
    <row r="355" spans="1:11" x14ac:dyDescent="0.3">
      <c r="A355" s="248" t="s">
        <v>16</v>
      </c>
      <c r="B355" s="248" t="str">
        <f xml:space="preserve"> B330</f>
        <v>C_TBC_WN_PR19CA004_OFWAT</v>
      </c>
      <c r="C355" s="248" t="s">
        <v>217</v>
      </c>
      <c r="D355" s="68" t="s">
        <v>2</v>
      </c>
      <c r="E355" s="68" t="s">
        <v>57</v>
      </c>
      <c r="F355" s="68"/>
      <c r="G355" s="68"/>
      <c r="H355" s="68"/>
      <c r="I355" s="68"/>
      <c r="J355" s="68"/>
      <c r="K355" s="248">
        <f>'Final allowances'!$P$41</f>
        <v>179.88054420377023</v>
      </c>
    </row>
    <row r="356" spans="1:11" x14ac:dyDescent="0.3">
      <c r="A356" s="248" t="s">
        <v>16</v>
      </c>
      <c r="B356" s="248" t="s">
        <v>317</v>
      </c>
      <c r="C356" s="248" t="s">
        <v>236</v>
      </c>
      <c r="D356" s="68" t="s">
        <v>2</v>
      </c>
      <c r="E356" s="68" t="s">
        <v>57</v>
      </c>
      <c r="F356" s="68"/>
      <c r="G356" s="68"/>
      <c r="H356" s="68"/>
      <c r="I356" s="68"/>
      <c r="J356" s="68"/>
      <c r="K356" s="248">
        <f>'Final allowances'!$L$41</f>
        <v>1.0175996438224044</v>
      </c>
    </row>
    <row r="357" spans="1:11" x14ac:dyDescent="0.3">
      <c r="A357" s="248" t="s">
        <v>16</v>
      </c>
      <c r="B357" s="248" t="s">
        <v>318</v>
      </c>
      <c r="C357" s="248" t="s">
        <v>237</v>
      </c>
      <c r="D357" s="68" t="s">
        <v>2</v>
      </c>
      <c r="E357" s="68" t="s">
        <v>57</v>
      </c>
      <c r="F357" s="68"/>
      <c r="G357" s="68"/>
      <c r="H357" s="68"/>
      <c r="I357" s="68"/>
      <c r="J357" s="68"/>
      <c r="K357" s="248">
        <f>'Final allowances'!$M$41</f>
        <v>14.13927926153236</v>
      </c>
    </row>
    <row r="358" spans="1:11" x14ac:dyDescent="0.3">
      <c r="A358" s="248" t="s">
        <v>16</v>
      </c>
      <c r="B358" s="248" t="s">
        <v>327</v>
      </c>
      <c r="C358" s="248" t="s">
        <v>329</v>
      </c>
      <c r="D358" s="68" t="s">
        <v>2</v>
      </c>
      <c r="E358" s="68" t="s">
        <v>57</v>
      </c>
      <c r="F358" s="68"/>
      <c r="G358" s="68"/>
      <c r="H358" s="68"/>
      <c r="I358" s="68"/>
      <c r="J358" s="68"/>
      <c r="K358" s="248">
        <f>'Final allowances'!$F$41</f>
        <v>4.1378985288426362</v>
      </c>
    </row>
    <row r="359" spans="1:11" x14ac:dyDescent="0.3">
      <c r="A359" s="248" t="s">
        <v>16</v>
      </c>
      <c r="B359" s="248" t="s">
        <v>328</v>
      </c>
      <c r="C359" s="248" t="s">
        <v>330</v>
      </c>
      <c r="D359" s="68" t="s">
        <v>2</v>
      </c>
      <c r="E359" s="68" t="s">
        <v>57</v>
      </c>
      <c r="F359" s="68"/>
      <c r="G359" s="68"/>
      <c r="H359" s="68"/>
      <c r="I359" s="68"/>
      <c r="J359" s="68"/>
      <c r="K359" s="248">
        <f>'Final allowances'!$G$41</f>
        <v>0</v>
      </c>
    </row>
    <row r="360" spans="1:11" x14ac:dyDescent="0.3">
      <c r="A360" s="248" t="s">
        <v>16</v>
      </c>
      <c r="B360" s="248" t="str">
        <f t="shared" ref="B360:B367" si="72" xml:space="preserve"> B335</f>
        <v>C_ENC_WR_PR19CA004_OFWAT</v>
      </c>
      <c r="C360" s="248" t="s">
        <v>226</v>
      </c>
      <c r="D360" s="68" t="s">
        <v>2</v>
      </c>
      <c r="E360" s="68" t="s">
        <v>57</v>
      </c>
      <c r="F360" s="68"/>
      <c r="G360" s="68"/>
      <c r="H360" s="68"/>
      <c r="I360" s="68"/>
      <c r="J360" s="68"/>
      <c r="K360" s="248">
        <f>'Final allowances'!$C$62</f>
        <v>0.92999999999999994</v>
      </c>
    </row>
    <row r="361" spans="1:11" x14ac:dyDescent="0.3">
      <c r="A361" s="248" t="s">
        <v>16</v>
      </c>
      <c r="B361" s="248" t="str">
        <f t="shared" si="72"/>
        <v>C_ENC_WN_PR19CA004_OFWAT</v>
      </c>
      <c r="C361" s="248" t="s">
        <v>227</v>
      </c>
      <c r="D361" s="68" t="s">
        <v>2</v>
      </c>
      <c r="E361" s="68" t="s">
        <v>57</v>
      </c>
      <c r="F361" s="68"/>
      <c r="G361" s="68"/>
      <c r="H361" s="68"/>
      <c r="I361" s="68"/>
      <c r="J361" s="68"/>
      <c r="K361" s="248">
        <f>'Final allowances'!$D$62</f>
        <v>38.896726223696369</v>
      </c>
    </row>
    <row r="362" spans="1:11" x14ac:dyDescent="0.3">
      <c r="A362" s="248" t="s">
        <v>16</v>
      </c>
      <c r="B362" s="248" t="str">
        <f t="shared" si="72"/>
        <v>C_3PTYC_WR_PR19CA004_OFWAT</v>
      </c>
      <c r="C362" s="248" t="s">
        <v>228</v>
      </c>
      <c r="D362" s="68" t="s">
        <v>2</v>
      </c>
      <c r="E362" s="68" t="s">
        <v>57</v>
      </c>
      <c r="F362" s="68"/>
      <c r="G362" s="68"/>
      <c r="H362" s="68"/>
      <c r="I362" s="68"/>
      <c r="J362" s="68"/>
      <c r="K362" s="248">
        <f>'Final allowances'!$C$85</f>
        <v>0</v>
      </c>
    </row>
    <row r="363" spans="1:11" x14ac:dyDescent="0.3">
      <c r="A363" s="248" t="s">
        <v>16</v>
      </c>
      <c r="B363" s="248" t="str">
        <f t="shared" si="72"/>
        <v>C_3PTYC_WN_PR19CA004_OFWAT</v>
      </c>
      <c r="C363" s="248" t="s">
        <v>229</v>
      </c>
      <c r="D363" s="68" t="s">
        <v>2</v>
      </c>
      <c r="E363" s="68" t="s">
        <v>57</v>
      </c>
      <c r="F363" s="68"/>
      <c r="G363" s="68"/>
      <c r="H363" s="68"/>
      <c r="I363" s="68"/>
      <c r="J363" s="68"/>
      <c r="K363" s="248">
        <f>'Final allowances'!$D$85</f>
        <v>9.819963426331018</v>
      </c>
    </row>
    <row r="364" spans="1:11" x14ac:dyDescent="0.3">
      <c r="A364" s="248" t="s">
        <v>16</v>
      </c>
      <c r="B364" s="248" t="str">
        <f t="shared" si="72"/>
        <v>C_CSH_WR_PR19CA004_OFWAT</v>
      </c>
      <c r="C364" s="248" t="s">
        <v>230</v>
      </c>
      <c r="D364" s="68" t="s">
        <v>2</v>
      </c>
      <c r="E364" s="68" t="s">
        <v>57</v>
      </c>
      <c r="F364" s="68"/>
      <c r="G364" s="68"/>
      <c r="H364" s="68"/>
      <c r="I364" s="68"/>
      <c r="J364" s="68"/>
      <c r="K364" s="248">
        <f>'Final allowances'!$F$85</f>
        <v>0</v>
      </c>
    </row>
    <row r="365" spans="1:11" x14ac:dyDescent="0.3">
      <c r="A365" s="248" t="s">
        <v>16</v>
      </c>
      <c r="B365" s="248" t="str">
        <f t="shared" si="72"/>
        <v>C_CSH_WN_PR19CA004_OFWAT</v>
      </c>
      <c r="C365" s="248" t="s">
        <v>231</v>
      </c>
      <c r="D365" s="68" t="s">
        <v>2</v>
      </c>
      <c r="E365" s="68" t="s">
        <v>57</v>
      </c>
      <c r="F365" s="68"/>
      <c r="G365" s="68"/>
      <c r="H365" s="68"/>
      <c r="I365" s="68"/>
      <c r="J365" s="68"/>
      <c r="K365" s="248">
        <f>'Final allowances'!$G$85</f>
        <v>0</v>
      </c>
    </row>
    <row r="366" spans="1:11" x14ac:dyDescent="0.3">
      <c r="A366" s="248" t="s">
        <v>16</v>
      </c>
      <c r="B366" s="248" t="str">
        <f t="shared" si="72"/>
        <v>C_SSDC_WR_PR19CA004_OFWAT</v>
      </c>
      <c r="C366" s="248" t="s">
        <v>232</v>
      </c>
      <c r="D366" s="68" t="s">
        <v>2</v>
      </c>
      <c r="E366" s="68" t="s">
        <v>57</v>
      </c>
      <c r="F366" s="68"/>
      <c r="G366" s="68"/>
      <c r="H366" s="68"/>
      <c r="I366" s="68"/>
      <c r="J366" s="68"/>
      <c r="K366" s="248">
        <f>'Final allowances'!$L$85</f>
        <v>0</v>
      </c>
    </row>
    <row r="367" spans="1:11" x14ac:dyDescent="0.3">
      <c r="A367" s="248" t="s">
        <v>16</v>
      </c>
      <c r="B367" s="248" t="str">
        <f t="shared" si="72"/>
        <v>C_SSDC_WN_PR19CA004_OFWAT</v>
      </c>
      <c r="C367" s="248" t="s">
        <v>233</v>
      </c>
      <c r="D367" s="68" t="s">
        <v>2</v>
      </c>
      <c r="E367" s="68" t="s">
        <v>57</v>
      </c>
      <c r="F367" s="68"/>
      <c r="G367" s="68"/>
      <c r="H367" s="68"/>
      <c r="I367" s="68"/>
      <c r="J367" s="68"/>
      <c r="K367" s="248">
        <f>'Final allowances'!$M$85</f>
        <v>0</v>
      </c>
    </row>
    <row r="368" spans="1:11" x14ac:dyDescent="0.3">
      <c r="A368" s="248" t="s">
        <v>16</v>
      </c>
      <c r="B368" s="248" t="s">
        <v>331</v>
      </c>
      <c r="C368" s="248" t="s">
        <v>332</v>
      </c>
      <c r="D368" s="68" t="s">
        <v>2</v>
      </c>
      <c r="E368" s="68" t="s">
        <v>57</v>
      </c>
      <c r="F368" s="68"/>
      <c r="G368" s="68"/>
      <c r="H368" s="68"/>
      <c r="I368" s="68"/>
      <c r="J368" s="68"/>
      <c r="K368" s="248">
        <f>'Final allowances'!$P$85</f>
        <v>1.2170289790713638</v>
      </c>
    </row>
    <row r="369" spans="1:11" x14ac:dyDescent="0.3">
      <c r="A369" s="248" t="s">
        <v>16</v>
      </c>
      <c r="B369" s="248" t="s">
        <v>333</v>
      </c>
      <c r="C369" s="248" t="s">
        <v>334</v>
      </c>
      <c r="D369" s="68" t="s">
        <v>2</v>
      </c>
      <c r="E369" s="68" t="s">
        <v>57</v>
      </c>
      <c r="F369" s="68"/>
      <c r="G369" s="68"/>
      <c r="H369" s="68"/>
      <c r="I369" s="68"/>
      <c r="J369" s="68"/>
      <c r="K369" s="248">
        <f>'Final allowances'!$O$85</f>
        <v>0</v>
      </c>
    </row>
    <row r="370" spans="1:11" x14ac:dyDescent="0.3">
      <c r="A370" s="248" t="s">
        <v>16</v>
      </c>
      <c r="B370" s="248" t="str">
        <f xml:space="preserve"> B345</f>
        <v xml:space="preserve">C_WRPDR_PR19CA004 </v>
      </c>
      <c r="C370" s="248" t="s">
        <v>109</v>
      </c>
      <c r="D370" s="68" t="s">
        <v>2</v>
      </c>
      <c r="E370" s="68" t="s">
        <v>57</v>
      </c>
      <c r="F370" s="68">
        <f xml:space="preserve"> INDEX( PDR!$D$5:$D$89, MATCH(F_Outputs!$A370 &amp; RIGHT( F_Outputs!F$2, 2),PDR!$A$5:$A$89, 0 ) )</f>
        <v>0</v>
      </c>
      <c r="G370" s="68">
        <f xml:space="preserve"> INDEX( PDR!$D$5:$D$89, MATCH(F_Outputs!$A370 &amp; RIGHT( F_Outputs!G$2, 2),PDR!$A$5:$A$89, 0 ) )</f>
        <v>0</v>
      </c>
      <c r="H370" s="68">
        <f xml:space="preserve"> INDEX( PDR!$D$5:$D$89, MATCH(F_Outputs!$A370 &amp; RIGHT( F_Outputs!H$2, 2),PDR!$A$5:$A$89, 0 ) )</f>
        <v>0</v>
      </c>
      <c r="I370" s="68">
        <f xml:space="preserve"> INDEX( PDR!$D$5:$D$89, MATCH(F_Outputs!$A370 &amp; RIGHT( F_Outputs!I$2, 2),PDR!$A$5:$A$89, 0 ) )</f>
        <v>0</v>
      </c>
      <c r="J370" s="68">
        <f xml:space="preserve"> INDEX( PDR!$D$5:$D$89, MATCH(F_Outputs!$A370 &amp; RIGHT( F_Outputs!J$2, 2),PDR!$A$5:$A$89, 0 ) )</f>
        <v>0</v>
      </c>
      <c r="K370" s="248"/>
    </row>
    <row r="371" spans="1:11" x14ac:dyDescent="0.3">
      <c r="A371" s="248" t="s">
        <v>16</v>
      </c>
      <c r="B371" s="248" t="str">
        <f xml:space="preserve"> B346</f>
        <v>C_WNPDR_PR19CA004</v>
      </c>
      <c r="C371" s="248" t="s">
        <v>110</v>
      </c>
      <c r="D371" s="68" t="s">
        <v>2</v>
      </c>
      <c r="E371" s="68" t="s">
        <v>57</v>
      </c>
      <c r="F371" s="68">
        <f>INDEX(PDR!$E$5:$E$89,MATCH(F_Outputs!$A371&amp;RIGHT(F_Outputs!F$2,2),PDR!$A$5:$A$89,0))</f>
        <v>0</v>
      </c>
      <c r="G371" s="68">
        <f>INDEX(PDR!$E$5:$E$89,MATCH(F_Outputs!$A371&amp;RIGHT(F_Outputs!G$2,2),PDR!$A$5:$A$89,0))</f>
        <v>0</v>
      </c>
      <c r="H371" s="68">
        <f>INDEX(PDR!$E$5:$E$89,MATCH(F_Outputs!$A371&amp;RIGHT(F_Outputs!H$2,2),PDR!$A$5:$A$89,0))</f>
        <v>0</v>
      </c>
      <c r="I371" s="68">
        <f>INDEX(PDR!$E$5:$E$89,MATCH(F_Outputs!$A371&amp;RIGHT(F_Outputs!I$2,2),PDR!$A$5:$A$89,0))</f>
        <v>0</v>
      </c>
      <c r="J371" s="68">
        <f>INDEX(PDR!$E$5:$E$89,MATCH(F_Outputs!$A371&amp;RIGHT(F_Outputs!J$2,2),PDR!$A$5:$A$89,0))</f>
        <v>0</v>
      </c>
      <c r="K371" s="248"/>
    </row>
    <row r="372" spans="1:11" x14ac:dyDescent="0.3">
      <c r="A372" s="248" t="s">
        <v>16</v>
      </c>
      <c r="B372" s="248" t="s">
        <v>193</v>
      </c>
      <c r="C372" s="248" t="s">
        <v>195</v>
      </c>
      <c r="D372" s="68" t="s">
        <v>2</v>
      </c>
      <c r="E372" s="68" t="s">
        <v>57</v>
      </c>
      <c r="F372" s="249">
        <f>K372/5</f>
        <v>4.9660015722597706</v>
      </c>
      <c r="G372" s="249">
        <f t="shared" ref="G372:J374" si="73">F372</f>
        <v>4.9660015722597706</v>
      </c>
      <c r="H372" s="249">
        <f t="shared" si="73"/>
        <v>4.9660015722597706</v>
      </c>
      <c r="I372" s="249">
        <f t="shared" si="73"/>
        <v>4.9660015722597706</v>
      </c>
      <c r="J372" s="249">
        <f t="shared" si="73"/>
        <v>4.9660015722597706</v>
      </c>
      <c r="K372" s="248">
        <f>INDEX('Final allowances'!$G$6:$G$22,MATCH(F_Outputs!A372,'Final allowances'!$B$6:$B$22,0))</f>
        <v>24.830007861298853</v>
      </c>
    </row>
    <row r="373" spans="1:11" x14ac:dyDescent="0.3">
      <c r="A373" s="248" t="s">
        <v>16</v>
      </c>
      <c r="B373" s="248" t="s">
        <v>194</v>
      </c>
      <c r="C373" s="248" t="s">
        <v>196</v>
      </c>
      <c r="D373" s="68" t="s">
        <v>2</v>
      </c>
      <c r="E373" s="68" t="s">
        <v>57</v>
      </c>
      <c r="F373" s="249">
        <f>K373/5</f>
        <v>43.755454085493319</v>
      </c>
      <c r="G373" s="249">
        <f t="shared" si="73"/>
        <v>43.755454085493319</v>
      </c>
      <c r="H373" s="249">
        <f t="shared" si="73"/>
        <v>43.755454085493319</v>
      </c>
      <c r="I373" s="249">
        <f t="shared" si="73"/>
        <v>43.755454085493319</v>
      </c>
      <c r="J373" s="249">
        <f t="shared" si="73"/>
        <v>43.755454085493319</v>
      </c>
      <c r="K373" s="248">
        <f>INDEX('Final allowances'!$H$6:$H$22,MATCH(F_Outputs!A373,'Final allowances'!$B$6:$B$22,0))</f>
        <v>218.77727042746659</v>
      </c>
    </row>
    <row r="374" spans="1:11" x14ac:dyDescent="0.3">
      <c r="A374" s="248" t="s">
        <v>16</v>
      </c>
      <c r="B374" s="248" t="s">
        <v>319</v>
      </c>
      <c r="C374" s="248" t="s">
        <v>320</v>
      </c>
      <c r="D374" s="68" t="s">
        <v>2</v>
      </c>
      <c r="E374" s="68" t="s">
        <v>57</v>
      </c>
      <c r="F374" s="249">
        <f>K374/5</f>
        <v>0</v>
      </c>
      <c r="G374" s="249">
        <f t="shared" si="73"/>
        <v>0</v>
      </c>
      <c r="H374" s="249">
        <f t="shared" si="73"/>
        <v>0</v>
      </c>
      <c r="I374" s="249">
        <f t="shared" si="73"/>
        <v>0</v>
      </c>
      <c r="J374" s="249">
        <f t="shared" si="73"/>
        <v>0</v>
      </c>
      <c r="K374" s="248">
        <f>INDEX('Final allowances'!$E$6:$E$22,MATCH(F_Outputs!A374,'Final allowances'!$B$6:$B$22,0))</f>
        <v>0</v>
      </c>
    </row>
    <row r="375" spans="1:11" x14ac:dyDescent="0.3">
      <c r="A375" s="248" t="s">
        <v>16</v>
      </c>
      <c r="B375" s="248" t="s">
        <v>197</v>
      </c>
      <c r="C375" s="248" t="s">
        <v>199</v>
      </c>
      <c r="D375" s="68" t="s">
        <v>2</v>
      </c>
      <c r="E375" s="68" t="s">
        <v>57</v>
      </c>
      <c r="F375" s="68">
        <f>K375/5</f>
        <v>0</v>
      </c>
      <c r="G375" s="68">
        <f>F375</f>
        <v>0</v>
      </c>
      <c r="H375" s="68">
        <f t="shared" ref="H375:J375" si="74">G375</f>
        <v>0</v>
      </c>
      <c r="I375" s="68">
        <f t="shared" si="74"/>
        <v>0</v>
      </c>
      <c r="J375" s="68">
        <f t="shared" si="74"/>
        <v>0</v>
      </c>
      <c r="K375" s="248">
        <f>K362+K364+K366+K369</f>
        <v>0</v>
      </c>
    </row>
    <row r="376" spans="1:11" x14ac:dyDescent="0.3">
      <c r="A376" s="248" t="s">
        <v>16</v>
      </c>
      <c r="B376" s="248" t="s">
        <v>198</v>
      </c>
      <c r="C376" s="248" t="s">
        <v>200</v>
      </c>
      <c r="D376" s="68" t="s">
        <v>2</v>
      </c>
      <c r="E376" s="68" t="s">
        <v>57</v>
      </c>
      <c r="F376" s="68">
        <f>K376/5</f>
        <v>2.2073984810804763</v>
      </c>
      <c r="G376" s="68">
        <f>F376</f>
        <v>2.2073984810804763</v>
      </c>
      <c r="H376" s="68">
        <f t="shared" ref="H376:J376" si="75">G376</f>
        <v>2.2073984810804763</v>
      </c>
      <c r="I376" s="68">
        <f t="shared" si="75"/>
        <v>2.2073984810804763</v>
      </c>
      <c r="J376" s="68">
        <f t="shared" si="75"/>
        <v>2.2073984810804763</v>
      </c>
      <c r="K376" s="248">
        <f>K363+K365+K367+K368</f>
        <v>11.036992405402382</v>
      </c>
    </row>
    <row r="377" spans="1:11" ht="14.5" x14ac:dyDescent="0.3">
      <c r="A377" s="248" t="s">
        <v>16</v>
      </c>
      <c r="B377" s="68" t="s">
        <v>113</v>
      </c>
      <c r="C377" s="68" t="s">
        <v>98</v>
      </c>
      <c r="D377" s="68" t="s">
        <v>62</v>
      </c>
      <c r="E377" s="68" t="s">
        <v>57</v>
      </c>
      <c r="F377" s="250" t="str">
        <f ca="1">CONCATENATE("[…]", TEXT(NOW(),"dd/mm/yyy hh:mm:ss"))</f>
        <v>[…]11/12/2019 16:31:19</v>
      </c>
      <c r="G377" s="250" t="str">
        <f t="shared" ref="G377:K377" ca="1" si="76">CONCATENATE("[…]", TEXT(NOW(),"dd/mm/yyy hh:mm:ss"))</f>
        <v>[…]11/12/2019 16:31:19</v>
      </c>
      <c r="H377" s="250" t="str">
        <f t="shared" ca="1" si="76"/>
        <v>[…]11/12/2019 16:31:19</v>
      </c>
      <c r="I377" s="250" t="str">
        <f t="shared" ca="1" si="76"/>
        <v>[…]11/12/2019 16:31:19</v>
      </c>
      <c r="J377" s="250" t="str">
        <f t="shared" ca="1" si="76"/>
        <v>[…]11/12/2019 16:31:19</v>
      </c>
      <c r="K377" s="250" t="str">
        <f t="shared" ca="1" si="76"/>
        <v>[…]11/12/2019 16:31:19</v>
      </c>
    </row>
    <row r="378" spans="1:11" x14ac:dyDescent="0.3">
      <c r="A378" s="248" t="s">
        <v>16</v>
      </c>
      <c r="B378" s="68" t="s">
        <v>114</v>
      </c>
      <c r="C378" s="68" t="s">
        <v>99</v>
      </c>
      <c r="D378" s="68" t="s">
        <v>62</v>
      </c>
      <c r="E378" s="68" t="s">
        <v>57</v>
      </c>
      <c r="F378" s="251" t="s">
        <v>316</v>
      </c>
      <c r="G378" s="251" t="s">
        <v>316</v>
      </c>
      <c r="H378" s="251" t="s">
        <v>316</v>
      </c>
      <c r="I378" s="251" t="s">
        <v>316</v>
      </c>
      <c r="J378" s="251" t="s">
        <v>316</v>
      </c>
      <c r="K378" s="251" t="s">
        <v>316</v>
      </c>
    </row>
    <row r="379" spans="1:11" x14ac:dyDescent="0.3">
      <c r="A379" s="248" t="s">
        <v>17</v>
      </c>
      <c r="B379" s="248" t="str">
        <f xml:space="preserve"> B354</f>
        <v>C_TBC_WR_PR19CA004_OFWAT</v>
      </c>
      <c r="C379" s="248" t="s">
        <v>215</v>
      </c>
      <c r="D379" s="68" t="s">
        <v>2</v>
      </c>
      <c r="E379" s="68" t="s">
        <v>57</v>
      </c>
      <c r="F379" s="68"/>
      <c r="G379" s="68"/>
      <c r="H379" s="68"/>
      <c r="I379" s="68"/>
      <c r="J379" s="68"/>
      <c r="K379" s="248">
        <f>'Final allowances'!$O$42</f>
        <v>74.963597718697059</v>
      </c>
    </row>
    <row r="380" spans="1:11" x14ac:dyDescent="0.3">
      <c r="A380" s="248" t="s">
        <v>17</v>
      </c>
      <c r="B380" s="248" t="str">
        <f xml:space="preserve"> B355</f>
        <v>C_TBC_WN_PR19CA004_OFWAT</v>
      </c>
      <c r="C380" s="248" t="s">
        <v>217</v>
      </c>
      <c r="D380" s="68" t="s">
        <v>2</v>
      </c>
      <c r="E380" s="68" t="s">
        <v>57</v>
      </c>
      <c r="F380" s="68"/>
      <c r="G380" s="68"/>
      <c r="H380" s="68"/>
      <c r="I380" s="68"/>
      <c r="J380" s="68"/>
      <c r="K380" s="248">
        <f>'Final allowances'!$P$42</f>
        <v>661.24349002987549</v>
      </c>
    </row>
    <row r="381" spans="1:11" x14ac:dyDescent="0.3">
      <c r="A381" s="248" t="s">
        <v>17</v>
      </c>
      <c r="B381" s="248" t="s">
        <v>317</v>
      </c>
      <c r="C381" s="248" t="s">
        <v>236</v>
      </c>
      <c r="D381" s="68" t="s">
        <v>2</v>
      </c>
      <c r="E381" s="68" t="s">
        <v>57</v>
      </c>
      <c r="F381" s="68"/>
      <c r="G381" s="68"/>
      <c r="H381" s="68"/>
      <c r="I381" s="68"/>
      <c r="J381" s="68"/>
      <c r="K381" s="248">
        <f>'Final allowances'!$L$42</f>
        <v>4.4311206029116121</v>
      </c>
    </row>
    <row r="382" spans="1:11" x14ac:dyDescent="0.3">
      <c r="A382" s="248" t="s">
        <v>17</v>
      </c>
      <c r="B382" s="248" t="s">
        <v>318</v>
      </c>
      <c r="C382" s="248" t="s">
        <v>237</v>
      </c>
      <c r="D382" s="68" t="s">
        <v>2</v>
      </c>
      <c r="E382" s="68" t="s">
        <v>57</v>
      </c>
      <c r="F382" s="68"/>
      <c r="G382" s="68"/>
      <c r="H382" s="68"/>
      <c r="I382" s="68"/>
      <c r="J382" s="68"/>
      <c r="K382" s="248">
        <f>'Final allowances'!$M$42</f>
        <v>77.182842733614052</v>
      </c>
    </row>
    <row r="383" spans="1:11" x14ac:dyDescent="0.3">
      <c r="A383" s="248" t="s">
        <v>17</v>
      </c>
      <c r="B383" s="248" t="s">
        <v>327</v>
      </c>
      <c r="C383" s="248" t="s">
        <v>329</v>
      </c>
      <c r="D383" s="68" t="s">
        <v>2</v>
      </c>
      <c r="E383" s="68" t="s">
        <v>57</v>
      </c>
      <c r="F383" s="68"/>
      <c r="G383" s="68"/>
      <c r="H383" s="68"/>
      <c r="I383" s="68"/>
      <c r="J383" s="68"/>
      <c r="K383" s="248">
        <f>'Final allowances'!$F$42</f>
        <v>13.984149781121596</v>
      </c>
    </row>
    <row r="384" spans="1:11" x14ac:dyDescent="0.3">
      <c r="A384" s="248" t="s">
        <v>17</v>
      </c>
      <c r="B384" s="248" t="s">
        <v>328</v>
      </c>
      <c r="C384" s="248" t="s">
        <v>330</v>
      </c>
      <c r="D384" s="68" t="s">
        <v>2</v>
      </c>
      <c r="E384" s="68" t="s">
        <v>57</v>
      </c>
      <c r="F384" s="68"/>
      <c r="G384" s="68"/>
      <c r="H384" s="68"/>
      <c r="I384" s="68"/>
      <c r="J384" s="68"/>
      <c r="K384" s="248">
        <f>'Final allowances'!$G$42</f>
        <v>0.6815362282799643</v>
      </c>
    </row>
    <row r="385" spans="1:11" x14ac:dyDescent="0.3">
      <c r="A385" s="248" t="s">
        <v>17</v>
      </c>
      <c r="B385" s="248" t="str">
        <f t="shared" ref="B385:B392" si="77" xml:space="preserve"> B360</f>
        <v>C_ENC_WR_PR19CA004_OFWAT</v>
      </c>
      <c r="C385" s="248" t="s">
        <v>226</v>
      </c>
      <c r="D385" s="68" t="s">
        <v>2</v>
      </c>
      <c r="E385" s="68" t="s">
        <v>57</v>
      </c>
      <c r="F385" s="68"/>
      <c r="G385" s="68"/>
      <c r="H385" s="68"/>
      <c r="I385" s="68"/>
      <c r="J385" s="68"/>
      <c r="K385" s="248">
        <f>'Final allowances'!$C$63</f>
        <v>40.761389469101729</v>
      </c>
    </row>
    <row r="386" spans="1:11" x14ac:dyDescent="0.3">
      <c r="A386" s="248" t="s">
        <v>17</v>
      </c>
      <c r="B386" s="248" t="str">
        <f t="shared" si="77"/>
        <v>C_ENC_WN_PR19CA004_OFWAT</v>
      </c>
      <c r="C386" s="248" t="s">
        <v>227</v>
      </c>
      <c r="D386" s="68" t="s">
        <v>2</v>
      </c>
      <c r="E386" s="68" t="s">
        <v>57</v>
      </c>
      <c r="F386" s="68"/>
      <c r="G386" s="68"/>
      <c r="H386" s="68"/>
      <c r="I386" s="68"/>
      <c r="J386" s="68"/>
      <c r="K386" s="248">
        <f>'Final allowances'!$D$63</f>
        <v>121.65898739139986</v>
      </c>
    </row>
    <row r="387" spans="1:11" x14ac:dyDescent="0.3">
      <c r="A387" s="248" t="s">
        <v>17</v>
      </c>
      <c r="B387" s="248" t="str">
        <f t="shared" si="77"/>
        <v>C_3PTYC_WR_PR19CA004_OFWAT</v>
      </c>
      <c r="C387" s="248" t="s">
        <v>228</v>
      </c>
      <c r="D387" s="68" t="s">
        <v>2</v>
      </c>
      <c r="E387" s="68" t="s">
        <v>57</v>
      </c>
      <c r="F387" s="68"/>
      <c r="G387" s="68"/>
      <c r="H387" s="68"/>
      <c r="I387" s="68"/>
      <c r="J387" s="68"/>
      <c r="K387" s="248">
        <f>'Final allowances'!$C$86</f>
        <v>0</v>
      </c>
    </row>
    <row r="388" spans="1:11" x14ac:dyDescent="0.3">
      <c r="A388" s="248" t="s">
        <v>17</v>
      </c>
      <c r="B388" s="248" t="str">
        <f t="shared" si="77"/>
        <v>C_3PTYC_WN_PR19CA004_OFWAT</v>
      </c>
      <c r="C388" s="248" t="s">
        <v>229</v>
      </c>
      <c r="D388" s="68" t="s">
        <v>2</v>
      </c>
      <c r="E388" s="68" t="s">
        <v>57</v>
      </c>
      <c r="F388" s="68"/>
      <c r="G388" s="68"/>
      <c r="H388" s="68"/>
      <c r="I388" s="68"/>
      <c r="J388" s="68"/>
      <c r="K388" s="248">
        <f>'Final allowances'!$D$86</f>
        <v>2.1565753509144563</v>
      </c>
    </row>
    <row r="389" spans="1:11" x14ac:dyDescent="0.3">
      <c r="A389" s="248" t="s">
        <v>17</v>
      </c>
      <c r="B389" s="248" t="str">
        <f t="shared" si="77"/>
        <v>C_CSH_WR_PR19CA004_OFWAT</v>
      </c>
      <c r="C389" s="248" t="s">
        <v>230</v>
      </c>
      <c r="D389" s="68" t="s">
        <v>2</v>
      </c>
      <c r="E389" s="68" t="s">
        <v>57</v>
      </c>
      <c r="F389" s="68"/>
      <c r="G389" s="68"/>
      <c r="H389" s="68"/>
      <c r="I389" s="68"/>
      <c r="J389" s="68"/>
      <c r="K389" s="248">
        <f>'Final allowances'!$F$86</f>
        <v>0</v>
      </c>
    </row>
    <row r="390" spans="1:11" x14ac:dyDescent="0.3">
      <c r="A390" s="248" t="s">
        <v>17</v>
      </c>
      <c r="B390" s="248" t="str">
        <f t="shared" si="77"/>
        <v>C_CSH_WN_PR19CA004_OFWAT</v>
      </c>
      <c r="C390" s="248" t="s">
        <v>231</v>
      </c>
      <c r="D390" s="68" t="s">
        <v>2</v>
      </c>
      <c r="E390" s="68" t="s">
        <v>57</v>
      </c>
      <c r="F390" s="68"/>
      <c r="G390" s="68"/>
      <c r="H390" s="68"/>
      <c r="I390" s="68"/>
      <c r="J390" s="68"/>
      <c r="K390" s="248">
        <f>'Final allowances'!$G$86</f>
        <v>0</v>
      </c>
    </row>
    <row r="391" spans="1:11" x14ac:dyDescent="0.3">
      <c r="A391" s="248" t="s">
        <v>17</v>
      </c>
      <c r="B391" s="248" t="str">
        <f t="shared" si="77"/>
        <v>C_SSDC_WR_PR19CA004_OFWAT</v>
      </c>
      <c r="C391" s="248" t="s">
        <v>232</v>
      </c>
      <c r="D391" s="68" t="s">
        <v>2</v>
      </c>
      <c r="E391" s="68" t="s">
        <v>57</v>
      </c>
      <c r="F391" s="68"/>
      <c r="G391" s="68"/>
      <c r="H391" s="68"/>
      <c r="I391" s="68"/>
      <c r="J391" s="68"/>
      <c r="K391" s="248">
        <f>'Final allowances'!$L$86</f>
        <v>0</v>
      </c>
    </row>
    <row r="392" spans="1:11" x14ac:dyDescent="0.3">
      <c r="A392" s="248" t="s">
        <v>17</v>
      </c>
      <c r="B392" s="248" t="str">
        <f t="shared" si="77"/>
        <v>C_SSDC_WN_PR19CA004_OFWAT</v>
      </c>
      <c r="C392" s="248" t="s">
        <v>233</v>
      </c>
      <c r="D392" s="68" t="s">
        <v>2</v>
      </c>
      <c r="E392" s="68" t="s">
        <v>57</v>
      </c>
      <c r="F392" s="68"/>
      <c r="G392" s="68"/>
      <c r="H392" s="68"/>
      <c r="I392" s="68"/>
      <c r="J392" s="68"/>
      <c r="K392" s="248">
        <f>'Final allowances'!$M$86</f>
        <v>0</v>
      </c>
    </row>
    <row r="393" spans="1:11" x14ac:dyDescent="0.3">
      <c r="A393" s="248" t="s">
        <v>17</v>
      </c>
      <c r="B393" s="248" t="s">
        <v>331</v>
      </c>
      <c r="C393" s="248" t="s">
        <v>332</v>
      </c>
      <c r="D393" s="68" t="s">
        <v>2</v>
      </c>
      <c r="E393" s="68" t="s">
        <v>57</v>
      </c>
      <c r="F393" s="68"/>
      <c r="G393" s="68"/>
      <c r="H393" s="68"/>
      <c r="I393" s="68"/>
      <c r="J393" s="68"/>
      <c r="K393" s="248">
        <f>'Final allowances'!$P$86</f>
        <v>0.43365176582270831</v>
      </c>
    </row>
    <row r="394" spans="1:11" x14ac:dyDescent="0.3">
      <c r="A394" s="248" t="s">
        <v>17</v>
      </c>
      <c r="B394" s="248" t="s">
        <v>333</v>
      </c>
      <c r="C394" s="248" t="s">
        <v>334</v>
      </c>
      <c r="D394" s="68" t="s">
        <v>2</v>
      </c>
      <c r="E394" s="68" t="s">
        <v>57</v>
      </c>
      <c r="F394" s="68"/>
      <c r="G394" s="68"/>
      <c r="H394" s="68"/>
      <c r="I394" s="68"/>
      <c r="J394" s="68"/>
      <c r="K394" s="248">
        <f>'Final allowances'!$O$86</f>
        <v>0</v>
      </c>
    </row>
    <row r="395" spans="1:11" x14ac:dyDescent="0.3">
      <c r="A395" s="248" t="s">
        <v>17</v>
      </c>
      <c r="B395" s="248" t="str">
        <f xml:space="preserve"> B370</f>
        <v xml:space="preserve">C_WRPDR_PR19CA004 </v>
      </c>
      <c r="C395" s="248" t="s">
        <v>109</v>
      </c>
      <c r="D395" s="68" t="s">
        <v>2</v>
      </c>
      <c r="E395" s="68" t="s">
        <v>57</v>
      </c>
      <c r="F395" s="68">
        <f xml:space="preserve"> INDEX( PDR!$D$5:$D$89, MATCH(F_Outputs!$A395 &amp; RIGHT( F_Outputs!F$2, 2),PDR!$A$5:$A$89, 0 ) )</f>
        <v>0.5265604309303582</v>
      </c>
      <c r="G395" s="68">
        <f xml:space="preserve"> INDEX( PDR!$D$5:$D$89, MATCH(F_Outputs!$A395 &amp; RIGHT( F_Outputs!G$2, 2),PDR!$A$5:$A$89, 0 ) )</f>
        <v>0.51209556105122467</v>
      </c>
      <c r="H395" s="68">
        <f xml:space="preserve"> INDEX( PDR!$D$5:$D$89, MATCH(F_Outputs!$A395 &amp; RIGHT( F_Outputs!H$2, 2),PDR!$A$5:$A$89, 0 ) )</f>
        <v>0.49797784804919071</v>
      </c>
      <c r="I395" s="68">
        <f xml:space="preserve"> INDEX( PDR!$D$5:$D$89, MATCH(F_Outputs!$A395 &amp; RIGHT( F_Outputs!I$2, 2),PDR!$A$5:$A$89, 0 ) )</f>
        <v>0.48419896015920533</v>
      </c>
      <c r="J395" s="68">
        <f xml:space="preserve"> INDEX( PDR!$D$5:$D$89, MATCH(F_Outputs!$A395 &amp; RIGHT( F_Outputs!J$2, 2),PDR!$A$5:$A$89, 0 ) )</f>
        <v>0.47075076557857959</v>
      </c>
      <c r="K395" s="248"/>
    </row>
    <row r="396" spans="1:11" x14ac:dyDescent="0.3">
      <c r="A396" s="248" t="s">
        <v>17</v>
      </c>
      <c r="B396" s="248" t="str">
        <f xml:space="preserve"> B371</f>
        <v>C_WNPDR_PR19CA004</v>
      </c>
      <c r="C396" s="248" t="s">
        <v>110</v>
      </c>
      <c r="D396" s="68" t="s">
        <v>2</v>
      </c>
      <c r="E396" s="68" t="s">
        <v>57</v>
      </c>
      <c r="F396" s="68">
        <f>INDEX(PDR!$E$5:$E$89,MATCH(F_Outputs!$A396&amp;RIGHT(F_Outputs!F$2,2),PDR!$A$5:$A$89,0))</f>
        <v>3.1786131819817531</v>
      </c>
      <c r="G396" s="68">
        <f>INDEX(PDR!$E$5:$E$89,MATCH(F_Outputs!$A396&amp;RIGHT(F_Outputs!G$2,2),PDR!$A$5:$A$89,0))</f>
        <v>3.0912951395070705</v>
      </c>
      <c r="H396" s="68">
        <f>INDEX(PDR!$E$5:$E$89,MATCH(F_Outputs!$A396&amp;RIGHT(F_Outputs!H$2,2),PDR!$A$5:$A$89,0))</f>
        <v>3.0060727300517813</v>
      </c>
      <c r="I396" s="68">
        <f>INDEX(PDR!$E$5:$E$89,MATCH(F_Outputs!$A396&amp;RIGHT(F_Outputs!I$2,2),PDR!$A$5:$A$89,0))</f>
        <v>2.9228956584234176</v>
      </c>
      <c r="J396" s="68">
        <f>INDEX(PDR!$E$5:$E$89,MATCH(F_Outputs!$A396&amp;RIGHT(F_Outputs!J$2,2),PDR!$A$5:$A$89,0))</f>
        <v>2.8417148365141349</v>
      </c>
      <c r="K396" s="248"/>
    </row>
    <row r="397" spans="1:11" x14ac:dyDescent="0.3">
      <c r="A397" s="248" t="s">
        <v>17</v>
      </c>
      <c r="B397" s="248" t="s">
        <v>193</v>
      </c>
      <c r="C397" s="248" t="s">
        <v>195</v>
      </c>
      <c r="D397" s="68" t="s">
        <v>2</v>
      </c>
      <c r="E397" s="68" t="s">
        <v>57</v>
      </c>
      <c r="F397" s="249">
        <f>K397/5</f>
        <v>23.144997437559759</v>
      </c>
      <c r="G397" s="249">
        <f t="shared" ref="G397:J399" si="78">F397</f>
        <v>23.144997437559759</v>
      </c>
      <c r="H397" s="249">
        <f t="shared" si="78"/>
        <v>23.144997437559759</v>
      </c>
      <c r="I397" s="249">
        <f t="shared" si="78"/>
        <v>23.144997437559759</v>
      </c>
      <c r="J397" s="249">
        <f t="shared" si="78"/>
        <v>23.144997437559759</v>
      </c>
      <c r="K397" s="248">
        <f>INDEX('Final allowances'!$G$6:$G$22,MATCH(F_Outputs!A397,'Final allowances'!$B$6:$B$22,0))</f>
        <v>115.72498718779879</v>
      </c>
    </row>
    <row r="398" spans="1:11" x14ac:dyDescent="0.3">
      <c r="A398" s="248" t="s">
        <v>17</v>
      </c>
      <c r="B398" s="248" t="s">
        <v>194</v>
      </c>
      <c r="C398" s="248" t="s">
        <v>196</v>
      </c>
      <c r="D398" s="68" t="s">
        <v>2</v>
      </c>
      <c r="E398" s="68" t="s">
        <v>57</v>
      </c>
      <c r="F398" s="249">
        <f>K398/5</f>
        <v>156.58049548425507</v>
      </c>
      <c r="G398" s="249">
        <f t="shared" si="78"/>
        <v>156.58049548425507</v>
      </c>
      <c r="H398" s="249">
        <f t="shared" si="78"/>
        <v>156.58049548425507</v>
      </c>
      <c r="I398" s="249">
        <f t="shared" si="78"/>
        <v>156.58049548425507</v>
      </c>
      <c r="J398" s="249">
        <f t="shared" si="78"/>
        <v>156.58049548425507</v>
      </c>
      <c r="K398" s="248">
        <f>INDEX('Final allowances'!$H$6:$H$22,MATCH(F_Outputs!A398,'Final allowances'!$B$6:$B$22,0))</f>
        <v>782.90247742127531</v>
      </c>
    </row>
    <row r="399" spans="1:11" x14ac:dyDescent="0.3">
      <c r="A399" s="248" t="s">
        <v>17</v>
      </c>
      <c r="B399" s="248" t="s">
        <v>319</v>
      </c>
      <c r="C399" s="248" t="s">
        <v>320</v>
      </c>
      <c r="D399" s="68" t="s">
        <v>2</v>
      </c>
      <c r="E399" s="68" t="s">
        <v>57</v>
      </c>
      <c r="F399" s="249">
        <f>K399/5</f>
        <v>0</v>
      </c>
      <c r="G399" s="249">
        <f t="shared" si="78"/>
        <v>0</v>
      </c>
      <c r="H399" s="249">
        <f t="shared" si="78"/>
        <v>0</v>
      </c>
      <c r="I399" s="249">
        <f t="shared" si="78"/>
        <v>0</v>
      </c>
      <c r="J399" s="249">
        <f t="shared" si="78"/>
        <v>0</v>
      </c>
      <c r="K399" s="248">
        <f>INDEX('Final allowances'!$E$6:$E$22,MATCH(F_Outputs!A399,'Final allowances'!$B$6:$B$22,0))</f>
        <v>0</v>
      </c>
    </row>
    <row r="400" spans="1:11" x14ac:dyDescent="0.3">
      <c r="A400" s="248" t="s">
        <v>17</v>
      </c>
      <c r="B400" s="248" t="s">
        <v>197</v>
      </c>
      <c r="C400" s="248" t="s">
        <v>199</v>
      </c>
      <c r="D400" s="68" t="s">
        <v>2</v>
      </c>
      <c r="E400" s="68" t="s">
        <v>57</v>
      </c>
      <c r="F400" s="68">
        <f>K400/5</f>
        <v>0</v>
      </c>
      <c r="G400" s="68">
        <f>F400</f>
        <v>0</v>
      </c>
      <c r="H400" s="68">
        <f t="shared" ref="H400:J400" si="79">G400</f>
        <v>0</v>
      </c>
      <c r="I400" s="68">
        <f t="shared" si="79"/>
        <v>0</v>
      </c>
      <c r="J400" s="68">
        <f t="shared" si="79"/>
        <v>0</v>
      </c>
      <c r="K400" s="248">
        <f>K387+K389+K391+K394</f>
        <v>0</v>
      </c>
    </row>
    <row r="401" spans="1:11" x14ac:dyDescent="0.3">
      <c r="A401" s="248" t="s">
        <v>17</v>
      </c>
      <c r="B401" s="248" t="s">
        <v>198</v>
      </c>
      <c r="C401" s="248" t="s">
        <v>200</v>
      </c>
      <c r="D401" s="68" t="s">
        <v>2</v>
      </c>
      <c r="E401" s="68" t="s">
        <v>57</v>
      </c>
      <c r="F401" s="68">
        <f>K401/5</f>
        <v>0.51804542334743287</v>
      </c>
      <c r="G401" s="68">
        <f>F401</f>
        <v>0.51804542334743287</v>
      </c>
      <c r="H401" s="68">
        <f t="shared" ref="H401:J401" si="80">G401</f>
        <v>0.51804542334743287</v>
      </c>
      <c r="I401" s="68">
        <f t="shared" si="80"/>
        <v>0.51804542334743287</v>
      </c>
      <c r="J401" s="68">
        <f t="shared" si="80"/>
        <v>0.51804542334743287</v>
      </c>
      <c r="K401" s="248">
        <f>K388+K390+K392+K393</f>
        <v>2.5902271167371644</v>
      </c>
    </row>
    <row r="402" spans="1:11" ht="14.5" x14ac:dyDescent="0.3">
      <c r="A402" s="248" t="s">
        <v>17</v>
      </c>
      <c r="B402" s="68" t="s">
        <v>113</v>
      </c>
      <c r="C402" s="68" t="s">
        <v>98</v>
      </c>
      <c r="D402" s="68" t="s">
        <v>62</v>
      </c>
      <c r="E402" s="68" t="s">
        <v>57</v>
      </c>
      <c r="F402" s="250" t="str">
        <f ca="1">CONCATENATE("[…]", TEXT(NOW(),"dd/mm/yyy hh:mm:ss"))</f>
        <v>[…]11/12/2019 16:31:19</v>
      </c>
      <c r="G402" s="250" t="str">
        <f t="shared" ref="G402:K402" ca="1" si="81">CONCATENATE("[…]", TEXT(NOW(),"dd/mm/yyy hh:mm:ss"))</f>
        <v>[…]11/12/2019 16:31:19</v>
      </c>
      <c r="H402" s="250" t="str">
        <f t="shared" ca="1" si="81"/>
        <v>[…]11/12/2019 16:31:19</v>
      </c>
      <c r="I402" s="250" t="str">
        <f t="shared" ca="1" si="81"/>
        <v>[…]11/12/2019 16:31:19</v>
      </c>
      <c r="J402" s="250" t="str">
        <f t="shared" ca="1" si="81"/>
        <v>[…]11/12/2019 16:31:19</v>
      </c>
      <c r="K402" s="250" t="str">
        <f t="shared" ca="1" si="81"/>
        <v>[…]11/12/2019 16:31:19</v>
      </c>
    </row>
    <row r="403" spans="1:11" x14ac:dyDescent="0.3">
      <c r="A403" s="248" t="s">
        <v>17</v>
      </c>
      <c r="B403" s="68" t="s">
        <v>114</v>
      </c>
      <c r="C403" s="68" t="s">
        <v>99</v>
      </c>
      <c r="D403" s="68" t="s">
        <v>62</v>
      </c>
      <c r="E403" s="68" t="s">
        <v>57</v>
      </c>
      <c r="F403" s="251" t="s">
        <v>316</v>
      </c>
      <c r="G403" s="251" t="s">
        <v>316</v>
      </c>
      <c r="H403" s="251" t="s">
        <v>316</v>
      </c>
      <c r="I403" s="251" t="s">
        <v>316</v>
      </c>
      <c r="J403" s="251" t="s">
        <v>316</v>
      </c>
      <c r="K403" s="251" t="s">
        <v>316</v>
      </c>
    </row>
    <row r="404" spans="1:11" x14ac:dyDescent="0.3">
      <c r="A404" s="248" t="s">
        <v>18</v>
      </c>
      <c r="B404" s="248" t="str">
        <f xml:space="preserve"> B379</f>
        <v>C_TBC_WR_PR19CA004_OFWAT</v>
      </c>
      <c r="C404" s="248" t="s">
        <v>215</v>
      </c>
      <c r="D404" s="68" t="s">
        <v>2</v>
      </c>
      <c r="E404" s="68" t="s">
        <v>57</v>
      </c>
      <c r="F404" s="68"/>
      <c r="G404" s="68"/>
      <c r="H404" s="68"/>
      <c r="I404" s="68"/>
      <c r="J404" s="68"/>
      <c r="K404" s="248">
        <f>'Final allowances'!$O$43</f>
        <v>41.68460692038461</v>
      </c>
    </row>
    <row r="405" spans="1:11" x14ac:dyDescent="0.3">
      <c r="A405" s="248" t="s">
        <v>18</v>
      </c>
      <c r="B405" s="248" t="str">
        <f xml:space="preserve"> B380</f>
        <v>C_TBC_WN_PR19CA004_OFWAT</v>
      </c>
      <c r="C405" s="248" t="s">
        <v>217</v>
      </c>
      <c r="D405" s="68" t="s">
        <v>2</v>
      </c>
      <c r="E405" s="68" t="s">
        <v>57</v>
      </c>
      <c r="F405" s="68"/>
      <c r="G405" s="68"/>
      <c r="H405" s="68"/>
      <c r="I405" s="68"/>
      <c r="J405" s="68"/>
      <c r="K405" s="248">
        <f>'Final allowances'!$P$43</f>
        <v>400.1097236353009</v>
      </c>
    </row>
    <row r="406" spans="1:11" x14ac:dyDescent="0.3">
      <c r="A406" s="248" t="s">
        <v>18</v>
      </c>
      <c r="B406" s="248" t="s">
        <v>317</v>
      </c>
      <c r="C406" s="248" t="s">
        <v>236</v>
      </c>
      <c r="D406" s="68" t="s">
        <v>2</v>
      </c>
      <c r="E406" s="68" t="s">
        <v>57</v>
      </c>
      <c r="F406" s="68"/>
      <c r="G406" s="68"/>
      <c r="H406" s="68"/>
      <c r="I406" s="68"/>
      <c r="J406" s="68"/>
      <c r="K406" s="248">
        <f>'Final allowances'!$L$43</f>
        <v>0.73234999090897113</v>
      </c>
    </row>
    <row r="407" spans="1:11" x14ac:dyDescent="0.3">
      <c r="A407" s="248" t="s">
        <v>18</v>
      </c>
      <c r="B407" s="248" t="s">
        <v>318</v>
      </c>
      <c r="C407" s="248" t="s">
        <v>237</v>
      </c>
      <c r="D407" s="68" t="s">
        <v>2</v>
      </c>
      <c r="E407" s="68" t="s">
        <v>57</v>
      </c>
      <c r="F407" s="68"/>
      <c r="G407" s="68"/>
      <c r="H407" s="68"/>
      <c r="I407" s="68"/>
      <c r="J407" s="68"/>
      <c r="K407" s="248">
        <f>'Final allowances'!$M$43</f>
        <v>24.040591719874783</v>
      </c>
    </row>
    <row r="408" spans="1:11" x14ac:dyDescent="0.3">
      <c r="A408" s="248" t="s">
        <v>18</v>
      </c>
      <c r="B408" s="248" t="s">
        <v>327</v>
      </c>
      <c r="C408" s="248" t="s">
        <v>329</v>
      </c>
      <c r="D408" s="68" t="s">
        <v>2</v>
      </c>
      <c r="E408" s="68" t="s">
        <v>57</v>
      </c>
      <c r="F408" s="68"/>
      <c r="G408" s="68"/>
      <c r="H408" s="68"/>
      <c r="I408" s="68"/>
      <c r="J408" s="68"/>
      <c r="K408" s="248">
        <f>'Final allowances'!$F$43</f>
        <v>15.224441083015877</v>
      </c>
    </row>
    <row r="409" spans="1:11" x14ac:dyDescent="0.3">
      <c r="A409" s="248" t="s">
        <v>18</v>
      </c>
      <c r="B409" s="248" t="s">
        <v>328</v>
      </c>
      <c r="C409" s="248" t="s">
        <v>330</v>
      </c>
      <c r="D409" s="68" t="s">
        <v>2</v>
      </c>
      <c r="E409" s="68" t="s">
        <v>57</v>
      </c>
      <c r="F409" s="68"/>
      <c r="G409" s="68"/>
      <c r="H409" s="68"/>
      <c r="I409" s="68"/>
      <c r="J409" s="68"/>
      <c r="K409" s="248">
        <f>'Final allowances'!$G$43</f>
        <v>0.51034760066049789</v>
      </c>
    </row>
    <row r="410" spans="1:11" x14ac:dyDescent="0.3">
      <c r="A410" s="248" t="s">
        <v>18</v>
      </c>
      <c r="B410" s="248" t="str">
        <f t="shared" ref="B410:B417" si="82" xml:space="preserve"> B385</f>
        <v>C_ENC_WR_PR19CA004_OFWAT</v>
      </c>
      <c r="C410" s="248" t="s">
        <v>226</v>
      </c>
      <c r="D410" s="68" t="s">
        <v>2</v>
      </c>
      <c r="E410" s="68" t="s">
        <v>57</v>
      </c>
      <c r="F410" s="68"/>
      <c r="G410" s="68"/>
      <c r="H410" s="68"/>
      <c r="I410" s="68"/>
      <c r="J410" s="68"/>
      <c r="K410" s="248">
        <f>'Final allowances'!$C$64</f>
        <v>11.111907038171948</v>
      </c>
    </row>
    <row r="411" spans="1:11" x14ac:dyDescent="0.3">
      <c r="A411" s="248" t="s">
        <v>18</v>
      </c>
      <c r="B411" s="248" t="str">
        <f t="shared" si="82"/>
        <v>C_ENC_WN_PR19CA004_OFWAT</v>
      </c>
      <c r="C411" s="248" t="s">
        <v>227</v>
      </c>
      <c r="D411" s="68" t="s">
        <v>2</v>
      </c>
      <c r="E411" s="68" t="s">
        <v>57</v>
      </c>
      <c r="F411" s="68"/>
      <c r="G411" s="68"/>
      <c r="H411" s="68"/>
      <c r="I411" s="68"/>
      <c r="J411" s="68"/>
      <c r="K411" s="248">
        <f>'Final allowances'!$D$64</f>
        <v>100.49952686331901</v>
      </c>
    </row>
    <row r="412" spans="1:11" x14ac:dyDescent="0.3">
      <c r="A412" s="248" t="s">
        <v>18</v>
      </c>
      <c r="B412" s="248" t="str">
        <f t="shared" si="82"/>
        <v>C_3PTYC_WR_PR19CA004_OFWAT</v>
      </c>
      <c r="C412" s="248" t="s">
        <v>228</v>
      </c>
      <c r="D412" s="68" t="s">
        <v>2</v>
      </c>
      <c r="E412" s="68" t="s">
        <v>57</v>
      </c>
      <c r="F412" s="68"/>
      <c r="G412" s="68"/>
      <c r="H412" s="68"/>
      <c r="I412" s="68"/>
      <c r="J412" s="68"/>
      <c r="K412" s="248">
        <f>'Final allowances'!$C$87</f>
        <v>3.0528294955097606E-2</v>
      </c>
    </row>
    <row r="413" spans="1:11" x14ac:dyDescent="0.3">
      <c r="A413" s="248" t="s">
        <v>18</v>
      </c>
      <c r="B413" s="248" t="str">
        <f t="shared" si="82"/>
        <v>C_3PTYC_WN_PR19CA004_OFWAT</v>
      </c>
      <c r="C413" s="248" t="s">
        <v>229</v>
      </c>
      <c r="D413" s="68" t="s">
        <v>2</v>
      </c>
      <c r="E413" s="68" t="s">
        <v>57</v>
      </c>
      <c r="F413" s="68"/>
      <c r="G413" s="68"/>
      <c r="H413" s="68"/>
      <c r="I413" s="68"/>
      <c r="J413" s="68"/>
      <c r="K413" s="248">
        <f>'Final allowances'!$D$87</f>
        <v>6.8018941460117617</v>
      </c>
    </row>
    <row r="414" spans="1:11" x14ac:dyDescent="0.3">
      <c r="A414" s="248" t="s">
        <v>18</v>
      </c>
      <c r="B414" s="248" t="str">
        <f t="shared" si="82"/>
        <v>C_CSH_WR_PR19CA004_OFWAT</v>
      </c>
      <c r="C414" s="248" t="s">
        <v>230</v>
      </c>
      <c r="D414" s="68" t="s">
        <v>2</v>
      </c>
      <c r="E414" s="68" t="s">
        <v>57</v>
      </c>
      <c r="F414" s="68"/>
      <c r="G414" s="68"/>
      <c r="H414" s="68"/>
      <c r="I414" s="68"/>
      <c r="J414" s="68"/>
      <c r="K414" s="248">
        <f>'Final allowances'!$F$87</f>
        <v>0</v>
      </c>
    </row>
    <row r="415" spans="1:11" x14ac:dyDescent="0.3">
      <c r="A415" s="248" t="s">
        <v>18</v>
      </c>
      <c r="B415" s="248" t="str">
        <f t="shared" si="82"/>
        <v>C_CSH_WN_PR19CA004_OFWAT</v>
      </c>
      <c r="C415" s="248" t="s">
        <v>231</v>
      </c>
      <c r="D415" s="68" t="s">
        <v>2</v>
      </c>
      <c r="E415" s="68" t="s">
        <v>57</v>
      </c>
      <c r="F415" s="68"/>
      <c r="G415" s="68"/>
      <c r="H415" s="68"/>
      <c r="I415" s="68"/>
      <c r="J415" s="68"/>
      <c r="K415" s="248">
        <f>'Final allowances'!$G$87</f>
        <v>0</v>
      </c>
    </row>
    <row r="416" spans="1:11" x14ac:dyDescent="0.3">
      <c r="A416" s="248" t="s">
        <v>18</v>
      </c>
      <c r="B416" s="248" t="str">
        <f t="shared" si="82"/>
        <v>C_SSDC_WR_PR19CA004_OFWAT</v>
      </c>
      <c r="C416" s="248" t="s">
        <v>232</v>
      </c>
      <c r="D416" s="68" t="s">
        <v>2</v>
      </c>
      <c r="E416" s="68" t="s">
        <v>57</v>
      </c>
      <c r="F416" s="68"/>
      <c r="G416" s="68"/>
      <c r="H416" s="68"/>
      <c r="I416" s="68"/>
      <c r="J416" s="68"/>
      <c r="K416" s="248">
        <f>'Final allowances'!$L$87</f>
        <v>0</v>
      </c>
    </row>
    <row r="417" spans="1:11" x14ac:dyDescent="0.3">
      <c r="A417" s="248" t="s">
        <v>18</v>
      </c>
      <c r="B417" s="248" t="str">
        <f t="shared" si="82"/>
        <v>C_SSDC_WN_PR19CA004_OFWAT</v>
      </c>
      <c r="C417" s="248" t="s">
        <v>233</v>
      </c>
      <c r="D417" s="68" t="s">
        <v>2</v>
      </c>
      <c r="E417" s="68" t="s">
        <v>57</v>
      </c>
      <c r="F417" s="68"/>
      <c r="G417" s="68"/>
      <c r="H417" s="68"/>
      <c r="I417" s="68"/>
      <c r="J417" s="68"/>
      <c r="K417" s="248">
        <f>'Final allowances'!$M$87</f>
        <v>0</v>
      </c>
    </row>
    <row r="418" spans="1:11" x14ac:dyDescent="0.3">
      <c r="A418" s="248" t="s">
        <v>18</v>
      </c>
      <c r="B418" s="248" t="s">
        <v>331</v>
      </c>
      <c r="C418" s="248" t="s">
        <v>332</v>
      </c>
      <c r="D418" s="68" t="s">
        <v>2</v>
      </c>
      <c r="E418" s="68" t="s">
        <v>57</v>
      </c>
      <c r="F418" s="68"/>
      <c r="G418" s="68"/>
      <c r="H418" s="68"/>
      <c r="I418" s="68"/>
      <c r="J418" s="68"/>
      <c r="K418" s="248">
        <f>'Final allowances'!$P$87</f>
        <v>2.555588097502671</v>
      </c>
    </row>
    <row r="419" spans="1:11" x14ac:dyDescent="0.3">
      <c r="A419" s="248" t="s">
        <v>18</v>
      </c>
      <c r="B419" s="248" t="s">
        <v>333</v>
      </c>
      <c r="C419" s="248" t="s">
        <v>334</v>
      </c>
      <c r="D419" s="68" t="s">
        <v>2</v>
      </c>
      <c r="E419" s="68" t="s">
        <v>57</v>
      </c>
      <c r="F419" s="68"/>
      <c r="G419" s="68"/>
      <c r="H419" s="68"/>
      <c r="I419" s="68"/>
      <c r="J419" s="68"/>
      <c r="K419" s="248">
        <f>'Final allowances'!$O$87</f>
        <v>0</v>
      </c>
    </row>
    <row r="420" spans="1:11" x14ac:dyDescent="0.3">
      <c r="A420" s="248" t="s">
        <v>18</v>
      </c>
      <c r="B420" s="248" t="str">
        <f xml:space="preserve"> B395</f>
        <v xml:space="preserve">C_WRPDR_PR19CA004 </v>
      </c>
      <c r="C420" s="248" t="s">
        <v>109</v>
      </c>
      <c r="D420" s="68" t="s">
        <v>2</v>
      </c>
      <c r="E420" s="68" t="s">
        <v>57</v>
      </c>
      <c r="F420" s="68">
        <f xml:space="preserve"> INDEX( PDR!$D$5:$D$89, MATCH(F_Outputs!$A420 &amp; RIGHT( F_Outputs!F$2, 2),PDR!$A$5:$A$89, 0 ) )</f>
        <v>0.16534680258318898</v>
      </c>
      <c r="G420" s="68">
        <f xml:space="preserve"> INDEX( PDR!$D$5:$D$89, MATCH(F_Outputs!$A420 &amp; RIGHT( F_Outputs!G$2, 2),PDR!$A$5:$A$89, 0 ) )</f>
        <v>0.16534680258318898</v>
      </c>
      <c r="H420" s="68">
        <f xml:space="preserve"> INDEX( PDR!$D$5:$D$89, MATCH(F_Outputs!$A420 &amp; RIGHT( F_Outputs!H$2, 2),PDR!$A$5:$A$89, 0 ) )</f>
        <v>0.16534680258318898</v>
      </c>
      <c r="I420" s="68">
        <f xml:space="preserve"> INDEX( PDR!$D$5:$D$89, MATCH(F_Outputs!$A420 &amp; RIGHT( F_Outputs!I$2, 2),PDR!$A$5:$A$89, 0 ) )</f>
        <v>0.16534680258318898</v>
      </c>
      <c r="J420" s="68">
        <f xml:space="preserve"> INDEX( PDR!$D$5:$D$89, MATCH(F_Outputs!$A420 &amp; RIGHT( F_Outputs!J$2, 2),PDR!$A$5:$A$89, 0 ) )</f>
        <v>0.16534680258318898</v>
      </c>
      <c r="K420" s="248"/>
    </row>
    <row r="421" spans="1:11" x14ac:dyDescent="0.3">
      <c r="A421" s="248" t="s">
        <v>18</v>
      </c>
      <c r="B421" s="248" t="str">
        <f xml:space="preserve"> B396</f>
        <v>C_WNPDR_PR19CA004</v>
      </c>
      <c r="C421" s="248" t="s">
        <v>110</v>
      </c>
      <c r="D421" s="68" t="s">
        <v>2</v>
      </c>
      <c r="E421" s="68" t="s">
        <v>57</v>
      </c>
      <c r="F421" s="68">
        <f>INDEX(PDR!$E$5:$E$89,MATCH(F_Outputs!$A421&amp;RIGHT(F_Outputs!F$2,2),PDR!$A$5:$A$89,0))</f>
        <v>1.7730682335620513</v>
      </c>
      <c r="G421" s="68">
        <f>INDEX(PDR!$E$5:$E$89,MATCH(F_Outputs!$A421&amp;RIGHT(F_Outputs!G$2,2),PDR!$A$5:$A$89,0))</f>
        <v>1.7730682335620513</v>
      </c>
      <c r="H421" s="68">
        <f>INDEX(PDR!$E$5:$E$89,MATCH(F_Outputs!$A421&amp;RIGHT(F_Outputs!H$2,2),PDR!$A$5:$A$89,0))</f>
        <v>1.7730682335620513</v>
      </c>
      <c r="I421" s="68">
        <f>INDEX(PDR!$E$5:$E$89,MATCH(F_Outputs!$A421&amp;RIGHT(F_Outputs!I$2,2),PDR!$A$5:$A$89,0))</f>
        <v>1.7730682335620513</v>
      </c>
      <c r="J421" s="68">
        <f>INDEX(PDR!$E$5:$E$89,MATCH(F_Outputs!$A421&amp;RIGHT(F_Outputs!J$2,2),PDR!$A$5:$A$89,0))</f>
        <v>1.7730682335620511</v>
      </c>
      <c r="K421" s="248"/>
    </row>
    <row r="422" spans="1:11" x14ac:dyDescent="0.3">
      <c r="A422" s="248" t="s">
        <v>18</v>
      </c>
      <c r="B422" s="248" t="s">
        <v>193</v>
      </c>
      <c r="C422" s="248" t="s">
        <v>195</v>
      </c>
      <c r="D422" s="68" t="s">
        <v>2</v>
      </c>
      <c r="E422" s="68" t="s">
        <v>57</v>
      </c>
      <c r="F422" s="249">
        <f>K422/5</f>
        <v>10.559302791711312</v>
      </c>
      <c r="G422" s="249">
        <f t="shared" ref="G422:J424" si="83">F422</f>
        <v>10.559302791711312</v>
      </c>
      <c r="H422" s="249">
        <f t="shared" si="83"/>
        <v>10.559302791711312</v>
      </c>
      <c r="I422" s="249">
        <f t="shared" si="83"/>
        <v>10.559302791711312</v>
      </c>
      <c r="J422" s="249">
        <f t="shared" si="83"/>
        <v>10.559302791711312</v>
      </c>
      <c r="K422" s="248">
        <f>INDEX('Final allowances'!$G$6:$G$22,MATCH(F_Outputs!A422,'Final allowances'!$B$6:$B$22,0))</f>
        <v>52.796513958556559</v>
      </c>
    </row>
    <row r="423" spans="1:11" x14ac:dyDescent="0.3">
      <c r="A423" s="248" t="s">
        <v>18</v>
      </c>
      <c r="B423" s="248" t="s">
        <v>194</v>
      </c>
      <c r="C423" s="248" t="s">
        <v>196</v>
      </c>
      <c r="D423" s="68" t="s">
        <v>2</v>
      </c>
      <c r="E423" s="68" t="s">
        <v>57</v>
      </c>
      <c r="F423" s="249">
        <f>K423/5</f>
        <v>100.12185009972399</v>
      </c>
      <c r="G423" s="249">
        <f t="shared" si="83"/>
        <v>100.12185009972399</v>
      </c>
      <c r="H423" s="249">
        <f t="shared" si="83"/>
        <v>100.12185009972399</v>
      </c>
      <c r="I423" s="249">
        <f t="shared" si="83"/>
        <v>100.12185009972399</v>
      </c>
      <c r="J423" s="249">
        <f t="shared" si="83"/>
        <v>100.12185009972399</v>
      </c>
      <c r="K423" s="248">
        <f>INDEX('Final allowances'!$H$6:$H$22,MATCH(F_Outputs!A423,'Final allowances'!$B$6:$B$22,0))</f>
        <v>500.60925049861993</v>
      </c>
    </row>
    <row r="424" spans="1:11" x14ac:dyDescent="0.3">
      <c r="A424" s="248" t="s">
        <v>18</v>
      </c>
      <c r="B424" s="248" t="s">
        <v>319</v>
      </c>
      <c r="C424" s="248" t="s">
        <v>320</v>
      </c>
      <c r="D424" s="68" t="s">
        <v>2</v>
      </c>
      <c r="E424" s="68" t="s">
        <v>57</v>
      </c>
      <c r="F424" s="249">
        <f>K424/5</f>
        <v>0</v>
      </c>
      <c r="G424" s="249">
        <f t="shared" si="83"/>
        <v>0</v>
      </c>
      <c r="H424" s="249">
        <f t="shared" si="83"/>
        <v>0</v>
      </c>
      <c r="I424" s="249">
        <f t="shared" si="83"/>
        <v>0</v>
      </c>
      <c r="J424" s="249">
        <f t="shared" si="83"/>
        <v>0</v>
      </c>
      <c r="K424" s="248">
        <f>INDEX('Final allowances'!$E$6:$E$22,MATCH(F_Outputs!A424,'Final allowances'!$B$6:$B$22,0))</f>
        <v>0</v>
      </c>
    </row>
    <row r="425" spans="1:11" x14ac:dyDescent="0.3">
      <c r="A425" s="248" t="s">
        <v>18</v>
      </c>
      <c r="B425" s="248" t="s">
        <v>197</v>
      </c>
      <c r="C425" s="248" t="s">
        <v>199</v>
      </c>
      <c r="D425" s="68" t="s">
        <v>2</v>
      </c>
      <c r="E425" s="68" t="s">
        <v>57</v>
      </c>
      <c r="F425" s="68">
        <f>K425/5</f>
        <v>6.1056589910195216E-3</v>
      </c>
      <c r="G425" s="68">
        <f>F425</f>
        <v>6.1056589910195216E-3</v>
      </c>
      <c r="H425" s="68">
        <f t="shared" ref="H425:J425" si="84">G425</f>
        <v>6.1056589910195216E-3</v>
      </c>
      <c r="I425" s="68">
        <f t="shared" si="84"/>
        <v>6.1056589910195216E-3</v>
      </c>
      <c r="J425" s="68">
        <f t="shared" si="84"/>
        <v>6.1056589910195216E-3</v>
      </c>
      <c r="K425" s="248">
        <f>K412+K414+K416+K419</f>
        <v>3.0528294955097606E-2</v>
      </c>
    </row>
    <row r="426" spans="1:11" x14ac:dyDescent="0.3">
      <c r="A426" s="248" t="s">
        <v>18</v>
      </c>
      <c r="B426" s="248" t="s">
        <v>198</v>
      </c>
      <c r="C426" s="248" t="s">
        <v>200</v>
      </c>
      <c r="D426" s="68" t="s">
        <v>2</v>
      </c>
      <c r="E426" s="68" t="s">
        <v>57</v>
      </c>
      <c r="F426" s="68">
        <f>K426/5</f>
        <v>1.8714964487028865</v>
      </c>
      <c r="G426" s="68">
        <f>F426</f>
        <v>1.8714964487028865</v>
      </c>
      <c r="H426" s="68">
        <f t="shared" ref="H426:J426" si="85">G426</f>
        <v>1.8714964487028865</v>
      </c>
      <c r="I426" s="68">
        <f t="shared" si="85"/>
        <v>1.8714964487028865</v>
      </c>
      <c r="J426" s="68">
        <f t="shared" si="85"/>
        <v>1.8714964487028865</v>
      </c>
      <c r="K426" s="248">
        <f>K413+K415+K417+K418</f>
        <v>9.3574822435144327</v>
      </c>
    </row>
    <row r="427" spans="1:11" ht="14.5" x14ac:dyDescent="0.3">
      <c r="A427" s="248" t="s">
        <v>18</v>
      </c>
      <c r="B427" s="68" t="s">
        <v>113</v>
      </c>
      <c r="C427" s="68" t="s">
        <v>98</v>
      </c>
      <c r="D427" s="68" t="s">
        <v>62</v>
      </c>
      <c r="E427" s="68" t="s">
        <v>57</v>
      </c>
      <c r="F427" s="250" t="str">
        <f ca="1">CONCATENATE("[…]", TEXT(NOW(),"dd/mm/yyy hh:mm:ss"))</f>
        <v>[…]11/12/2019 16:31:19</v>
      </c>
      <c r="G427" s="250" t="str">
        <f t="shared" ref="G427:K427" ca="1" si="86">CONCATENATE("[…]", TEXT(NOW(),"dd/mm/yyy hh:mm:ss"))</f>
        <v>[…]11/12/2019 16:31:19</v>
      </c>
      <c r="H427" s="250" t="str">
        <f t="shared" ca="1" si="86"/>
        <v>[…]11/12/2019 16:31:19</v>
      </c>
      <c r="I427" s="250" t="str">
        <f t="shared" ca="1" si="86"/>
        <v>[…]11/12/2019 16:31:19</v>
      </c>
      <c r="J427" s="250" t="str">
        <f t="shared" ca="1" si="86"/>
        <v>[…]11/12/2019 16:31:19</v>
      </c>
      <c r="K427" s="250" t="str">
        <f t="shared" ca="1" si="86"/>
        <v>[…]11/12/2019 16:31:19</v>
      </c>
    </row>
    <row r="428" spans="1:11" x14ac:dyDescent="0.3">
      <c r="A428" s="248" t="s">
        <v>18</v>
      </c>
      <c r="B428" s="68" t="s">
        <v>114</v>
      </c>
      <c r="C428" s="68" t="s">
        <v>99</v>
      </c>
      <c r="D428" s="68" t="s">
        <v>62</v>
      </c>
      <c r="E428" s="68" t="s">
        <v>57</v>
      </c>
      <c r="F428" s="251" t="s">
        <v>316</v>
      </c>
      <c r="G428" s="251" t="s">
        <v>316</v>
      </c>
      <c r="H428" s="251" t="s">
        <v>316</v>
      </c>
      <c r="I428" s="251" t="s">
        <v>316</v>
      </c>
      <c r="J428" s="251" t="s">
        <v>316</v>
      </c>
      <c r="K428" s="251" t="s">
        <v>316</v>
      </c>
    </row>
  </sheetData>
  <sheetProtection sort="0"/>
  <conditionalFormatting sqref="B1:B3">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2" t="s">
        <v>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Q30"/>
  <sheetViews>
    <sheetView showGridLines="0" zoomScale="80" zoomScaleNormal="80" workbookViewId="0"/>
  </sheetViews>
  <sheetFormatPr defaultColWidth="9" defaultRowHeight="13" x14ac:dyDescent="0.3"/>
  <cols>
    <col min="1" max="1" width="1.58203125" style="17" customWidth="1"/>
    <col min="2" max="2" width="2.58203125" style="17" customWidth="1"/>
    <col min="3" max="3" width="10.58203125" style="17" customWidth="1"/>
    <col min="4" max="4" width="10" style="17" bestFit="1" customWidth="1"/>
    <col min="5" max="5" width="11.58203125" style="17" customWidth="1"/>
    <col min="6" max="6" width="8.58203125" style="17" bestFit="1" customWidth="1"/>
    <col min="7" max="8" width="9" style="17"/>
    <col min="9" max="9" width="9.58203125" style="17" customWidth="1"/>
    <col min="10" max="10" width="12" style="17" customWidth="1"/>
    <col min="11" max="16384" width="9" style="17"/>
  </cols>
  <sheetData>
    <row r="3" spans="2:13" x14ac:dyDescent="0.3">
      <c r="C3" s="72" t="s">
        <v>87</v>
      </c>
    </row>
    <row r="5" spans="2:13" ht="13.5" customHeight="1" x14ac:dyDescent="0.3">
      <c r="C5" s="20" t="s">
        <v>88</v>
      </c>
      <c r="D5" s="21"/>
      <c r="E5" s="22"/>
      <c r="F5" s="79">
        <v>0.95402817448322919</v>
      </c>
    </row>
    <row r="6" spans="2:13" ht="13.5" customHeight="1" x14ac:dyDescent="0.3">
      <c r="C6" s="18" t="s">
        <v>89</v>
      </c>
      <c r="D6" s="18"/>
      <c r="E6" s="18"/>
      <c r="F6" s="79">
        <f>'Modelled costs'!$W$26</f>
        <v>0.89090636160082259</v>
      </c>
    </row>
    <row r="7" spans="2:13" ht="14.25" customHeight="1" x14ac:dyDescent="0.3">
      <c r="C7" s="19"/>
      <c r="D7" s="19"/>
      <c r="E7" s="19"/>
      <c r="F7" s="76"/>
    </row>
    <row r="8" spans="2:13" x14ac:dyDescent="0.3">
      <c r="C8" s="72"/>
      <c r="G8" s="72" t="s">
        <v>96</v>
      </c>
      <c r="H8" s="19"/>
      <c r="I8" s="19"/>
      <c r="J8" s="19"/>
      <c r="K8" s="73"/>
    </row>
    <row r="9" spans="2:13" x14ac:dyDescent="0.3">
      <c r="G9" s="18" t="s">
        <v>90</v>
      </c>
      <c r="I9" s="19"/>
      <c r="J9" s="19"/>
      <c r="K9" s="73"/>
    </row>
    <row r="10" spans="2:13" x14ac:dyDescent="0.3">
      <c r="C10" s="18" t="str">
        <f>IF($G$9="Historical",$C$5,$C$6)</f>
        <v>Within sector catch-up - historical</v>
      </c>
      <c r="D10" s="18"/>
      <c r="E10" s="18"/>
      <c r="G10" s="79">
        <f>IF($G$9="Historical",$F$5,$F$6)</f>
        <v>0.95402817448322919</v>
      </c>
      <c r="I10" s="258" t="s">
        <v>1010</v>
      </c>
      <c r="J10" s="258"/>
      <c r="K10" s="258"/>
      <c r="L10" s="258"/>
      <c r="M10" s="258"/>
    </row>
    <row r="11" spans="2:13" ht="26" x14ac:dyDescent="0.3">
      <c r="C11" s="14" t="s">
        <v>97</v>
      </c>
      <c r="D11" s="126" t="s">
        <v>34</v>
      </c>
      <c r="E11" s="126" t="s">
        <v>191</v>
      </c>
      <c r="F11" s="126" t="s">
        <v>192</v>
      </c>
      <c r="G11" s="126" t="s">
        <v>202</v>
      </c>
      <c r="I11" s="258"/>
      <c r="J11" s="258"/>
      <c r="K11" s="258"/>
      <c r="L11" s="258"/>
      <c r="M11" s="258"/>
    </row>
    <row r="12" spans="2:13" x14ac:dyDescent="0.3">
      <c r="C12" s="14">
        <v>2020</v>
      </c>
      <c r="D12" s="240">
        <v>1.0999999999999999E-2</v>
      </c>
      <c r="E12" s="241">
        <v>3.7000000000000002E-3</v>
      </c>
      <c r="F12" s="241">
        <f t="shared" ref="F12:F13" si="0">E12-D12</f>
        <v>-7.2999999999999992E-3</v>
      </c>
      <c r="G12" s="241">
        <f>IF($G$9="Historical",F12,0)</f>
        <v>-7.2999999999999992E-3</v>
      </c>
      <c r="I12" s="258"/>
      <c r="J12" s="258"/>
      <c r="K12" s="258"/>
      <c r="L12" s="258"/>
      <c r="M12" s="258"/>
    </row>
    <row r="13" spans="2:13" x14ac:dyDescent="0.3">
      <c r="B13" s="19"/>
      <c r="C13" s="14">
        <v>2021</v>
      </c>
      <c r="D13" s="240">
        <v>1.0999999999999999E-2</v>
      </c>
      <c r="E13" s="241">
        <v>4.4000000000000003E-3</v>
      </c>
      <c r="F13" s="241">
        <f t="shared" si="0"/>
        <v>-6.5999999999999991E-3</v>
      </c>
      <c r="G13" s="241">
        <f>IF(G9="Historical",(1+F12)*(1+F13)-1,0)</f>
        <v>-1.385182000000007E-2</v>
      </c>
      <c r="I13" s="258"/>
      <c r="J13" s="258"/>
      <c r="K13" s="258"/>
      <c r="L13" s="258"/>
      <c r="M13" s="258"/>
    </row>
    <row r="14" spans="2:13" x14ac:dyDescent="0.3">
      <c r="B14" s="19"/>
      <c r="C14" s="14">
        <v>2022</v>
      </c>
      <c r="D14" s="240">
        <v>1.0999999999999999E-2</v>
      </c>
      <c r="E14" s="241">
        <v>4.3E-3</v>
      </c>
      <c r="F14" s="241">
        <f>E14-D14</f>
        <v>-6.6999999999999994E-3</v>
      </c>
      <c r="G14" s="241">
        <f>IF(G9="Historical",(1+F12)*(1+F13)*(1+F14)-1,0)</f>
        <v>-2.0459012806000154E-2</v>
      </c>
      <c r="I14" s="242"/>
      <c r="J14" s="242"/>
      <c r="K14" s="242"/>
      <c r="L14" s="242"/>
      <c r="M14" s="242"/>
    </row>
    <row r="15" spans="2:13" x14ac:dyDescent="0.3">
      <c r="B15" s="19"/>
      <c r="C15" s="14">
        <v>2023</v>
      </c>
      <c r="D15" s="240">
        <v>1.0999999999999999E-2</v>
      </c>
      <c r="E15" s="241">
        <v>4.4999999999999997E-3</v>
      </c>
      <c r="F15" s="241">
        <f t="shared" ref="F15:F17" si="1">E15-D15</f>
        <v>-6.4999999999999997E-3</v>
      </c>
      <c r="G15" s="241">
        <f>IF(G9="Historical",(1+F12)*(1+F13)*(1+F14)*(1+F15)-1,0)</f>
        <v>-2.6826029222761116E-2</v>
      </c>
      <c r="I15" s="242"/>
      <c r="J15" s="19"/>
      <c r="K15" s="73"/>
    </row>
    <row r="16" spans="2:13" x14ac:dyDescent="0.3">
      <c r="B16" s="19"/>
      <c r="C16" s="14">
        <v>2024</v>
      </c>
      <c r="D16" s="240">
        <v>1.0999999999999999E-2</v>
      </c>
      <c r="E16" s="241">
        <v>5.0000000000000001E-3</v>
      </c>
      <c r="F16" s="241">
        <f t="shared" si="1"/>
        <v>-5.9999999999999993E-3</v>
      </c>
      <c r="G16" s="241">
        <f>IF(G9="Historical",(1+F12)*(1+F13)*(1+F14)*(1+F15)*(1+F16)-1,0)</f>
        <v>-3.2665073047424609E-2</v>
      </c>
      <c r="I16" s="242"/>
      <c r="J16" s="19"/>
      <c r="K16" s="73"/>
    </row>
    <row r="17" spans="2:17" x14ac:dyDescent="0.3">
      <c r="B17" s="19"/>
      <c r="C17" s="14">
        <v>2025</v>
      </c>
      <c r="D17" s="240">
        <v>1.0999999999999999E-2</v>
      </c>
      <c r="E17" s="241">
        <v>5.4000000000000003E-3</v>
      </c>
      <c r="F17" s="241">
        <f t="shared" si="1"/>
        <v>-5.5999999999999991E-3</v>
      </c>
      <c r="G17" s="241">
        <f>IF(G9="Historical",(1+F12)*(1+F13)*(1+F14)*(1+F15)*(1+F16)*(1+F17)-1,0)</f>
        <v>-3.8082148638359126E-2</v>
      </c>
      <c r="I17" s="242"/>
      <c r="J17" s="19"/>
      <c r="K17" s="73"/>
    </row>
    <row r="18" spans="2:17" x14ac:dyDescent="0.3">
      <c r="B18" s="19"/>
      <c r="C18" s="243" t="s">
        <v>324</v>
      </c>
      <c r="D18" s="244">
        <f>AVERAGE(D13:D17)</f>
        <v>1.0999999999999999E-2</v>
      </c>
      <c r="E18" s="244">
        <f t="shared" ref="E18:G18" si="2">AVERAGE(E13:E17)</f>
        <v>4.7200000000000002E-3</v>
      </c>
      <c r="F18" s="244">
        <f t="shared" si="2"/>
        <v>-6.2799999999999991E-3</v>
      </c>
      <c r="G18" s="244">
        <f t="shared" si="2"/>
        <v>-2.6376816742909016E-2</v>
      </c>
      <c r="I18" s="242"/>
      <c r="J18" s="19"/>
      <c r="K18" s="73"/>
    </row>
    <row r="20" spans="2:17" x14ac:dyDescent="0.3">
      <c r="C20" s="72" t="s">
        <v>84</v>
      </c>
      <c r="G20" s="72" t="s">
        <v>1011</v>
      </c>
    </row>
    <row r="21" spans="2:17" x14ac:dyDescent="0.3">
      <c r="C21" s="72"/>
      <c r="K21" s="19"/>
      <c r="L21" s="19"/>
      <c r="M21" s="19"/>
      <c r="N21" s="19"/>
      <c r="O21" s="19"/>
      <c r="P21" s="19"/>
      <c r="Q21" s="19"/>
    </row>
    <row r="22" spans="2:17" x14ac:dyDescent="0.3">
      <c r="C22" s="18" t="s">
        <v>35</v>
      </c>
      <c r="D22" s="80">
        <v>0.5</v>
      </c>
      <c r="E22" s="75" t="s">
        <v>336</v>
      </c>
      <c r="G22" s="18" t="s">
        <v>85</v>
      </c>
      <c r="H22" s="80">
        <v>0.5</v>
      </c>
      <c r="I22" s="75" t="s">
        <v>336</v>
      </c>
      <c r="K22" s="19"/>
      <c r="L22" s="19"/>
      <c r="M22" s="19"/>
      <c r="N22" s="19"/>
      <c r="O22" s="74"/>
      <c r="P22" s="19"/>
      <c r="Q22" s="19"/>
    </row>
    <row r="23" spans="2:17" x14ac:dyDescent="0.3">
      <c r="C23" s="18" t="s">
        <v>36</v>
      </c>
      <c r="D23" s="80">
        <v>0.5</v>
      </c>
      <c r="E23" s="75" t="s">
        <v>336</v>
      </c>
      <c r="G23" s="18" t="s">
        <v>86</v>
      </c>
      <c r="H23" s="80">
        <v>0.5</v>
      </c>
      <c r="I23" s="75" t="s">
        <v>336</v>
      </c>
      <c r="K23" s="19"/>
      <c r="L23" s="19"/>
      <c r="M23" s="19"/>
      <c r="N23" s="19"/>
      <c r="O23" s="74"/>
      <c r="P23" s="19"/>
      <c r="Q23" s="19"/>
    </row>
    <row r="24" spans="2:17" x14ac:dyDescent="0.3">
      <c r="C24" s="18" t="s">
        <v>38</v>
      </c>
      <c r="D24" s="80">
        <v>1</v>
      </c>
      <c r="E24" s="75" t="s">
        <v>336</v>
      </c>
      <c r="K24" s="19"/>
      <c r="L24" s="19"/>
      <c r="M24" s="19"/>
      <c r="N24" s="19"/>
      <c r="O24" s="76"/>
      <c r="P24" s="19"/>
      <c r="Q24" s="19"/>
    </row>
    <row r="25" spans="2:17" x14ac:dyDescent="0.3">
      <c r="C25" s="18" t="s">
        <v>39</v>
      </c>
      <c r="D25" s="80">
        <v>0.5</v>
      </c>
      <c r="E25" s="75" t="s">
        <v>336</v>
      </c>
      <c r="K25" s="19"/>
      <c r="L25" s="19"/>
      <c r="M25" s="19"/>
      <c r="N25" s="19"/>
      <c r="O25" s="76"/>
      <c r="P25" s="19"/>
      <c r="Q25" s="19"/>
    </row>
    <row r="26" spans="2:17" x14ac:dyDescent="0.3">
      <c r="C26" s="18" t="s">
        <v>40</v>
      </c>
      <c r="D26" s="80">
        <v>0.5</v>
      </c>
      <c r="E26" s="75" t="s">
        <v>336</v>
      </c>
      <c r="K26" s="19"/>
      <c r="L26" s="19"/>
      <c r="M26" s="19"/>
      <c r="N26" s="19"/>
      <c r="O26" s="76"/>
      <c r="P26" s="19"/>
      <c r="Q26" s="19"/>
    </row>
    <row r="27" spans="2:17" x14ac:dyDescent="0.3">
      <c r="C27" s="19"/>
      <c r="D27" s="77"/>
      <c r="E27" s="78"/>
      <c r="K27" s="19"/>
      <c r="L27" s="19"/>
      <c r="M27" s="19"/>
      <c r="N27" s="19"/>
      <c r="O27" s="19"/>
      <c r="P27" s="19"/>
      <c r="Q27" s="19"/>
    </row>
    <row r="28" spans="2:17" x14ac:dyDescent="0.3">
      <c r="C28" s="19"/>
      <c r="D28" s="77"/>
      <c r="E28" s="78"/>
      <c r="K28" s="19"/>
      <c r="L28" s="19"/>
      <c r="M28" s="19"/>
      <c r="N28" s="19"/>
      <c r="O28" s="19"/>
      <c r="P28" s="19"/>
      <c r="Q28" s="19"/>
    </row>
    <row r="29" spans="2:17" x14ac:dyDescent="0.3">
      <c r="C29" s="19"/>
      <c r="D29" s="77"/>
      <c r="E29" s="78"/>
      <c r="K29" s="19"/>
      <c r="L29" s="19"/>
      <c r="M29" s="19"/>
      <c r="N29" s="19"/>
      <c r="O29" s="19"/>
      <c r="P29" s="19"/>
      <c r="Q29" s="19"/>
    </row>
    <row r="30" spans="2:17" x14ac:dyDescent="0.3">
      <c r="C30" s="19"/>
      <c r="D30" s="77"/>
      <c r="E30" s="78"/>
      <c r="K30" s="19"/>
      <c r="L30" s="19"/>
      <c r="M30" s="19"/>
      <c r="N30" s="19"/>
      <c r="O30" s="19"/>
      <c r="P30" s="19"/>
      <c r="Q30" s="19"/>
    </row>
  </sheetData>
  <mergeCells count="1">
    <mergeCell ref="I10:M13"/>
  </mergeCells>
  <conditionalFormatting sqref="E22">
    <cfRule type="expression" dxfId="15" priority="9">
      <formula>E22="error"</formula>
    </cfRule>
    <cfRule type="expression" dxfId="14" priority="10">
      <formula>E22="OK"</formula>
    </cfRule>
  </conditionalFormatting>
  <conditionalFormatting sqref="I23">
    <cfRule type="expression" dxfId="13" priority="3">
      <formula>I23="error"</formula>
    </cfRule>
    <cfRule type="expression" dxfId="12" priority="4">
      <formula>I23="OK"</formula>
    </cfRule>
  </conditionalFormatting>
  <conditionalFormatting sqref="E23:E30">
    <cfRule type="expression" dxfId="11" priority="7">
      <formula>E23="error"</formula>
    </cfRule>
    <cfRule type="expression" dxfId="10" priority="8">
      <formula>E23="OK"</formula>
    </cfRule>
  </conditionalFormatting>
  <conditionalFormatting sqref="I22">
    <cfRule type="expression" dxfId="9" priority="5">
      <formula>I22="error"</formula>
    </cfRule>
    <cfRule type="expression" dxfId="8" priority="6">
      <formula>I22="OK"</formula>
    </cfRule>
  </conditionalFormatting>
  <conditionalFormatting sqref="D22:D26">
    <cfRule type="cellIs" dxfId="7" priority="2" operator="equal">
      <formula>0</formula>
    </cfRule>
  </conditionalFormatting>
  <conditionalFormatting sqref="H22:H23">
    <cfRule type="cellIs" dxfId="6" priority="1" operator="equal">
      <formula>0</formula>
    </cfRule>
  </conditionalFormatting>
  <dataValidations count="1">
    <dataValidation type="list" allowBlank="1" showInputMessage="1" showErrorMessage="1" sqref="F4 G9">
      <formula1>"Forward looking, Historical"</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51"/>
  <sheetViews>
    <sheetView zoomScale="90" zoomScaleNormal="90" workbookViewId="0"/>
  </sheetViews>
  <sheetFormatPr defaultRowHeight="14" x14ac:dyDescent="0.3"/>
  <cols>
    <col min="1" max="1" width="8" bestFit="1" customWidth="1"/>
    <col min="2" max="2" width="31.5" bestFit="1" customWidth="1"/>
    <col min="3" max="3" width="76.33203125" bestFit="1" customWidth="1"/>
    <col min="4" max="4" width="10" customWidth="1"/>
    <col min="5" max="5" width="34.58203125" customWidth="1"/>
    <col min="6" max="10" width="15.83203125" customWidth="1"/>
    <col min="11" max="11" width="10.83203125" customWidth="1"/>
  </cols>
  <sheetData>
    <row r="1" spans="1:10" x14ac:dyDescent="0.3">
      <c r="C1" t="s">
        <v>190</v>
      </c>
    </row>
    <row r="2" spans="1:10" x14ac:dyDescent="0.3">
      <c r="A2" t="s">
        <v>29</v>
      </c>
      <c r="B2" t="s">
        <v>30</v>
      </c>
      <c r="C2" t="s">
        <v>31</v>
      </c>
      <c r="D2" t="s">
        <v>32</v>
      </c>
      <c r="E2" t="s">
        <v>22</v>
      </c>
      <c r="F2">
        <v>2021</v>
      </c>
      <c r="G2">
        <v>2022</v>
      </c>
      <c r="H2">
        <v>2023</v>
      </c>
      <c r="I2">
        <v>2024</v>
      </c>
      <c r="J2">
        <v>2025</v>
      </c>
    </row>
    <row r="4" spans="1:10" x14ac:dyDescent="0.3">
      <c r="A4" t="s">
        <v>4</v>
      </c>
      <c r="B4" t="s">
        <v>187</v>
      </c>
      <c r="C4" t="s">
        <v>186</v>
      </c>
      <c r="D4" t="s">
        <v>2</v>
      </c>
      <c r="E4" t="s">
        <v>361</v>
      </c>
      <c r="F4" s="119">
        <v>46.758947761999998</v>
      </c>
      <c r="G4" s="119">
        <v>47.59289914</v>
      </c>
      <c r="H4" s="119">
        <v>44.734631616000001</v>
      </c>
      <c r="I4" s="119">
        <v>43.096373643</v>
      </c>
      <c r="J4" s="119">
        <v>39.807944161999998</v>
      </c>
    </row>
    <row r="5" spans="1:10" x14ac:dyDescent="0.3">
      <c r="A5" t="s">
        <v>4</v>
      </c>
      <c r="B5" t="s">
        <v>185</v>
      </c>
      <c r="C5" t="s">
        <v>184</v>
      </c>
      <c r="D5" t="s">
        <v>2</v>
      </c>
      <c r="E5" t="s">
        <v>362</v>
      </c>
      <c r="F5" s="119">
        <v>1.0940000000000001</v>
      </c>
      <c r="G5" s="119">
        <v>1.2030000000000001</v>
      </c>
      <c r="H5" s="119">
        <v>1.099</v>
      </c>
      <c r="I5" s="119">
        <v>0.83199999999999996</v>
      </c>
      <c r="J5" s="119">
        <v>0.56999999999999995</v>
      </c>
    </row>
    <row r="6" spans="1:10" x14ac:dyDescent="0.3">
      <c r="A6" t="s">
        <v>4</v>
      </c>
      <c r="B6" t="s">
        <v>183</v>
      </c>
      <c r="C6" t="s">
        <v>182</v>
      </c>
      <c r="D6" t="s">
        <v>2</v>
      </c>
      <c r="E6" t="s">
        <v>363</v>
      </c>
      <c r="F6" s="119">
        <v>12.500999999999999</v>
      </c>
      <c r="G6" s="119">
        <v>4.5890000000000004</v>
      </c>
      <c r="H6" s="119">
        <v>5.6</v>
      </c>
      <c r="I6" s="119">
        <v>4.5389999999999997</v>
      </c>
      <c r="J6" s="119">
        <v>4.6970000000000001</v>
      </c>
    </row>
    <row r="7" spans="1:10" x14ac:dyDescent="0.3">
      <c r="A7" t="s">
        <v>4</v>
      </c>
      <c r="B7" t="s">
        <v>181</v>
      </c>
      <c r="C7" t="s">
        <v>180</v>
      </c>
      <c r="D7" t="s">
        <v>2</v>
      </c>
      <c r="E7" t="s">
        <v>383</v>
      </c>
      <c r="F7" s="119">
        <v>225.74501528899998</v>
      </c>
      <c r="G7" s="119">
        <v>226.132279049</v>
      </c>
      <c r="H7" s="119">
        <v>227.88862548499998</v>
      </c>
      <c r="I7" s="119">
        <v>229.10522927400001</v>
      </c>
      <c r="J7" s="119">
        <v>221.60406317299999</v>
      </c>
    </row>
    <row r="8" spans="1:10" x14ac:dyDescent="0.3">
      <c r="A8" t="s">
        <v>4</v>
      </c>
      <c r="B8" t="s">
        <v>179</v>
      </c>
      <c r="C8" t="s">
        <v>178</v>
      </c>
      <c r="D8" t="s">
        <v>2</v>
      </c>
      <c r="E8" t="s">
        <v>384</v>
      </c>
      <c r="F8" s="119">
        <v>25.235999999999997</v>
      </c>
      <c r="G8" s="119">
        <v>30.265000000000001</v>
      </c>
      <c r="H8" s="119">
        <v>32.676000000000002</v>
      </c>
      <c r="I8" s="119">
        <v>23.984000000000002</v>
      </c>
      <c r="J8" s="119">
        <v>20.487000000000002</v>
      </c>
    </row>
    <row r="9" spans="1:10" x14ac:dyDescent="0.3">
      <c r="A9" t="s">
        <v>4</v>
      </c>
      <c r="B9" t="s">
        <v>177</v>
      </c>
      <c r="C9" t="s">
        <v>176</v>
      </c>
      <c r="D9" t="s">
        <v>2</v>
      </c>
      <c r="E9" t="s">
        <v>385</v>
      </c>
      <c r="F9" s="119">
        <v>59.262999999999998</v>
      </c>
      <c r="G9" s="119">
        <v>49.686</v>
      </c>
      <c r="H9" s="119">
        <v>32.75</v>
      </c>
      <c r="I9" s="119">
        <v>35.174999999999997</v>
      </c>
      <c r="J9" s="119">
        <v>36.798999999999992</v>
      </c>
    </row>
    <row r="10" spans="1:10" x14ac:dyDescent="0.3">
      <c r="A10" t="s">
        <v>4</v>
      </c>
      <c r="B10" t="s">
        <v>175</v>
      </c>
      <c r="C10" t="s">
        <v>174</v>
      </c>
      <c r="D10" t="s">
        <v>2</v>
      </c>
      <c r="E10" t="s">
        <v>386</v>
      </c>
      <c r="F10" s="119">
        <v>45.799879992999998</v>
      </c>
      <c r="G10" s="119">
        <v>38.860300187999997</v>
      </c>
      <c r="H10" s="119">
        <v>37.148884940000002</v>
      </c>
      <c r="I10" s="119">
        <v>34.291783252999998</v>
      </c>
      <c r="J10" s="119">
        <v>31.794810493</v>
      </c>
    </row>
    <row r="11" spans="1:10" x14ac:dyDescent="0.3">
      <c r="A11" t="s">
        <v>4</v>
      </c>
      <c r="B11" t="s">
        <v>173</v>
      </c>
      <c r="C11" t="s">
        <v>172</v>
      </c>
      <c r="D11" t="s">
        <v>2</v>
      </c>
      <c r="E11" t="s">
        <v>387</v>
      </c>
      <c r="F11" s="119">
        <v>217.75299586727107</v>
      </c>
      <c r="G11" s="119">
        <v>232.31190702650338</v>
      </c>
      <c r="H11" s="119">
        <v>232.65618237652751</v>
      </c>
      <c r="I11" s="119">
        <v>225.13040820010207</v>
      </c>
      <c r="J11" s="119">
        <v>210.72846388345192</v>
      </c>
    </row>
    <row r="12" spans="1:10" x14ac:dyDescent="0.3">
      <c r="A12" t="s">
        <v>4</v>
      </c>
      <c r="B12" t="s">
        <v>171</v>
      </c>
      <c r="C12" t="s">
        <v>170</v>
      </c>
      <c r="D12" t="s">
        <v>2</v>
      </c>
      <c r="E12" t="s">
        <v>390</v>
      </c>
      <c r="F12" s="119">
        <v>133.81053860199989</v>
      </c>
      <c r="G12" s="119">
        <v>114.42605197200004</v>
      </c>
      <c r="H12" s="119">
        <v>102.35235493400006</v>
      </c>
      <c r="I12" s="119">
        <v>99.476727421000021</v>
      </c>
      <c r="J12" s="119">
        <v>97.994599999999934</v>
      </c>
    </row>
    <row r="13" spans="1:10" x14ac:dyDescent="0.3">
      <c r="A13" t="s">
        <v>4</v>
      </c>
      <c r="B13" t="s">
        <v>169</v>
      </c>
      <c r="C13" t="s">
        <v>168</v>
      </c>
      <c r="D13" t="s">
        <v>2</v>
      </c>
      <c r="E13" t="s">
        <v>388</v>
      </c>
      <c r="F13" s="119">
        <v>305.76365447627097</v>
      </c>
      <c r="G13" s="119">
        <v>307.87765881050342</v>
      </c>
      <c r="H13" s="119">
        <v>297.85965237052756</v>
      </c>
      <c r="I13" s="119">
        <v>290.31535236810208</v>
      </c>
      <c r="J13" s="119">
        <v>276.92825339045186</v>
      </c>
    </row>
    <row r="14" spans="1:10" x14ac:dyDescent="0.3">
      <c r="A14" t="s">
        <v>4</v>
      </c>
      <c r="B14" t="s">
        <v>167</v>
      </c>
      <c r="C14" t="s">
        <v>166</v>
      </c>
      <c r="D14" t="s">
        <v>2</v>
      </c>
      <c r="E14" t="s">
        <v>389</v>
      </c>
      <c r="F14" s="119">
        <v>351.56353446927096</v>
      </c>
      <c r="G14" s="119">
        <v>346.73795899850342</v>
      </c>
      <c r="H14" s="119">
        <v>335.00853731052757</v>
      </c>
      <c r="I14" s="119">
        <v>324.60713562110209</v>
      </c>
      <c r="J14" s="119">
        <v>308.72306388345186</v>
      </c>
    </row>
    <row r="15" spans="1:10" x14ac:dyDescent="0.3">
      <c r="A15" t="s">
        <v>4</v>
      </c>
      <c r="B15" t="s">
        <v>165</v>
      </c>
      <c r="C15" t="s">
        <v>163</v>
      </c>
      <c r="D15" t="s">
        <v>2</v>
      </c>
      <c r="E15" t="s">
        <v>360</v>
      </c>
      <c r="F15" s="119">
        <v>1.575</v>
      </c>
      <c r="G15" s="119">
        <v>1.591</v>
      </c>
      <c r="H15" s="119">
        <v>1.607</v>
      </c>
      <c r="I15" s="119">
        <v>1.623</v>
      </c>
      <c r="J15" s="119">
        <v>1.639</v>
      </c>
    </row>
    <row r="16" spans="1:10" x14ac:dyDescent="0.3">
      <c r="A16" t="s">
        <v>4</v>
      </c>
      <c r="B16" t="s">
        <v>164</v>
      </c>
      <c r="C16" t="s">
        <v>163</v>
      </c>
      <c r="D16" t="s">
        <v>2</v>
      </c>
      <c r="E16" t="s">
        <v>364</v>
      </c>
      <c r="F16" s="119">
        <v>6.0999999999999999E-2</v>
      </c>
      <c r="G16" s="119">
        <v>0.36299999999999999</v>
      </c>
      <c r="H16" s="119">
        <v>0</v>
      </c>
      <c r="I16" s="119">
        <v>0</v>
      </c>
      <c r="J16" s="119">
        <v>0</v>
      </c>
    </row>
    <row r="17" spans="1:10" x14ac:dyDescent="0.3">
      <c r="A17" t="s">
        <v>4</v>
      </c>
      <c r="B17" t="s">
        <v>162</v>
      </c>
      <c r="C17" t="s">
        <v>161</v>
      </c>
      <c r="D17" t="s">
        <v>2</v>
      </c>
      <c r="E17" t="s">
        <v>365</v>
      </c>
      <c r="F17" s="119">
        <v>0</v>
      </c>
      <c r="G17" s="119">
        <v>0</v>
      </c>
      <c r="H17" s="119">
        <v>0</v>
      </c>
      <c r="I17" s="119">
        <v>0</v>
      </c>
      <c r="J17" s="119">
        <v>0</v>
      </c>
    </row>
    <row r="18" spans="1:10" x14ac:dyDescent="0.3">
      <c r="A18" t="s">
        <v>4</v>
      </c>
      <c r="B18" t="s">
        <v>160</v>
      </c>
      <c r="C18" t="s">
        <v>159</v>
      </c>
      <c r="D18" t="s">
        <v>2</v>
      </c>
      <c r="E18" t="s">
        <v>366</v>
      </c>
      <c r="F18" s="119">
        <v>0.47599999999999998</v>
      </c>
      <c r="G18" s="119">
        <v>0.48</v>
      </c>
      <c r="H18" s="119">
        <v>0.48499999999999999</v>
      </c>
      <c r="I18" s="119">
        <v>0.48899999999999999</v>
      </c>
      <c r="J18" s="119">
        <v>0.49399999999999999</v>
      </c>
    </row>
    <row r="19" spans="1:10" x14ac:dyDescent="0.3">
      <c r="A19" t="s">
        <v>4</v>
      </c>
      <c r="B19" t="s">
        <v>158</v>
      </c>
      <c r="C19" t="s">
        <v>156</v>
      </c>
      <c r="D19" t="s">
        <v>2</v>
      </c>
      <c r="E19" t="s">
        <v>368</v>
      </c>
      <c r="F19" s="119">
        <v>2.08</v>
      </c>
      <c r="G19" s="119">
        <v>2.101</v>
      </c>
      <c r="H19" s="119">
        <v>2.121</v>
      </c>
      <c r="I19" s="119">
        <v>2.1419999999999999</v>
      </c>
      <c r="J19" s="119">
        <v>2.1640000000000001</v>
      </c>
    </row>
    <row r="20" spans="1:10" x14ac:dyDescent="0.3">
      <c r="A20" t="s">
        <v>4</v>
      </c>
      <c r="B20" t="s">
        <v>157</v>
      </c>
      <c r="C20" t="s">
        <v>156</v>
      </c>
      <c r="D20" t="s">
        <v>2</v>
      </c>
      <c r="E20" t="s">
        <v>369</v>
      </c>
      <c r="F20" s="119">
        <v>0</v>
      </c>
      <c r="G20" s="119">
        <v>0</v>
      </c>
      <c r="H20" s="119">
        <v>0</v>
      </c>
      <c r="I20" s="119">
        <v>0</v>
      </c>
      <c r="J20" s="119">
        <v>0</v>
      </c>
    </row>
    <row r="21" spans="1:10" x14ac:dyDescent="0.3">
      <c r="A21" t="s">
        <v>4</v>
      </c>
      <c r="B21" t="s">
        <v>155</v>
      </c>
      <c r="C21" t="s">
        <v>154</v>
      </c>
      <c r="D21" t="s">
        <v>2</v>
      </c>
      <c r="E21" t="s">
        <v>370</v>
      </c>
      <c r="F21" s="119">
        <v>0</v>
      </c>
      <c r="G21" s="119">
        <v>0</v>
      </c>
      <c r="H21" s="119">
        <v>0</v>
      </c>
      <c r="I21" s="119">
        <v>0</v>
      </c>
      <c r="J21" s="119">
        <v>0</v>
      </c>
    </row>
    <row r="22" spans="1:10" x14ac:dyDescent="0.3">
      <c r="A22" t="s">
        <v>4</v>
      </c>
      <c r="B22" t="s">
        <v>153</v>
      </c>
      <c r="C22" t="s">
        <v>152</v>
      </c>
      <c r="D22" t="s">
        <v>2</v>
      </c>
      <c r="E22" t="s">
        <v>371</v>
      </c>
      <c r="F22" s="119">
        <v>0</v>
      </c>
      <c r="G22" s="119">
        <v>0</v>
      </c>
      <c r="H22" s="119">
        <v>0</v>
      </c>
      <c r="I22" s="119">
        <v>0</v>
      </c>
      <c r="J22" s="119">
        <v>0</v>
      </c>
    </row>
    <row r="23" spans="1:10" x14ac:dyDescent="0.3">
      <c r="A23" t="s">
        <v>4</v>
      </c>
      <c r="B23" t="s">
        <v>151</v>
      </c>
      <c r="C23" t="s">
        <v>149</v>
      </c>
      <c r="D23" t="s">
        <v>2</v>
      </c>
      <c r="E23" t="s">
        <v>373</v>
      </c>
      <c r="F23" s="119">
        <v>2.403</v>
      </c>
      <c r="G23" s="119">
        <v>2.427</v>
      </c>
      <c r="H23" s="119">
        <v>2.4500000000000002</v>
      </c>
      <c r="I23" s="119">
        <v>2.4750000000000001</v>
      </c>
      <c r="J23" s="119">
        <v>2.4990000000000001</v>
      </c>
    </row>
    <row r="24" spans="1:10" x14ac:dyDescent="0.3">
      <c r="A24" t="s">
        <v>4</v>
      </c>
      <c r="B24" t="s">
        <v>150</v>
      </c>
      <c r="C24" t="s">
        <v>149</v>
      </c>
      <c r="D24" t="s">
        <v>2</v>
      </c>
      <c r="E24" t="s">
        <v>374</v>
      </c>
      <c r="F24" s="119">
        <v>0.44900000000000001</v>
      </c>
      <c r="G24" s="119">
        <v>0.54200000000000004</v>
      </c>
      <c r="H24" s="119">
        <v>0.39800000000000002</v>
      </c>
      <c r="I24" s="119">
        <v>0.308</v>
      </c>
      <c r="J24" s="119">
        <v>0.35499999999999998</v>
      </c>
    </row>
    <row r="25" spans="1:10" x14ac:dyDescent="0.3">
      <c r="A25" t="s">
        <v>4</v>
      </c>
      <c r="B25" t="s">
        <v>148</v>
      </c>
      <c r="C25" t="s">
        <v>147</v>
      </c>
      <c r="D25" t="s">
        <v>2</v>
      </c>
      <c r="E25" t="s">
        <v>375</v>
      </c>
      <c r="F25" s="119">
        <v>0</v>
      </c>
      <c r="G25" s="119">
        <v>0</v>
      </c>
      <c r="H25" s="119">
        <v>0</v>
      </c>
      <c r="I25" s="119">
        <v>0</v>
      </c>
      <c r="J25" s="119">
        <v>0</v>
      </c>
    </row>
    <row r="26" spans="1:10" x14ac:dyDescent="0.3">
      <c r="A26" t="s">
        <v>4</v>
      </c>
      <c r="B26" t="s">
        <v>146</v>
      </c>
      <c r="C26" t="s">
        <v>145</v>
      </c>
      <c r="D26" t="s">
        <v>2</v>
      </c>
      <c r="E26" t="s">
        <v>376</v>
      </c>
      <c r="F26" s="119">
        <v>1.5449999999999999</v>
      </c>
      <c r="G26" s="119">
        <v>1.56</v>
      </c>
      <c r="H26" s="119">
        <v>1.575</v>
      </c>
      <c r="I26" s="119">
        <v>1.591</v>
      </c>
      <c r="J26" s="119">
        <v>1.6060000000000001</v>
      </c>
    </row>
    <row r="27" spans="1:10" x14ac:dyDescent="0.3">
      <c r="A27" t="s">
        <v>4</v>
      </c>
      <c r="B27" t="s">
        <v>144</v>
      </c>
      <c r="C27" t="s">
        <v>142</v>
      </c>
      <c r="D27" t="s">
        <v>2</v>
      </c>
      <c r="E27" t="s">
        <v>378</v>
      </c>
      <c r="F27" s="119">
        <v>2.988</v>
      </c>
      <c r="G27" s="119">
        <v>3.0169999999999999</v>
      </c>
      <c r="H27" s="119">
        <v>3.0470000000000002</v>
      </c>
      <c r="I27" s="119">
        <v>3.0760000000000001</v>
      </c>
      <c r="J27" s="119">
        <v>3.1070000000000002</v>
      </c>
    </row>
    <row r="28" spans="1:10" x14ac:dyDescent="0.3">
      <c r="A28" t="s">
        <v>4</v>
      </c>
      <c r="B28" t="s">
        <v>143</v>
      </c>
      <c r="C28" t="s">
        <v>142</v>
      </c>
      <c r="D28" t="s">
        <v>2</v>
      </c>
      <c r="E28" t="s">
        <v>379</v>
      </c>
      <c r="F28" s="119">
        <v>3.7989999999999999</v>
      </c>
      <c r="G28" s="119">
        <v>4.1029999999999998</v>
      </c>
      <c r="H28" s="119">
        <v>4.2759999999999998</v>
      </c>
      <c r="I28" s="119">
        <v>4.407</v>
      </c>
      <c r="J28" s="119">
        <v>4.0919999999999996</v>
      </c>
    </row>
    <row r="29" spans="1:10" x14ac:dyDescent="0.3">
      <c r="A29" t="s">
        <v>4</v>
      </c>
      <c r="B29" t="s">
        <v>141</v>
      </c>
      <c r="C29" t="s">
        <v>140</v>
      </c>
      <c r="D29" t="s">
        <v>2</v>
      </c>
      <c r="E29" t="s">
        <v>380</v>
      </c>
      <c r="F29" s="119">
        <v>30.5282226061871</v>
      </c>
      <c r="G29" s="119">
        <v>36.484584817277003</v>
      </c>
      <c r="H29" s="119">
        <v>35.976048473587902</v>
      </c>
      <c r="I29" s="119">
        <v>35.398651929220101</v>
      </c>
      <c r="J29" s="119">
        <v>33.077908378436099</v>
      </c>
    </row>
    <row r="30" spans="1:10" x14ac:dyDescent="0.3">
      <c r="A30" t="s">
        <v>4</v>
      </c>
      <c r="B30" t="s">
        <v>139</v>
      </c>
      <c r="C30" t="s">
        <v>138</v>
      </c>
      <c r="D30" t="s">
        <v>2</v>
      </c>
      <c r="E30" t="s">
        <v>381</v>
      </c>
      <c r="F30" s="119">
        <v>2.3769999999999998</v>
      </c>
      <c r="G30" s="119">
        <v>2.4</v>
      </c>
      <c r="H30" s="119">
        <v>2.4239999999999999</v>
      </c>
      <c r="I30" s="119">
        <v>2.4470000000000001</v>
      </c>
      <c r="J30" s="119">
        <v>2.4710000000000001</v>
      </c>
    </row>
    <row r="31" spans="1:10" x14ac:dyDescent="0.3">
      <c r="A31" t="s">
        <v>4</v>
      </c>
      <c r="B31" t="s">
        <v>137</v>
      </c>
      <c r="C31" t="s">
        <v>136</v>
      </c>
      <c r="D31" t="s">
        <v>2</v>
      </c>
      <c r="E31" t="s">
        <v>367</v>
      </c>
      <c r="F31" s="119">
        <v>68.604947761999995</v>
      </c>
      <c r="G31" s="119">
        <v>69.344899139999995</v>
      </c>
      <c r="H31" s="119">
        <v>69.101631616000006</v>
      </c>
      <c r="I31" s="119">
        <v>59.420373642999998</v>
      </c>
      <c r="J31" s="119">
        <v>48.019944162000002</v>
      </c>
    </row>
    <row r="32" spans="1:10" x14ac:dyDescent="0.3">
      <c r="A32" t="s">
        <v>4</v>
      </c>
      <c r="B32" t="s">
        <v>135</v>
      </c>
      <c r="C32" t="s">
        <v>134</v>
      </c>
      <c r="D32" t="s">
        <v>2</v>
      </c>
      <c r="E32" t="s">
        <v>372</v>
      </c>
      <c r="F32" s="119">
        <v>13.675830431</v>
      </c>
      <c r="G32" s="119">
        <v>13.335107291</v>
      </c>
      <c r="H32" s="119">
        <v>13.347105078</v>
      </c>
      <c r="I32" s="119">
        <v>12.213288574</v>
      </c>
      <c r="J32" s="119">
        <v>11.456268557</v>
      </c>
    </row>
    <row r="33" spans="1:10" x14ac:dyDescent="0.3">
      <c r="A33" t="s">
        <v>4</v>
      </c>
      <c r="B33" t="s">
        <v>133</v>
      </c>
      <c r="C33" t="s">
        <v>132</v>
      </c>
      <c r="D33" t="s">
        <v>2</v>
      </c>
      <c r="E33" t="s">
        <v>377</v>
      </c>
      <c r="F33" s="119">
        <v>106.269951904</v>
      </c>
      <c r="G33" s="119">
        <v>106.389239479</v>
      </c>
      <c r="H33" s="119">
        <v>97.324897772</v>
      </c>
      <c r="I33" s="119">
        <v>119.42177159400001</v>
      </c>
      <c r="J33" s="119">
        <v>99.656946833999996</v>
      </c>
    </row>
    <row r="34" spans="1:10" x14ac:dyDescent="0.3">
      <c r="A34" t="s">
        <v>4</v>
      </c>
      <c r="B34" t="s">
        <v>131</v>
      </c>
      <c r="C34" t="s">
        <v>130</v>
      </c>
      <c r="D34" t="s">
        <v>2</v>
      </c>
      <c r="E34" t="s">
        <v>382</v>
      </c>
      <c r="F34" s="119">
        <v>306.30301034781297</v>
      </c>
      <c r="G34" s="119">
        <v>380.093347461723</v>
      </c>
      <c r="H34" s="119">
        <v>434.70957416141198</v>
      </c>
      <c r="I34" s="119">
        <v>410.11851717678002</v>
      </c>
      <c r="J34" s="119">
        <v>307.43893940356401</v>
      </c>
    </row>
    <row r="35" spans="1:10" x14ac:dyDescent="0.3">
      <c r="A35" t="s">
        <v>4</v>
      </c>
      <c r="B35" t="s">
        <v>129</v>
      </c>
      <c r="C35" t="s">
        <v>128</v>
      </c>
      <c r="D35" t="s">
        <v>3</v>
      </c>
      <c r="E35" t="s">
        <v>391</v>
      </c>
      <c r="F35" s="119">
        <v>2270271</v>
      </c>
      <c r="G35" s="119">
        <v>2306347</v>
      </c>
      <c r="H35" s="119">
        <v>2344165</v>
      </c>
      <c r="I35" s="119">
        <v>2381817</v>
      </c>
      <c r="J35" s="119">
        <v>2416460</v>
      </c>
    </row>
    <row r="36" spans="1:10" x14ac:dyDescent="0.3">
      <c r="A36" t="s">
        <v>4</v>
      </c>
      <c r="B36" t="s">
        <v>127</v>
      </c>
      <c r="C36" t="s">
        <v>126</v>
      </c>
      <c r="D36" t="s">
        <v>44</v>
      </c>
      <c r="E36" t="s">
        <v>392</v>
      </c>
      <c r="F36" s="119">
        <v>39719</v>
      </c>
      <c r="G36" s="119">
        <v>39919</v>
      </c>
      <c r="H36" s="119">
        <v>40096</v>
      </c>
      <c r="I36" s="119">
        <v>40285</v>
      </c>
      <c r="J36" s="119">
        <v>40827</v>
      </c>
    </row>
    <row r="37" spans="1:10" x14ac:dyDescent="0.3">
      <c r="A37" t="s">
        <v>4</v>
      </c>
      <c r="B37" t="s">
        <v>125</v>
      </c>
      <c r="C37" t="s">
        <v>124</v>
      </c>
      <c r="D37" t="s">
        <v>0</v>
      </c>
      <c r="E37" t="s">
        <v>393</v>
      </c>
      <c r="F37" s="119">
        <v>79.832669250716037</v>
      </c>
      <c r="G37" s="119">
        <v>79.833227589957389</v>
      </c>
      <c r="H37" s="119">
        <v>80.235888948502719</v>
      </c>
      <c r="I37" s="119">
        <v>80.235412199461649</v>
      </c>
      <c r="J37" s="119">
        <v>80.235931508479084</v>
      </c>
    </row>
    <row r="38" spans="1:10" x14ac:dyDescent="0.3">
      <c r="A38" t="s">
        <v>4</v>
      </c>
      <c r="B38" t="s">
        <v>123</v>
      </c>
      <c r="C38" t="s">
        <v>122</v>
      </c>
      <c r="D38" t="s">
        <v>3</v>
      </c>
      <c r="E38" t="s">
        <v>394</v>
      </c>
      <c r="F38" s="119">
        <v>5.0218469628384792</v>
      </c>
      <c r="G38" s="119">
        <v>5.0218798151001529</v>
      </c>
      <c r="H38" s="119">
        <v>5.0448770994934842</v>
      </c>
      <c r="I38" s="119">
        <v>5.0448651854555404</v>
      </c>
      <c r="J38" s="119">
        <v>5.0528420686562514</v>
      </c>
    </row>
    <row r="39" spans="1:10" x14ac:dyDescent="0.3">
      <c r="A39" t="s">
        <v>4</v>
      </c>
      <c r="B39" t="s">
        <v>121</v>
      </c>
      <c r="C39" t="s">
        <v>120</v>
      </c>
      <c r="D39" t="s">
        <v>3</v>
      </c>
      <c r="E39" t="s">
        <v>395</v>
      </c>
      <c r="F39" s="119">
        <v>1.1405120974848309E-2</v>
      </c>
      <c r="G39" s="119">
        <v>1.1498284025150931E-2</v>
      </c>
      <c r="H39" s="119">
        <v>1.1447525937749401E-2</v>
      </c>
      <c r="I39" s="119">
        <v>1.1542757850316495E-2</v>
      </c>
      <c r="J39" s="119">
        <v>1.1609963994415461E-2</v>
      </c>
    </row>
    <row r="40" spans="1:10" x14ac:dyDescent="0.3">
      <c r="A40" t="s">
        <v>23</v>
      </c>
      <c r="B40" t="s">
        <v>187</v>
      </c>
      <c r="C40" t="s">
        <v>186</v>
      </c>
      <c r="D40" t="s">
        <v>2</v>
      </c>
      <c r="E40" t="s">
        <v>577</v>
      </c>
      <c r="F40" s="119">
        <v>32.396999999999998</v>
      </c>
      <c r="G40" s="119">
        <v>33.597999999999999</v>
      </c>
      <c r="H40" s="119">
        <v>34.396999999999998</v>
      </c>
      <c r="I40" s="119">
        <v>34.47</v>
      </c>
      <c r="J40" s="119">
        <v>31.698</v>
      </c>
    </row>
    <row r="41" spans="1:10" x14ac:dyDescent="0.3">
      <c r="A41" t="s">
        <v>23</v>
      </c>
      <c r="B41" t="s">
        <v>185</v>
      </c>
      <c r="C41" t="s">
        <v>184</v>
      </c>
      <c r="D41" t="s">
        <v>2</v>
      </c>
      <c r="E41" t="s">
        <v>578</v>
      </c>
      <c r="F41" s="119">
        <v>1.8049999999999999</v>
      </c>
      <c r="G41" s="119">
        <v>1.8</v>
      </c>
      <c r="H41" s="119">
        <v>1.6619999999999999</v>
      </c>
      <c r="I41" s="119">
        <v>1.623</v>
      </c>
      <c r="J41" s="119">
        <v>1.5469999999999999</v>
      </c>
    </row>
    <row r="42" spans="1:10" x14ac:dyDescent="0.3">
      <c r="A42" t="s">
        <v>23</v>
      </c>
      <c r="B42" t="s">
        <v>183</v>
      </c>
      <c r="C42" t="s">
        <v>182</v>
      </c>
      <c r="D42" t="s">
        <v>2</v>
      </c>
      <c r="E42" t="s">
        <v>579</v>
      </c>
      <c r="F42" s="119">
        <v>3.61</v>
      </c>
      <c r="G42" s="119">
        <v>3.3410000000000002</v>
      </c>
      <c r="H42" s="119">
        <v>3.6989999999999998</v>
      </c>
      <c r="I42" s="119">
        <v>3.169</v>
      </c>
      <c r="J42" s="119">
        <v>2.54</v>
      </c>
    </row>
    <row r="43" spans="1:10" x14ac:dyDescent="0.3">
      <c r="A43" t="s">
        <v>23</v>
      </c>
      <c r="B43" t="s">
        <v>181</v>
      </c>
      <c r="C43" t="s">
        <v>180</v>
      </c>
      <c r="D43" t="s">
        <v>2</v>
      </c>
      <c r="E43" t="s">
        <v>599</v>
      </c>
      <c r="F43" s="119">
        <v>119.679</v>
      </c>
      <c r="G43" s="119">
        <v>115.5</v>
      </c>
      <c r="H43" s="119">
        <v>112.11799999999999</v>
      </c>
      <c r="I43" s="119">
        <v>109.39699999999999</v>
      </c>
      <c r="J43" s="119">
        <v>111.21300000000001</v>
      </c>
    </row>
    <row r="44" spans="1:10" x14ac:dyDescent="0.3">
      <c r="A44" t="s">
        <v>23</v>
      </c>
      <c r="B44" t="s">
        <v>179</v>
      </c>
      <c r="C44" t="s">
        <v>178</v>
      </c>
      <c r="D44" t="s">
        <v>2</v>
      </c>
      <c r="E44" t="s">
        <v>600</v>
      </c>
      <c r="F44" s="119">
        <v>9.4909999999999997</v>
      </c>
      <c r="G44" s="119">
        <v>9.0500000000000007</v>
      </c>
      <c r="H44" s="119">
        <v>9.0169999999999995</v>
      </c>
      <c r="I44" s="119">
        <v>8.9179999999999993</v>
      </c>
      <c r="J44" s="119">
        <v>8.8469999999999995</v>
      </c>
    </row>
    <row r="45" spans="1:10" x14ac:dyDescent="0.3">
      <c r="A45" t="s">
        <v>23</v>
      </c>
      <c r="B45" t="s">
        <v>177</v>
      </c>
      <c r="C45" t="s">
        <v>176</v>
      </c>
      <c r="D45" t="s">
        <v>2</v>
      </c>
      <c r="E45" t="s">
        <v>601</v>
      </c>
      <c r="F45" s="119">
        <v>64.236999999999995</v>
      </c>
      <c r="G45" s="119">
        <v>60.861000000000004</v>
      </c>
      <c r="H45" s="119">
        <v>55.132999999999996</v>
      </c>
      <c r="I45" s="119">
        <v>53.040000000000006</v>
      </c>
      <c r="J45" s="119">
        <v>50.366</v>
      </c>
    </row>
    <row r="46" spans="1:10" x14ac:dyDescent="0.3">
      <c r="A46" t="s">
        <v>23</v>
      </c>
      <c r="B46" t="s">
        <v>175</v>
      </c>
      <c r="C46" t="s">
        <v>174</v>
      </c>
      <c r="D46" t="s">
        <v>2</v>
      </c>
      <c r="E46" t="s">
        <v>602</v>
      </c>
      <c r="F46" s="119">
        <v>21.980999999999998</v>
      </c>
      <c r="G46" s="119">
        <v>22.913</v>
      </c>
      <c r="H46" s="119">
        <v>23.933</v>
      </c>
      <c r="I46" s="119">
        <v>23.437000000000001</v>
      </c>
      <c r="J46" s="119">
        <v>19.957000000000001</v>
      </c>
    </row>
    <row r="47" spans="1:10" x14ac:dyDescent="0.3">
      <c r="A47" t="s">
        <v>23</v>
      </c>
      <c r="B47" t="s">
        <v>173</v>
      </c>
      <c r="C47" t="s">
        <v>172</v>
      </c>
      <c r="D47" t="s">
        <v>2</v>
      </c>
      <c r="E47" t="s">
        <v>603</v>
      </c>
      <c r="F47" s="119">
        <v>107.31500000000003</v>
      </c>
      <c r="G47" s="119">
        <v>102.44200000000002</v>
      </c>
      <c r="H47" s="119">
        <v>100.273</v>
      </c>
      <c r="I47" s="119">
        <v>96.927999999999997</v>
      </c>
      <c r="J47" s="119">
        <v>96.546000000000006</v>
      </c>
    </row>
    <row r="48" spans="1:10" x14ac:dyDescent="0.3">
      <c r="A48" t="s">
        <v>23</v>
      </c>
      <c r="B48" t="s">
        <v>171</v>
      </c>
      <c r="C48" t="s">
        <v>170</v>
      </c>
      <c r="D48" t="s">
        <v>2</v>
      </c>
      <c r="E48" t="s">
        <v>606</v>
      </c>
      <c r="F48" s="119">
        <v>100.28499999999994</v>
      </c>
      <c r="G48" s="119">
        <v>98.215999999999937</v>
      </c>
      <c r="H48" s="119">
        <v>92.330999999999989</v>
      </c>
      <c r="I48" s="119">
        <v>90.242000000000019</v>
      </c>
      <c r="J48" s="119">
        <v>86.183999999999983</v>
      </c>
    </row>
    <row r="49" spans="1:10" x14ac:dyDescent="0.3">
      <c r="A49" t="s">
        <v>23</v>
      </c>
      <c r="B49" t="s">
        <v>169</v>
      </c>
      <c r="C49" t="s">
        <v>168</v>
      </c>
      <c r="D49" t="s">
        <v>2</v>
      </c>
      <c r="E49" t="s">
        <v>604</v>
      </c>
      <c r="F49" s="119">
        <v>185.61899999999997</v>
      </c>
      <c r="G49" s="119">
        <v>177.74499999999995</v>
      </c>
      <c r="H49" s="119">
        <v>168.67099999999999</v>
      </c>
      <c r="I49" s="119">
        <v>163.733</v>
      </c>
      <c r="J49" s="119">
        <v>162.773</v>
      </c>
    </row>
    <row r="50" spans="1:10" x14ac:dyDescent="0.3">
      <c r="A50" t="s">
        <v>23</v>
      </c>
      <c r="B50" t="s">
        <v>167</v>
      </c>
      <c r="C50" t="s">
        <v>166</v>
      </c>
      <c r="D50" t="s">
        <v>2</v>
      </c>
      <c r="E50" t="s">
        <v>605</v>
      </c>
      <c r="F50" s="119">
        <v>207.59999999999997</v>
      </c>
      <c r="G50" s="119">
        <v>200.65799999999996</v>
      </c>
      <c r="H50" s="119">
        <v>192.60399999999998</v>
      </c>
      <c r="I50" s="119">
        <v>187.17000000000002</v>
      </c>
      <c r="J50" s="119">
        <v>182.73</v>
      </c>
    </row>
    <row r="51" spans="1:10" x14ac:dyDescent="0.3">
      <c r="A51" t="s">
        <v>23</v>
      </c>
      <c r="B51" t="s">
        <v>165</v>
      </c>
      <c r="C51" t="s">
        <v>163</v>
      </c>
      <c r="D51" t="s">
        <v>2</v>
      </c>
      <c r="E51" t="s">
        <v>576</v>
      </c>
      <c r="F51" s="119">
        <v>7.1859999999999999</v>
      </c>
      <c r="G51" s="119">
        <v>7.1859999999999999</v>
      </c>
      <c r="H51" s="119">
        <v>7.1859999999999999</v>
      </c>
      <c r="I51" s="119">
        <v>7.1859999999999999</v>
      </c>
      <c r="J51" s="119">
        <v>7.1859999999999999</v>
      </c>
    </row>
    <row r="52" spans="1:10" x14ac:dyDescent="0.3">
      <c r="A52" t="s">
        <v>23</v>
      </c>
      <c r="B52" t="s">
        <v>164</v>
      </c>
      <c r="C52" t="s">
        <v>163</v>
      </c>
      <c r="D52" t="s">
        <v>2</v>
      </c>
      <c r="E52" t="s">
        <v>580</v>
      </c>
      <c r="F52" s="119">
        <v>1.946</v>
      </c>
      <c r="G52" s="119">
        <v>1.946</v>
      </c>
      <c r="H52" s="119">
        <v>1.946</v>
      </c>
      <c r="I52" s="119">
        <v>1.946</v>
      </c>
      <c r="J52" s="119">
        <v>1.946</v>
      </c>
    </row>
    <row r="53" spans="1:10" x14ac:dyDescent="0.3">
      <c r="A53" t="s">
        <v>23</v>
      </c>
      <c r="B53" t="s">
        <v>162</v>
      </c>
      <c r="C53" t="s">
        <v>161</v>
      </c>
      <c r="D53" t="s">
        <v>2</v>
      </c>
      <c r="E53" t="s">
        <v>581</v>
      </c>
      <c r="F53" s="119">
        <v>1.8680000000000001</v>
      </c>
      <c r="G53" s="119">
        <v>0</v>
      </c>
      <c r="H53" s="119">
        <v>0</v>
      </c>
      <c r="I53" s="119">
        <v>0</v>
      </c>
      <c r="J53" s="119">
        <v>0</v>
      </c>
    </row>
    <row r="54" spans="1:10" x14ac:dyDescent="0.3">
      <c r="A54" t="s">
        <v>23</v>
      </c>
      <c r="B54" t="s">
        <v>160</v>
      </c>
      <c r="C54" t="s">
        <v>159</v>
      </c>
      <c r="D54" t="s">
        <v>2</v>
      </c>
      <c r="E54" t="s">
        <v>582</v>
      </c>
      <c r="F54" s="119">
        <v>9.7000000000000003E-2</v>
      </c>
      <c r="G54" s="119">
        <v>9.5000000000000001E-2</v>
      </c>
      <c r="H54" s="119">
        <v>9.2999999999999999E-2</v>
      </c>
      <c r="I54" s="119">
        <v>9.1999999999999998E-2</v>
      </c>
      <c r="J54" s="119">
        <v>0.09</v>
      </c>
    </row>
    <row r="55" spans="1:10" x14ac:dyDescent="0.3">
      <c r="A55" t="s">
        <v>23</v>
      </c>
      <c r="B55" t="s">
        <v>158</v>
      </c>
      <c r="C55" t="s">
        <v>156</v>
      </c>
      <c r="D55" t="s">
        <v>2</v>
      </c>
      <c r="E55" t="s">
        <v>584</v>
      </c>
      <c r="F55" s="119">
        <v>0.5</v>
      </c>
      <c r="G55" s="119">
        <v>0.5</v>
      </c>
      <c r="H55" s="119">
        <v>0.5</v>
      </c>
      <c r="I55" s="119">
        <v>0.5</v>
      </c>
      <c r="J55" s="119">
        <v>0.5</v>
      </c>
    </row>
    <row r="56" spans="1:10" x14ac:dyDescent="0.3">
      <c r="A56" t="s">
        <v>23</v>
      </c>
      <c r="B56" t="s">
        <v>157</v>
      </c>
      <c r="C56" t="s">
        <v>156</v>
      </c>
      <c r="D56" t="s">
        <v>2</v>
      </c>
      <c r="E56" t="s">
        <v>585</v>
      </c>
      <c r="F56" s="119">
        <v>0</v>
      </c>
      <c r="G56" s="119">
        <v>0</v>
      </c>
      <c r="H56" s="119">
        <v>0</v>
      </c>
      <c r="I56" s="119">
        <v>0</v>
      </c>
      <c r="J56" s="119">
        <v>0</v>
      </c>
    </row>
    <row r="57" spans="1:10" x14ac:dyDescent="0.3">
      <c r="A57" t="s">
        <v>23</v>
      </c>
      <c r="B57" t="s">
        <v>155</v>
      </c>
      <c r="C57" t="s">
        <v>154</v>
      </c>
      <c r="D57" t="s">
        <v>2</v>
      </c>
      <c r="E57" t="s">
        <v>586</v>
      </c>
      <c r="F57" s="119">
        <v>0</v>
      </c>
      <c r="G57" s="119">
        <v>0</v>
      </c>
      <c r="H57" s="119">
        <v>0</v>
      </c>
      <c r="I57" s="119">
        <v>0</v>
      </c>
      <c r="J57" s="119">
        <v>0</v>
      </c>
    </row>
    <row r="58" spans="1:10" x14ac:dyDescent="0.3">
      <c r="A58" t="s">
        <v>23</v>
      </c>
      <c r="B58" t="s">
        <v>153</v>
      </c>
      <c r="C58" t="s">
        <v>152</v>
      </c>
      <c r="D58" t="s">
        <v>2</v>
      </c>
      <c r="E58" t="s">
        <v>587</v>
      </c>
      <c r="F58" s="119">
        <v>3.3000000000000002E-2</v>
      </c>
      <c r="G58" s="119">
        <v>3.2000000000000001E-2</v>
      </c>
      <c r="H58" s="119">
        <v>3.1E-2</v>
      </c>
      <c r="I58" s="119">
        <v>3.1E-2</v>
      </c>
      <c r="J58" s="119">
        <v>0.03</v>
      </c>
    </row>
    <row r="59" spans="1:10" x14ac:dyDescent="0.3">
      <c r="A59" t="s">
        <v>23</v>
      </c>
      <c r="B59" t="s">
        <v>151</v>
      </c>
      <c r="C59" t="s">
        <v>149</v>
      </c>
      <c r="D59" t="s">
        <v>2</v>
      </c>
      <c r="E59" t="s">
        <v>589</v>
      </c>
      <c r="F59" s="119">
        <v>0.182</v>
      </c>
      <c r="G59" s="119">
        <v>0.182</v>
      </c>
      <c r="H59" s="119">
        <v>0.182</v>
      </c>
      <c r="I59" s="119">
        <v>0.182</v>
      </c>
      <c r="J59" s="119">
        <v>0.182</v>
      </c>
    </row>
    <row r="60" spans="1:10" x14ac:dyDescent="0.3">
      <c r="A60" t="s">
        <v>23</v>
      </c>
      <c r="B60" t="s">
        <v>150</v>
      </c>
      <c r="C60" t="s">
        <v>149</v>
      </c>
      <c r="D60" t="s">
        <v>2</v>
      </c>
      <c r="E60" t="s">
        <v>590</v>
      </c>
      <c r="F60" s="119">
        <v>0</v>
      </c>
      <c r="G60" s="119">
        <v>0</v>
      </c>
      <c r="H60" s="119">
        <v>0</v>
      </c>
      <c r="I60" s="119">
        <v>0</v>
      </c>
      <c r="J60" s="119">
        <v>0</v>
      </c>
    </row>
    <row r="61" spans="1:10" x14ac:dyDescent="0.3">
      <c r="A61" t="s">
        <v>23</v>
      </c>
      <c r="B61" t="s">
        <v>148</v>
      </c>
      <c r="C61" t="s">
        <v>147</v>
      </c>
      <c r="D61" t="s">
        <v>2</v>
      </c>
      <c r="E61" t="s">
        <v>591</v>
      </c>
      <c r="F61" s="119">
        <v>0</v>
      </c>
      <c r="G61" s="119">
        <v>0</v>
      </c>
      <c r="H61" s="119">
        <v>0</v>
      </c>
      <c r="I61" s="119">
        <v>0</v>
      </c>
      <c r="J61" s="119">
        <v>0</v>
      </c>
    </row>
    <row r="62" spans="1:10" x14ac:dyDescent="0.3">
      <c r="A62" t="s">
        <v>23</v>
      </c>
      <c r="B62" t="s">
        <v>146</v>
      </c>
      <c r="C62" t="s">
        <v>145</v>
      </c>
      <c r="D62" t="s">
        <v>2</v>
      </c>
      <c r="E62" t="s">
        <v>592</v>
      </c>
      <c r="F62" s="119">
        <v>0.64500000000000002</v>
      </c>
      <c r="G62" s="119">
        <v>0.63200000000000001</v>
      </c>
      <c r="H62" s="119">
        <v>0.61899999999999999</v>
      </c>
      <c r="I62" s="119">
        <v>0.60699999999999998</v>
      </c>
      <c r="J62" s="119">
        <v>0.59499999999999997</v>
      </c>
    </row>
    <row r="63" spans="1:10" x14ac:dyDescent="0.3">
      <c r="A63" t="s">
        <v>23</v>
      </c>
      <c r="B63" t="s">
        <v>144</v>
      </c>
      <c r="C63" t="s">
        <v>142</v>
      </c>
      <c r="D63" t="s">
        <v>2</v>
      </c>
      <c r="E63" t="s">
        <v>594</v>
      </c>
      <c r="F63" s="119">
        <v>1.228</v>
      </c>
      <c r="G63" s="119">
        <v>1.228</v>
      </c>
      <c r="H63" s="119">
        <v>1.228</v>
      </c>
      <c r="I63" s="119">
        <v>1.228</v>
      </c>
      <c r="J63" s="119">
        <v>1.228</v>
      </c>
    </row>
    <row r="64" spans="1:10" x14ac:dyDescent="0.3">
      <c r="A64" t="s">
        <v>23</v>
      </c>
      <c r="B64" t="s">
        <v>143</v>
      </c>
      <c r="C64" t="s">
        <v>142</v>
      </c>
      <c r="D64" t="s">
        <v>2</v>
      </c>
      <c r="E64" t="s">
        <v>595</v>
      </c>
      <c r="F64" s="119">
        <v>0</v>
      </c>
      <c r="G64" s="119">
        <v>0</v>
      </c>
      <c r="H64" s="119">
        <v>0</v>
      </c>
      <c r="I64" s="119">
        <v>0</v>
      </c>
      <c r="J64" s="119">
        <v>0</v>
      </c>
    </row>
    <row r="65" spans="1:10" x14ac:dyDescent="0.3">
      <c r="A65" t="s">
        <v>23</v>
      </c>
      <c r="B65" t="s">
        <v>141</v>
      </c>
      <c r="C65" t="s">
        <v>140</v>
      </c>
      <c r="D65" t="s">
        <v>2</v>
      </c>
      <c r="E65" t="s">
        <v>596</v>
      </c>
      <c r="F65" s="119">
        <v>12.843</v>
      </c>
      <c r="G65" s="119">
        <v>12.992000000000001</v>
      </c>
      <c r="H65" s="119">
        <v>13.137</v>
      </c>
      <c r="I65" s="119">
        <v>13.18</v>
      </c>
      <c r="J65" s="119">
        <v>13.208</v>
      </c>
    </row>
    <row r="66" spans="1:10" x14ac:dyDescent="0.3">
      <c r="A66" t="s">
        <v>23</v>
      </c>
      <c r="B66" t="s">
        <v>139</v>
      </c>
      <c r="C66" t="s">
        <v>138</v>
      </c>
      <c r="D66" t="s">
        <v>2</v>
      </c>
      <c r="E66" t="s">
        <v>597</v>
      </c>
      <c r="F66" s="119">
        <v>0.89900000000000002</v>
      </c>
      <c r="G66" s="119">
        <v>0.88100000000000001</v>
      </c>
      <c r="H66" s="119">
        <v>0.86499999999999999</v>
      </c>
      <c r="I66" s="119">
        <v>0.84699999999999998</v>
      </c>
      <c r="J66" s="119">
        <v>0.83099999999999996</v>
      </c>
    </row>
    <row r="67" spans="1:10" x14ac:dyDescent="0.3">
      <c r="A67" t="s">
        <v>23</v>
      </c>
      <c r="B67" t="s">
        <v>137</v>
      </c>
      <c r="C67" t="s">
        <v>136</v>
      </c>
      <c r="D67" t="s">
        <v>2</v>
      </c>
      <c r="E67" t="s">
        <v>583</v>
      </c>
      <c r="F67" s="119">
        <v>55.36</v>
      </c>
      <c r="G67" s="119">
        <v>72.259</v>
      </c>
      <c r="H67" s="119">
        <v>71.637</v>
      </c>
      <c r="I67" s="119">
        <v>67.325000000000003</v>
      </c>
      <c r="J67" s="119">
        <v>54.316000000000003</v>
      </c>
    </row>
    <row r="68" spans="1:10" x14ac:dyDescent="0.3">
      <c r="A68" t="s">
        <v>23</v>
      </c>
      <c r="B68" t="s">
        <v>135</v>
      </c>
      <c r="C68" t="s">
        <v>134</v>
      </c>
      <c r="D68" t="s">
        <v>2</v>
      </c>
      <c r="E68" t="s">
        <v>588</v>
      </c>
      <c r="F68" s="119">
        <v>15.265000000000001</v>
      </c>
      <c r="G68" s="119">
        <v>17.983000000000001</v>
      </c>
      <c r="H68" s="119">
        <v>17.992000000000001</v>
      </c>
      <c r="I68" s="119">
        <v>16.099</v>
      </c>
      <c r="J68" s="119">
        <v>14.319000000000001</v>
      </c>
    </row>
    <row r="69" spans="1:10" x14ac:dyDescent="0.3">
      <c r="A69" t="s">
        <v>23</v>
      </c>
      <c r="B69" t="s">
        <v>133</v>
      </c>
      <c r="C69" t="s">
        <v>132</v>
      </c>
      <c r="D69" t="s">
        <v>2</v>
      </c>
      <c r="E69" t="s">
        <v>593</v>
      </c>
      <c r="F69" s="119">
        <v>83.353999999999999</v>
      </c>
      <c r="G69" s="119">
        <v>79.59</v>
      </c>
      <c r="H69" s="119">
        <v>74.135999999999996</v>
      </c>
      <c r="I69" s="119">
        <v>69.929000000000002</v>
      </c>
      <c r="J69" s="119">
        <v>73.881</v>
      </c>
    </row>
    <row r="70" spans="1:10" x14ac:dyDescent="0.3">
      <c r="A70" t="s">
        <v>23</v>
      </c>
      <c r="B70" t="s">
        <v>131</v>
      </c>
      <c r="C70" t="s">
        <v>130</v>
      </c>
      <c r="D70" t="s">
        <v>2</v>
      </c>
      <c r="E70" t="s">
        <v>598</v>
      </c>
      <c r="F70" s="119">
        <v>184.89400000000001</v>
      </c>
      <c r="G70" s="119">
        <v>177.33199999999999</v>
      </c>
      <c r="H70" s="119">
        <v>175.053</v>
      </c>
      <c r="I70" s="119">
        <v>171.37899999999999</v>
      </c>
      <c r="J70" s="119">
        <v>173.86699999999999</v>
      </c>
    </row>
    <row r="71" spans="1:10" x14ac:dyDescent="0.3">
      <c r="A71" t="s">
        <v>23</v>
      </c>
      <c r="B71" t="s">
        <v>129</v>
      </c>
      <c r="C71" t="s">
        <v>128</v>
      </c>
      <c r="D71" t="s">
        <v>3</v>
      </c>
      <c r="E71" t="s">
        <v>607</v>
      </c>
      <c r="F71" s="119">
        <v>1456235</v>
      </c>
      <c r="G71" s="119">
        <v>1465168</v>
      </c>
      <c r="H71" s="119">
        <v>1474250</v>
      </c>
      <c r="I71" s="119">
        <v>1483370</v>
      </c>
      <c r="J71" s="119">
        <v>1492524</v>
      </c>
    </row>
    <row r="72" spans="1:10" x14ac:dyDescent="0.3">
      <c r="A72" t="s">
        <v>23</v>
      </c>
      <c r="B72" t="s">
        <v>127</v>
      </c>
      <c r="C72" t="s">
        <v>126</v>
      </c>
      <c r="D72" t="s">
        <v>44</v>
      </c>
      <c r="E72" t="s">
        <v>608</v>
      </c>
      <c r="F72" s="119">
        <v>27947</v>
      </c>
      <c r="G72" s="119">
        <v>27992</v>
      </c>
      <c r="H72" s="119">
        <v>28033</v>
      </c>
      <c r="I72" s="119">
        <v>28088</v>
      </c>
      <c r="J72" s="119">
        <v>28157</v>
      </c>
    </row>
    <row r="73" spans="1:10" x14ac:dyDescent="0.3">
      <c r="A73" t="s">
        <v>23</v>
      </c>
      <c r="B73" t="s">
        <v>125</v>
      </c>
      <c r="C73" t="s">
        <v>124</v>
      </c>
      <c r="D73" t="s">
        <v>0</v>
      </c>
      <c r="E73" t="s">
        <v>609</v>
      </c>
      <c r="F73" s="119">
        <v>100</v>
      </c>
      <c r="G73" s="119">
        <v>100</v>
      </c>
      <c r="H73" s="119">
        <v>100</v>
      </c>
      <c r="I73" s="119">
        <v>100</v>
      </c>
      <c r="J73" s="119">
        <v>100</v>
      </c>
    </row>
    <row r="74" spans="1:10" x14ac:dyDescent="0.3">
      <c r="A74" t="s">
        <v>23</v>
      </c>
      <c r="B74" t="s">
        <v>123</v>
      </c>
      <c r="C74" t="s">
        <v>122</v>
      </c>
      <c r="D74" t="s">
        <v>3</v>
      </c>
      <c r="E74" t="s">
        <v>610</v>
      </c>
      <c r="F74" s="119">
        <v>5.5317876030241449</v>
      </c>
      <c r="G74" s="119">
        <v>5.5317782544303151</v>
      </c>
      <c r="H74" s="119">
        <v>5.531783185669517</v>
      </c>
      <c r="I74" s="119">
        <v>5.5316733510131035</v>
      </c>
      <c r="J74" s="119">
        <v>5.5316562508240388</v>
      </c>
    </row>
    <row r="75" spans="1:10" x14ac:dyDescent="0.3">
      <c r="A75" t="s">
        <v>23</v>
      </c>
      <c r="B75" t="s">
        <v>121</v>
      </c>
      <c r="C75" t="s">
        <v>120</v>
      </c>
      <c r="D75" t="s">
        <v>3</v>
      </c>
      <c r="E75" t="s">
        <v>611</v>
      </c>
      <c r="F75" s="119">
        <v>2.1075607399720902E-2</v>
      </c>
      <c r="G75" s="119">
        <v>2.1041726207487853E-2</v>
      </c>
      <c r="H75" s="119">
        <v>2.1010951378732209E-2</v>
      </c>
      <c r="I75" s="119">
        <v>2.0969809171176305E-2</v>
      </c>
      <c r="J75" s="119">
        <v>2.0989452001278545E-2</v>
      </c>
    </row>
    <row r="76" spans="1:10" x14ac:dyDescent="0.3">
      <c r="A76" t="s">
        <v>75</v>
      </c>
      <c r="B76" t="s">
        <v>187</v>
      </c>
      <c r="C76" t="s">
        <v>186</v>
      </c>
      <c r="D76" t="s">
        <v>2</v>
      </c>
      <c r="E76" t="s">
        <v>937</v>
      </c>
      <c r="F76" s="119">
        <v>3.5150000000000001</v>
      </c>
      <c r="G76" s="119">
        <v>3.2309999999999999</v>
      </c>
      <c r="H76" s="119">
        <v>3.1840000000000002</v>
      </c>
      <c r="I76" s="119">
        <v>3.16</v>
      </c>
      <c r="J76" s="119">
        <v>3.3420000000000001</v>
      </c>
    </row>
    <row r="77" spans="1:10" x14ac:dyDescent="0.3">
      <c r="A77" t="s">
        <v>75</v>
      </c>
      <c r="B77" t="s">
        <v>185</v>
      </c>
      <c r="C77" t="s">
        <v>184</v>
      </c>
      <c r="D77" t="s">
        <v>2</v>
      </c>
      <c r="E77" t="s">
        <v>938</v>
      </c>
      <c r="F77" s="119">
        <v>0</v>
      </c>
      <c r="G77" s="119">
        <v>0</v>
      </c>
      <c r="H77" s="119">
        <v>0</v>
      </c>
      <c r="I77" s="119">
        <v>0</v>
      </c>
      <c r="J77" s="119">
        <v>0</v>
      </c>
    </row>
    <row r="78" spans="1:10" x14ac:dyDescent="0.3">
      <c r="A78" t="s">
        <v>75</v>
      </c>
      <c r="B78" t="s">
        <v>183</v>
      </c>
      <c r="C78" t="s">
        <v>182</v>
      </c>
      <c r="D78" t="s">
        <v>2</v>
      </c>
      <c r="E78" t="s">
        <v>939</v>
      </c>
      <c r="F78" s="119">
        <v>0.38492052469709598</v>
      </c>
      <c r="G78" s="119">
        <v>0.38292052469709498</v>
      </c>
      <c r="H78" s="119">
        <v>0.40899999999999997</v>
      </c>
      <c r="I78" s="119">
        <v>0.41199999999999998</v>
      </c>
      <c r="J78" s="119">
        <v>0.4</v>
      </c>
    </row>
    <row r="79" spans="1:10" x14ac:dyDescent="0.3">
      <c r="A79" t="s">
        <v>75</v>
      </c>
      <c r="B79" t="s">
        <v>181</v>
      </c>
      <c r="C79" t="s">
        <v>180</v>
      </c>
      <c r="D79" t="s">
        <v>2</v>
      </c>
      <c r="E79" t="s">
        <v>959</v>
      </c>
      <c r="F79" s="119">
        <v>15.348000000000001</v>
      </c>
      <c r="G79" s="119">
        <v>14.861999999999997</v>
      </c>
      <c r="H79" s="119">
        <v>14.850999999999999</v>
      </c>
      <c r="I79" s="119">
        <v>14.723999999999997</v>
      </c>
      <c r="J79" s="119">
        <v>14.932</v>
      </c>
    </row>
    <row r="80" spans="1:10" x14ac:dyDescent="0.3">
      <c r="A80" t="s">
        <v>75</v>
      </c>
      <c r="B80" t="s">
        <v>179</v>
      </c>
      <c r="C80" t="s">
        <v>178</v>
      </c>
      <c r="D80" t="s">
        <v>2</v>
      </c>
      <c r="E80" t="s">
        <v>960</v>
      </c>
      <c r="F80" s="119">
        <v>0</v>
      </c>
      <c r="G80" s="119">
        <v>0</v>
      </c>
      <c r="H80" s="119">
        <v>0</v>
      </c>
      <c r="I80" s="119">
        <v>0</v>
      </c>
      <c r="J80" s="119">
        <v>0</v>
      </c>
    </row>
    <row r="81" spans="1:10" x14ac:dyDescent="0.3">
      <c r="A81" t="s">
        <v>75</v>
      </c>
      <c r="B81" t="s">
        <v>177</v>
      </c>
      <c r="C81" t="s">
        <v>176</v>
      </c>
      <c r="D81" t="s">
        <v>2</v>
      </c>
      <c r="E81" t="s">
        <v>961</v>
      </c>
      <c r="F81" s="119">
        <v>4.6462832278294419</v>
      </c>
      <c r="G81" s="119">
        <v>4.6391421063552531</v>
      </c>
      <c r="H81" s="119">
        <v>4.6278501802081946</v>
      </c>
      <c r="I81" s="119">
        <v>4.6337809710634925</v>
      </c>
      <c r="J81" s="119">
        <v>4.558412096638226</v>
      </c>
    </row>
    <row r="82" spans="1:10" x14ac:dyDescent="0.3">
      <c r="A82" t="s">
        <v>75</v>
      </c>
      <c r="B82" t="s">
        <v>175</v>
      </c>
      <c r="C82" t="s">
        <v>174</v>
      </c>
      <c r="D82" t="s">
        <v>2</v>
      </c>
      <c r="E82" t="s">
        <v>962</v>
      </c>
      <c r="F82" s="119">
        <v>1.6473823109059824</v>
      </c>
      <c r="G82" s="119">
        <v>1.6540988402648436</v>
      </c>
      <c r="H82" s="119">
        <v>1.6333546234201015</v>
      </c>
      <c r="I82" s="119">
        <v>1.6127042880386093</v>
      </c>
      <c r="J82" s="119">
        <v>1.5801536811700916</v>
      </c>
    </row>
    <row r="83" spans="1:10" x14ac:dyDescent="0.3">
      <c r="A83" t="s">
        <v>75</v>
      </c>
      <c r="B83" t="s">
        <v>173</v>
      </c>
      <c r="C83" t="s">
        <v>172</v>
      </c>
      <c r="D83" t="s">
        <v>2</v>
      </c>
      <c r="E83" t="s">
        <v>963</v>
      </c>
      <c r="F83" s="119">
        <v>10.930213768736868</v>
      </c>
      <c r="G83" s="119">
        <v>10.985971115163808</v>
      </c>
      <c r="H83" s="119">
        <v>10.971098972281245</v>
      </c>
      <c r="I83" s="119">
        <v>10.862843936366344</v>
      </c>
      <c r="J83" s="119">
        <v>10.798746081122834</v>
      </c>
    </row>
    <row r="84" spans="1:10" x14ac:dyDescent="0.3">
      <c r="A84" t="s">
        <v>75</v>
      </c>
      <c r="B84" t="s">
        <v>171</v>
      </c>
      <c r="C84" t="s">
        <v>170</v>
      </c>
      <c r="D84" t="s">
        <v>2</v>
      </c>
      <c r="E84" t="s">
        <v>966</v>
      </c>
      <c r="F84" s="119">
        <v>8.1576161176843041</v>
      </c>
      <c r="G84" s="119">
        <v>8.1242754762859111</v>
      </c>
      <c r="H84" s="119">
        <v>8.1507125959911928</v>
      </c>
      <c r="I84" s="119">
        <v>8.0751131023197633</v>
      </c>
      <c r="J84" s="119">
        <v>7.9834357234687143</v>
      </c>
    </row>
    <row r="85" spans="1:10" x14ac:dyDescent="0.3">
      <c r="A85" t="s">
        <v>75</v>
      </c>
      <c r="B85" t="s">
        <v>169</v>
      </c>
      <c r="C85" t="s">
        <v>168</v>
      </c>
      <c r="D85" t="s">
        <v>2</v>
      </c>
      <c r="E85" t="s">
        <v>964</v>
      </c>
      <c r="F85" s="119">
        <v>17.44044757551519</v>
      </c>
      <c r="G85" s="119">
        <v>17.456147751184876</v>
      </c>
      <c r="H85" s="119">
        <v>17.488456944852338</v>
      </c>
      <c r="I85" s="119">
        <v>17.325252750647497</v>
      </c>
      <c r="J85" s="119">
        <v>17.202028123421456</v>
      </c>
    </row>
    <row r="86" spans="1:10" x14ac:dyDescent="0.3">
      <c r="A86" t="s">
        <v>75</v>
      </c>
      <c r="B86" t="s">
        <v>167</v>
      </c>
      <c r="C86" t="s">
        <v>166</v>
      </c>
      <c r="D86" t="s">
        <v>2</v>
      </c>
      <c r="E86" t="s">
        <v>965</v>
      </c>
      <c r="F86" s="119">
        <v>19.087829886421172</v>
      </c>
      <c r="G86" s="119">
        <v>19.110246591449719</v>
      </c>
      <c r="H86" s="119">
        <v>19.121811568272438</v>
      </c>
      <c r="I86" s="119">
        <v>18.937957038686108</v>
      </c>
      <c r="J86" s="119">
        <v>18.782181804591549</v>
      </c>
    </row>
    <row r="87" spans="1:10" x14ac:dyDescent="0.3">
      <c r="A87" t="s">
        <v>75</v>
      </c>
      <c r="B87" t="s">
        <v>165</v>
      </c>
      <c r="C87" t="s">
        <v>163</v>
      </c>
      <c r="D87" t="s">
        <v>2</v>
      </c>
      <c r="E87" t="s">
        <v>936</v>
      </c>
      <c r="F87" s="119">
        <v>1.61958044874036</v>
      </c>
      <c r="G87" s="119">
        <v>1.36750175340806</v>
      </c>
      <c r="H87" s="119">
        <v>1.3675242330406701</v>
      </c>
      <c r="I87" s="119">
        <v>1.36736517144911</v>
      </c>
      <c r="J87" s="119">
        <v>1.5419759111298801</v>
      </c>
    </row>
    <row r="88" spans="1:10" x14ac:dyDescent="0.3">
      <c r="A88" t="s">
        <v>75</v>
      </c>
      <c r="B88" t="s">
        <v>164</v>
      </c>
      <c r="C88" t="s">
        <v>163</v>
      </c>
      <c r="D88" t="s">
        <v>2</v>
      </c>
      <c r="E88" t="s">
        <v>940</v>
      </c>
      <c r="F88" s="119">
        <v>0</v>
      </c>
      <c r="G88" s="119">
        <v>0</v>
      </c>
      <c r="H88" s="119">
        <v>0</v>
      </c>
      <c r="I88" s="119">
        <v>0</v>
      </c>
      <c r="J88" s="119">
        <v>0</v>
      </c>
    </row>
    <row r="89" spans="1:10" x14ac:dyDescent="0.3">
      <c r="A89" t="s">
        <v>75</v>
      </c>
      <c r="B89" t="s">
        <v>162</v>
      </c>
      <c r="C89" t="s">
        <v>161</v>
      </c>
      <c r="D89" t="s">
        <v>2</v>
      </c>
      <c r="E89" t="s">
        <v>941</v>
      </c>
      <c r="F89" s="119">
        <v>0</v>
      </c>
      <c r="G89" s="119">
        <v>0</v>
      </c>
      <c r="H89" s="119">
        <v>0</v>
      </c>
      <c r="I89" s="119">
        <v>0</v>
      </c>
      <c r="J89" s="119">
        <v>0</v>
      </c>
    </row>
    <row r="90" spans="1:10" x14ac:dyDescent="0.3">
      <c r="A90" t="s">
        <v>75</v>
      </c>
      <c r="B90" t="s">
        <v>160</v>
      </c>
      <c r="C90" t="s">
        <v>159</v>
      </c>
      <c r="D90" t="s">
        <v>2</v>
      </c>
      <c r="E90" t="s">
        <v>942</v>
      </c>
      <c r="F90" s="119">
        <v>0</v>
      </c>
      <c r="G90" s="119">
        <v>0</v>
      </c>
      <c r="H90" s="119">
        <v>0</v>
      </c>
      <c r="I90" s="119">
        <v>0</v>
      </c>
      <c r="J90" s="119">
        <v>0</v>
      </c>
    </row>
    <row r="91" spans="1:10" x14ac:dyDescent="0.3">
      <c r="A91" t="s">
        <v>75</v>
      </c>
      <c r="B91" t="s">
        <v>158</v>
      </c>
      <c r="C91" t="s">
        <v>156</v>
      </c>
      <c r="D91" t="s">
        <v>2</v>
      </c>
      <c r="E91" t="s">
        <v>944</v>
      </c>
      <c r="F91" s="119">
        <v>0</v>
      </c>
      <c r="G91" s="119">
        <v>0</v>
      </c>
      <c r="H91" s="119">
        <v>0</v>
      </c>
      <c r="I91" s="119">
        <v>0</v>
      </c>
      <c r="J91" s="119">
        <v>0</v>
      </c>
    </row>
    <row r="92" spans="1:10" x14ac:dyDescent="0.3">
      <c r="A92" t="s">
        <v>75</v>
      </c>
      <c r="B92" t="s">
        <v>157</v>
      </c>
      <c r="C92" t="s">
        <v>156</v>
      </c>
      <c r="D92" t="s">
        <v>2</v>
      </c>
      <c r="E92" t="s">
        <v>945</v>
      </c>
      <c r="F92" s="119">
        <v>0</v>
      </c>
      <c r="G92" s="119">
        <v>0</v>
      </c>
      <c r="H92" s="119">
        <v>0</v>
      </c>
      <c r="I92" s="119">
        <v>0</v>
      </c>
      <c r="J92" s="119">
        <v>0</v>
      </c>
    </row>
    <row r="93" spans="1:10" x14ac:dyDescent="0.3">
      <c r="A93" t="s">
        <v>75</v>
      </c>
      <c r="B93" t="s">
        <v>155</v>
      </c>
      <c r="C93" t="s">
        <v>154</v>
      </c>
      <c r="D93" t="s">
        <v>2</v>
      </c>
      <c r="E93" t="s">
        <v>946</v>
      </c>
      <c r="F93" s="119">
        <v>0</v>
      </c>
      <c r="G93" s="119">
        <v>0</v>
      </c>
      <c r="H93" s="119">
        <v>0</v>
      </c>
      <c r="I93" s="119">
        <v>0</v>
      </c>
      <c r="J93" s="119">
        <v>0</v>
      </c>
    </row>
    <row r="94" spans="1:10" x14ac:dyDescent="0.3">
      <c r="A94" t="s">
        <v>75</v>
      </c>
      <c r="B94" t="s">
        <v>153</v>
      </c>
      <c r="C94" t="s">
        <v>152</v>
      </c>
      <c r="D94" t="s">
        <v>2</v>
      </c>
      <c r="E94" t="s">
        <v>947</v>
      </c>
      <c r="F94" s="119">
        <v>0</v>
      </c>
      <c r="G94" s="119">
        <v>0</v>
      </c>
      <c r="H94" s="119">
        <v>0</v>
      </c>
      <c r="I94" s="119">
        <v>0</v>
      </c>
      <c r="J94" s="119">
        <v>0</v>
      </c>
    </row>
    <row r="95" spans="1:10" x14ac:dyDescent="0.3">
      <c r="A95" t="s">
        <v>75</v>
      </c>
      <c r="B95" t="s">
        <v>151</v>
      </c>
      <c r="C95" t="s">
        <v>149</v>
      </c>
      <c r="D95" t="s">
        <v>2</v>
      </c>
      <c r="E95" t="s">
        <v>949</v>
      </c>
      <c r="F95" s="119">
        <v>1.7374064616056899</v>
      </c>
      <c r="G95" s="119">
        <v>1.7374064616056899</v>
      </c>
      <c r="H95" s="119">
        <v>1.7374064616056899</v>
      </c>
      <c r="I95" s="119">
        <v>1.7374064616056899</v>
      </c>
      <c r="J95" s="119">
        <v>1.7374064616056899</v>
      </c>
    </row>
    <row r="96" spans="1:10" x14ac:dyDescent="0.3">
      <c r="A96" t="s">
        <v>75</v>
      </c>
      <c r="B96" t="s">
        <v>150</v>
      </c>
      <c r="C96" t="s">
        <v>149</v>
      </c>
      <c r="D96" t="s">
        <v>2</v>
      </c>
      <c r="E96" t="s">
        <v>950</v>
      </c>
      <c r="F96" s="119">
        <v>0</v>
      </c>
      <c r="G96" s="119">
        <v>0</v>
      </c>
      <c r="H96" s="119">
        <v>0</v>
      </c>
      <c r="I96" s="119">
        <v>0</v>
      </c>
      <c r="J96" s="119">
        <v>0</v>
      </c>
    </row>
    <row r="97" spans="1:10" x14ac:dyDescent="0.3">
      <c r="A97" t="s">
        <v>75</v>
      </c>
      <c r="B97" t="s">
        <v>148</v>
      </c>
      <c r="C97" t="s">
        <v>147</v>
      </c>
      <c r="D97" t="s">
        <v>2</v>
      </c>
      <c r="E97" t="s">
        <v>951</v>
      </c>
      <c r="F97" s="119">
        <v>0</v>
      </c>
      <c r="G97" s="119">
        <v>0</v>
      </c>
      <c r="H97" s="119">
        <v>0</v>
      </c>
      <c r="I97" s="119">
        <v>0</v>
      </c>
      <c r="J97" s="119">
        <v>0</v>
      </c>
    </row>
    <row r="98" spans="1:10" x14ac:dyDescent="0.3">
      <c r="A98" t="s">
        <v>75</v>
      </c>
      <c r="B98" t="s">
        <v>146</v>
      </c>
      <c r="C98" t="s">
        <v>145</v>
      </c>
      <c r="D98" t="s">
        <v>2</v>
      </c>
      <c r="E98" t="s">
        <v>952</v>
      </c>
      <c r="F98" s="119">
        <v>0</v>
      </c>
      <c r="G98" s="119">
        <v>0</v>
      </c>
      <c r="H98" s="119">
        <v>0</v>
      </c>
      <c r="I98" s="119">
        <v>0</v>
      </c>
      <c r="J98" s="119">
        <v>0</v>
      </c>
    </row>
    <row r="99" spans="1:10" x14ac:dyDescent="0.3">
      <c r="A99" t="s">
        <v>75</v>
      </c>
      <c r="B99" t="s">
        <v>144</v>
      </c>
      <c r="C99" t="s">
        <v>142</v>
      </c>
      <c r="D99" t="s">
        <v>2</v>
      </c>
      <c r="E99" t="s">
        <v>954</v>
      </c>
      <c r="F99" s="119">
        <v>1.21719921020272E-2</v>
      </c>
      <c r="G99" s="119">
        <v>1.2181733891179601E-2</v>
      </c>
      <c r="H99" s="119">
        <v>1.2191077507868599E-2</v>
      </c>
      <c r="I99" s="119">
        <v>1.2199938660718401E-2</v>
      </c>
      <c r="J99" s="119">
        <v>1.2208538976924199E-2</v>
      </c>
    </row>
    <row r="100" spans="1:10" x14ac:dyDescent="0.3">
      <c r="A100" t="s">
        <v>75</v>
      </c>
      <c r="B100" t="s">
        <v>143</v>
      </c>
      <c r="C100" t="s">
        <v>142</v>
      </c>
      <c r="D100" t="s">
        <v>2</v>
      </c>
      <c r="E100" t="s">
        <v>955</v>
      </c>
      <c r="F100" s="119">
        <v>0</v>
      </c>
      <c r="G100" s="119">
        <v>0</v>
      </c>
      <c r="H100" s="119">
        <v>0</v>
      </c>
      <c r="I100" s="119">
        <v>0</v>
      </c>
      <c r="J100" s="119">
        <v>0</v>
      </c>
    </row>
    <row r="101" spans="1:10" x14ac:dyDescent="0.3">
      <c r="A101" t="s">
        <v>75</v>
      </c>
      <c r="B101" t="s">
        <v>141</v>
      </c>
      <c r="C101" t="s">
        <v>140</v>
      </c>
      <c r="D101" t="s">
        <v>2</v>
      </c>
      <c r="E101" t="s">
        <v>956</v>
      </c>
      <c r="F101" s="119">
        <v>0.99094904817644502</v>
      </c>
      <c r="G101" s="119">
        <v>0.85928110073073305</v>
      </c>
      <c r="H101" s="119">
        <v>0.58041284680849903</v>
      </c>
      <c r="I101" s="119">
        <v>0.59004931145005202</v>
      </c>
      <c r="J101" s="119">
        <v>0.59966278792624605</v>
      </c>
    </row>
    <row r="102" spans="1:10" x14ac:dyDescent="0.3">
      <c r="A102" t="s">
        <v>75</v>
      </c>
      <c r="B102" t="s">
        <v>139</v>
      </c>
      <c r="C102" t="s">
        <v>138</v>
      </c>
      <c r="D102" t="s">
        <v>2</v>
      </c>
      <c r="E102" t="s">
        <v>957</v>
      </c>
      <c r="F102" s="119">
        <v>0</v>
      </c>
      <c r="G102" s="119">
        <v>0</v>
      </c>
      <c r="H102" s="119">
        <v>0</v>
      </c>
      <c r="I102" s="119">
        <v>0</v>
      </c>
      <c r="J102" s="119">
        <v>0</v>
      </c>
    </row>
    <row r="103" spans="1:10" x14ac:dyDescent="0.3">
      <c r="A103" t="s">
        <v>75</v>
      </c>
      <c r="B103" t="s">
        <v>137</v>
      </c>
      <c r="C103" t="s">
        <v>136</v>
      </c>
      <c r="D103" t="s">
        <v>2</v>
      </c>
      <c r="E103" t="s">
        <v>943</v>
      </c>
      <c r="F103" s="119">
        <v>6.0179999999999998</v>
      </c>
      <c r="G103" s="119">
        <v>5.8410000000000002</v>
      </c>
      <c r="H103" s="119">
        <v>4.5140000000000002</v>
      </c>
      <c r="I103" s="119">
        <v>4.3540000000000001</v>
      </c>
      <c r="J103" s="119">
        <v>4.5140000000000002</v>
      </c>
    </row>
    <row r="104" spans="1:10" x14ac:dyDescent="0.3">
      <c r="A104" t="s">
        <v>75</v>
      </c>
      <c r="B104" t="s">
        <v>135</v>
      </c>
      <c r="C104" t="s">
        <v>134</v>
      </c>
      <c r="D104" t="s">
        <v>2</v>
      </c>
      <c r="E104" t="s">
        <v>948</v>
      </c>
      <c r="F104" s="119">
        <v>1.0907720757264801</v>
      </c>
      <c r="G104" s="119">
        <v>1.3188871889134199</v>
      </c>
      <c r="H104" s="119">
        <v>1.31380268447132</v>
      </c>
      <c r="I104" s="119">
        <v>1.0608164336236301</v>
      </c>
      <c r="J104" s="119">
        <v>1.06575439934036</v>
      </c>
    </row>
    <row r="105" spans="1:10" x14ac:dyDescent="0.3">
      <c r="A105" t="s">
        <v>75</v>
      </c>
      <c r="B105" t="s">
        <v>133</v>
      </c>
      <c r="C105" t="s">
        <v>132</v>
      </c>
      <c r="D105" t="s">
        <v>2</v>
      </c>
      <c r="E105" t="s">
        <v>953</v>
      </c>
      <c r="F105" s="119">
        <v>7.4917957750247703</v>
      </c>
      <c r="G105" s="119">
        <v>7.39269202422481</v>
      </c>
      <c r="H105" s="119">
        <v>7.7105437686214202</v>
      </c>
      <c r="I105" s="119">
        <v>7.6582012695270203</v>
      </c>
      <c r="J105" s="119">
        <v>7.6497796163923004</v>
      </c>
    </row>
    <row r="106" spans="1:10" x14ac:dyDescent="0.3">
      <c r="A106" t="s">
        <v>75</v>
      </c>
      <c r="B106" t="s">
        <v>131</v>
      </c>
      <c r="C106" t="s">
        <v>130</v>
      </c>
      <c r="D106" t="s">
        <v>2</v>
      </c>
      <c r="E106" t="s">
        <v>958</v>
      </c>
      <c r="F106" s="119">
        <v>12.8594321492487</v>
      </c>
      <c r="G106" s="119">
        <v>12.5684207868618</v>
      </c>
      <c r="H106" s="119">
        <v>12.7886535469072</v>
      </c>
      <c r="I106" s="119">
        <v>12.6689822968494</v>
      </c>
      <c r="J106" s="119">
        <v>12.814465984267301</v>
      </c>
    </row>
    <row r="107" spans="1:10" x14ac:dyDescent="0.3">
      <c r="A107" t="s">
        <v>75</v>
      </c>
      <c r="B107" t="s">
        <v>129</v>
      </c>
      <c r="C107" t="s">
        <v>128</v>
      </c>
      <c r="D107" t="s">
        <v>3</v>
      </c>
      <c r="E107" t="s">
        <v>967</v>
      </c>
      <c r="F107" s="119">
        <v>105908.04264044411</v>
      </c>
      <c r="G107" s="119">
        <v>106288.07514284045</v>
      </c>
      <c r="H107" s="119">
        <v>106695.10764523677</v>
      </c>
      <c r="I107" s="119">
        <v>107110.16758100552</v>
      </c>
      <c r="J107" s="119">
        <v>107533.22751677425</v>
      </c>
    </row>
    <row r="108" spans="1:10" x14ac:dyDescent="0.3">
      <c r="A108" t="s">
        <v>75</v>
      </c>
      <c r="B108" t="s">
        <v>127</v>
      </c>
      <c r="C108" t="s">
        <v>126</v>
      </c>
      <c r="D108" t="s">
        <v>44</v>
      </c>
      <c r="E108" t="s">
        <v>968</v>
      </c>
      <c r="F108" s="119">
        <v>2662.71378</v>
      </c>
      <c r="G108" s="119">
        <v>2673.4137799999999</v>
      </c>
      <c r="H108" s="119">
        <v>2684.1137800000001</v>
      </c>
      <c r="I108" s="119">
        <v>2694.81378</v>
      </c>
      <c r="J108" s="119">
        <v>2705.5137800000002</v>
      </c>
    </row>
    <row r="109" spans="1:10" x14ac:dyDescent="0.3">
      <c r="A109" t="s">
        <v>75</v>
      </c>
      <c r="B109" t="s">
        <v>125</v>
      </c>
      <c r="C109" t="s">
        <v>124</v>
      </c>
      <c r="D109" t="s">
        <v>0</v>
      </c>
      <c r="E109" t="s">
        <v>969</v>
      </c>
      <c r="F109" s="119">
        <v>100</v>
      </c>
      <c r="G109" s="119">
        <v>100</v>
      </c>
      <c r="H109" s="119">
        <v>99.999999999999986</v>
      </c>
      <c r="I109" s="119">
        <v>100</v>
      </c>
      <c r="J109" s="119">
        <v>100</v>
      </c>
    </row>
    <row r="110" spans="1:10" x14ac:dyDescent="0.3">
      <c r="A110" t="s">
        <v>75</v>
      </c>
      <c r="B110" t="s">
        <v>123</v>
      </c>
      <c r="C110" t="s">
        <v>122</v>
      </c>
      <c r="D110" t="s">
        <v>3</v>
      </c>
      <c r="E110" t="s">
        <v>970</v>
      </c>
      <c r="F110" s="119">
        <v>5.2310958573829085</v>
      </c>
      <c r="G110" s="119">
        <v>5.2319638917128497</v>
      </c>
      <c r="H110" s="119">
        <v>5.2336930640051227</v>
      </c>
      <c r="I110" s="119">
        <v>5.2354821679177714</v>
      </c>
      <c r="J110" s="119">
        <v>5.2366835675443006</v>
      </c>
    </row>
    <row r="111" spans="1:10" x14ac:dyDescent="0.3">
      <c r="A111" t="s">
        <v>75</v>
      </c>
      <c r="B111" t="s">
        <v>121</v>
      </c>
      <c r="C111" t="s">
        <v>120</v>
      </c>
      <c r="D111" t="s">
        <v>3</v>
      </c>
      <c r="E111" t="s">
        <v>971</v>
      </c>
      <c r="F111" s="119">
        <v>3.5677886490676443E-2</v>
      </c>
      <c r="G111" s="119">
        <v>3.5535090269490574E-2</v>
      </c>
      <c r="H111" s="119">
        <v>3.5393432539212254E-2</v>
      </c>
      <c r="I111" s="119">
        <v>3.5252899738400477E-2</v>
      </c>
      <c r="J111" s="119">
        <v>3.5113478520150058E-2</v>
      </c>
    </row>
    <row r="112" spans="1:10" x14ac:dyDescent="0.3">
      <c r="A112" t="s">
        <v>78</v>
      </c>
      <c r="B112" t="s">
        <v>187</v>
      </c>
      <c r="C112" t="s">
        <v>186</v>
      </c>
      <c r="D112" t="s">
        <v>2</v>
      </c>
      <c r="E112" t="s">
        <v>973</v>
      </c>
      <c r="F112" s="119">
        <v>51.420520439054698</v>
      </c>
      <c r="G112" s="119">
        <v>52.941020171774504</v>
      </c>
      <c r="H112" s="119">
        <v>52.740716730171997</v>
      </c>
      <c r="I112" s="119">
        <v>53.132914911565194</v>
      </c>
      <c r="J112" s="119">
        <v>55.171090604805102</v>
      </c>
    </row>
    <row r="113" spans="1:10" x14ac:dyDescent="0.3">
      <c r="A113" t="s">
        <v>78</v>
      </c>
      <c r="B113" t="s">
        <v>185</v>
      </c>
      <c r="C113" t="s">
        <v>184</v>
      </c>
      <c r="D113" t="s">
        <v>2</v>
      </c>
      <c r="E113" t="s">
        <v>974</v>
      </c>
      <c r="F113" s="119">
        <v>0</v>
      </c>
      <c r="G113" s="119">
        <v>0</v>
      </c>
      <c r="H113" s="119">
        <v>0</v>
      </c>
      <c r="I113" s="119">
        <v>0</v>
      </c>
      <c r="J113" s="119">
        <v>0</v>
      </c>
    </row>
    <row r="114" spans="1:10" x14ac:dyDescent="0.3">
      <c r="A114" t="s">
        <v>78</v>
      </c>
      <c r="B114" t="s">
        <v>183</v>
      </c>
      <c r="C114" t="s">
        <v>182</v>
      </c>
      <c r="D114" t="s">
        <v>2</v>
      </c>
      <c r="E114" t="s">
        <v>975</v>
      </c>
      <c r="F114" s="119">
        <v>9.0693392544218554</v>
      </c>
      <c r="G114" s="119">
        <v>9.9833858061170258</v>
      </c>
      <c r="H114" s="119">
        <v>12.5828132936439</v>
      </c>
      <c r="I114" s="119">
        <v>15.631371476863201</v>
      </c>
      <c r="J114" s="119">
        <v>15.1604043943856</v>
      </c>
    </row>
    <row r="115" spans="1:10" x14ac:dyDescent="0.3">
      <c r="A115" t="s">
        <v>78</v>
      </c>
      <c r="B115" t="s">
        <v>181</v>
      </c>
      <c r="C115" t="s">
        <v>180</v>
      </c>
      <c r="D115" t="s">
        <v>2</v>
      </c>
      <c r="E115" t="s">
        <v>995</v>
      </c>
      <c r="F115" s="119">
        <v>351.13259790902595</v>
      </c>
      <c r="G115" s="119">
        <v>353.86847715876792</v>
      </c>
      <c r="H115" s="119">
        <v>337.5129163227445</v>
      </c>
      <c r="I115" s="119">
        <v>331.08489173342849</v>
      </c>
      <c r="J115" s="119">
        <v>333.6847624455836</v>
      </c>
    </row>
    <row r="116" spans="1:10" x14ac:dyDescent="0.3">
      <c r="A116" t="s">
        <v>78</v>
      </c>
      <c r="B116" t="s">
        <v>179</v>
      </c>
      <c r="C116" t="s">
        <v>178</v>
      </c>
      <c r="D116" t="s">
        <v>2</v>
      </c>
      <c r="E116" t="s">
        <v>996</v>
      </c>
      <c r="F116" s="119">
        <v>0</v>
      </c>
      <c r="G116" s="119">
        <v>0</v>
      </c>
      <c r="H116" s="119">
        <v>0</v>
      </c>
      <c r="I116" s="119">
        <v>0</v>
      </c>
      <c r="J116" s="119">
        <v>0</v>
      </c>
    </row>
    <row r="117" spans="1:10" x14ac:dyDescent="0.3">
      <c r="A117" t="s">
        <v>78</v>
      </c>
      <c r="B117" t="s">
        <v>177</v>
      </c>
      <c r="C117" t="s">
        <v>176</v>
      </c>
      <c r="D117" t="s">
        <v>2</v>
      </c>
      <c r="E117" t="s">
        <v>997</v>
      </c>
      <c r="F117" s="119">
        <v>78.892641532496228</v>
      </c>
      <c r="G117" s="119">
        <v>98.956722138185725</v>
      </c>
      <c r="H117" s="119">
        <v>108.5551541965805</v>
      </c>
      <c r="I117" s="119">
        <v>103.36364176593632</v>
      </c>
      <c r="J117" s="119">
        <v>90.308745485274386</v>
      </c>
    </row>
    <row r="118" spans="1:10" x14ac:dyDescent="0.3">
      <c r="A118" t="s">
        <v>78</v>
      </c>
      <c r="B118" t="s">
        <v>175</v>
      </c>
      <c r="C118" t="s">
        <v>174</v>
      </c>
      <c r="D118" t="s">
        <v>2</v>
      </c>
      <c r="E118" t="s">
        <v>998</v>
      </c>
      <c r="F118" s="119">
        <v>40.185769265104931</v>
      </c>
      <c r="G118" s="119">
        <v>41.698416639936191</v>
      </c>
      <c r="H118" s="119">
        <v>44.105261630053612</v>
      </c>
      <c r="I118" s="119">
        <v>47.555029097307397</v>
      </c>
      <c r="J118" s="119">
        <v>48.312110579099411</v>
      </c>
    </row>
    <row r="119" spans="1:10" x14ac:dyDescent="0.3">
      <c r="A119" t="s">
        <v>78</v>
      </c>
      <c r="B119" t="s">
        <v>173</v>
      </c>
      <c r="C119" t="s">
        <v>172</v>
      </c>
      <c r="D119" t="s">
        <v>2</v>
      </c>
      <c r="E119" t="s">
        <v>999</v>
      </c>
      <c r="F119" s="119">
        <v>282.3892680466372</v>
      </c>
      <c r="G119" s="119">
        <v>292.92474971487434</v>
      </c>
      <c r="H119" s="119">
        <v>284.24619053493041</v>
      </c>
      <c r="I119" s="119">
        <v>276.06761614577425</v>
      </c>
      <c r="J119" s="119">
        <v>268.2676416336011</v>
      </c>
    </row>
    <row r="120" spans="1:10" x14ac:dyDescent="0.3">
      <c r="A120" t="s">
        <v>78</v>
      </c>
      <c r="B120" t="s">
        <v>171</v>
      </c>
      <c r="C120" t="s">
        <v>170</v>
      </c>
      <c r="D120" t="s">
        <v>2</v>
      </c>
      <c r="E120" t="s">
        <v>1002</v>
      </c>
      <c r="F120" s="119">
        <v>149.28868629386523</v>
      </c>
      <c r="G120" s="119">
        <v>169.97915146766672</v>
      </c>
      <c r="H120" s="119">
        <v>187.83382518987082</v>
      </c>
      <c r="I120" s="119">
        <v>186.37489795641363</v>
      </c>
      <c r="J120" s="119">
        <v>176.84603787405536</v>
      </c>
    </row>
    <row r="121" spans="1:10" x14ac:dyDescent="0.3">
      <c r="A121" t="s">
        <v>78</v>
      </c>
      <c r="B121" t="s">
        <v>169</v>
      </c>
      <c r="C121" t="s">
        <v>168</v>
      </c>
      <c r="D121" t="s">
        <v>2</v>
      </c>
      <c r="E121" t="s">
        <v>1000</v>
      </c>
      <c r="F121" s="119">
        <v>391.49218507539751</v>
      </c>
      <c r="G121" s="119">
        <v>421.20548454260489</v>
      </c>
      <c r="H121" s="119">
        <v>427.9747540947476</v>
      </c>
      <c r="I121" s="119">
        <v>414.88748500488049</v>
      </c>
      <c r="J121" s="119">
        <v>396.80156892855706</v>
      </c>
    </row>
    <row r="122" spans="1:10" x14ac:dyDescent="0.3">
      <c r="A122" t="s">
        <v>78</v>
      </c>
      <c r="B122" t="s">
        <v>167</v>
      </c>
      <c r="C122" t="s">
        <v>166</v>
      </c>
      <c r="D122" t="s">
        <v>2</v>
      </c>
      <c r="E122" t="s">
        <v>1001</v>
      </c>
      <c r="F122" s="119">
        <v>431.67795434050242</v>
      </c>
      <c r="G122" s="119">
        <v>462.90390118254106</v>
      </c>
      <c r="H122" s="119">
        <v>472.08001572480123</v>
      </c>
      <c r="I122" s="119">
        <v>462.44251410218789</v>
      </c>
      <c r="J122" s="119">
        <v>445.11367950765646</v>
      </c>
    </row>
    <row r="123" spans="1:10" x14ac:dyDescent="0.3">
      <c r="A123" t="s">
        <v>78</v>
      </c>
      <c r="B123" t="s">
        <v>165</v>
      </c>
      <c r="C123" t="s">
        <v>163</v>
      </c>
      <c r="D123" t="s">
        <v>2</v>
      </c>
      <c r="E123" t="s">
        <v>972</v>
      </c>
      <c r="F123" s="119">
        <v>3.8144439022771999</v>
      </c>
      <c r="G123" s="119">
        <v>3.6482057382720203</v>
      </c>
      <c r="H123" s="119">
        <v>3.6480378008357404</v>
      </c>
      <c r="I123" s="119">
        <v>3.6450849030379899</v>
      </c>
      <c r="J123" s="119">
        <v>3.8661439389980901</v>
      </c>
    </row>
    <row r="124" spans="1:10" x14ac:dyDescent="0.3">
      <c r="A124" t="s">
        <v>78</v>
      </c>
      <c r="B124" t="s">
        <v>164</v>
      </c>
      <c r="C124" t="s">
        <v>163</v>
      </c>
      <c r="D124" t="s">
        <v>2</v>
      </c>
      <c r="E124" t="s">
        <v>976</v>
      </c>
      <c r="F124" s="119">
        <v>0</v>
      </c>
      <c r="G124" s="119">
        <v>0</v>
      </c>
      <c r="H124" s="119">
        <v>0</v>
      </c>
      <c r="I124" s="119">
        <v>0</v>
      </c>
      <c r="J124" s="119">
        <v>0</v>
      </c>
    </row>
    <row r="125" spans="1:10" x14ac:dyDescent="0.3">
      <c r="A125" t="s">
        <v>78</v>
      </c>
      <c r="B125" t="s">
        <v>162</v>
      </c>
      <c r="C125" t="s">
        <v>161</v>
      </c>
      <c r="D125" t="s">
        <v>2</v>
      </c>
      <c r="E125" t="s">
        <v>977</v>
      </c>
      <c r="F125" s="119">
        <v>0</v>
      </c>
      <c r="G125" s="119">
        <v>0</v>
      </c>
      <c r="H125" s="119">
        <v>0</v>
      </c>
      <c r="I125" s="119">
        <v>0</v>
      </c>
      <c r="J125" s="119">
        <v>0</v>
      </c>
    </row>
    <row r="126" spans="1:10" x14ac:dyDescent="0.3">
      <c r="A126" t="s">
        <v>78</v>
      </c>
      <c r="B126" t="s">
        <v>160</v>
      </c>
      <c r="C126" t="s">
        <v>159</v>
      </c>
      <c r="D126" t="s">
        <v>2</v>
      </c>
      <c r="E126" t="s">
        <v>978</v>
      </c>
      <c r="F126" s="119">
        <v>2.7368985335616198</v>
      </c>
      <c r="G126" s="119">
        <v>2.7118430358724899</v>
      </c>
      <c r="H126" s="119">
        <v>2.6861300313393599</v>
      </c>
      <c r="I126" s="119">
        <v>2.6609586482695202</v>
      </c>
      <c r="J126" s="119">
        <v>2.6370511628294202</v>
      </c>
    </row>
    <row r="127" spans="1:10" x14ac:dyDescent="0.3">
      <c r="A127" t="s">
        <v>78</v>
      </c>
      <c r="B127" t="s">
        <v>158</v>
      </c>
      <c r="C127" t="s">
        <v>156</v>
      </c>
      <c r="D127" t="s">
        <v>2</v>
      </c>
      <c r="E127" t="s">
        <v>980</v>
      </c>
      <c r="F127" s="119">
        <v>0.27563020884100198</v>
      </c>
      <c r="G127" s="119">
        <v>0.29508435716922299</v>
      </c>
      <c r="H127" s="119">
        <v>0.30001177379562399</v>
      </c>
      <c r="I127" s="119">
        <v>0.30466606101050903</v>
      </c>
      <c r="J127" s="119">
        <v>0.32488202948024703</v>
      </c>
    </row>
    <row r="128" spans="1:10" x14ac:dyDescent="0.3">
      <c r="A128" t="s">
        <v>78</v>
      </c>
      <c r="B128" t="s">
        <v>157</v>
      </c>
      <c r="C128" t="s">
        <v>156</v>
      </c>
      <c r="D128" t="s">
        <v>2</v>
      </c>
      <c r="E128" t="s">
        <v>981</v>
      </c>
      <c r="F128" s="119">
        <v>0</v>
      </c>
      <c r="G128" s="119">
        <v>0</v>
      </c>
      <c r="H128" s="119">
        <v>0</v>
      </c>
      <c r="I128" s="119">
        <v>0</v>
      </c>
      <c r="J128" s="119">
        <v>0</v>
      </c>
    </row>
    <row r="129" spans="1:10" x14ac:dyDescent="0.3">
      <c r="A129" t="s">
        <v>78</v>
      </c>
      <c r="B129" t="s">
        <v>155</v>
      </c>
      <c r="C129" t="s">
        <v>154</v>
      </c>
      <c r="D129" t="s">
        <v>2</v>
      </c>
      <c r="E129" t="s">
        <v>982</v>
      </c>
      <c r="F129" s="119">
        <v>0</v>
      </c>
      <c r="G129" s="119">
        <v>0</v>
      </c>
      <c r="H129" s="119">
        <v>0</v>
      </c>
      <c r="I129" s="119">
        <v>0</v>
      </c>
      <c r="J129" s="119">
        <v>0</v>
      </c>
    </row>
    <row r="130" spans="1:10" x14ac:dyDescent="0.3">
      <c r="A130" t="s">
        <v>78</v>
      </c>
      <c r="B130" t="s">
        <v>153</v>
      </c>
      <c r="C130" t="s">
        <v>152</v>
      </c>
      <c r="D130" t="s">
        <v>2</v>
      </c>
      <c r="E130" t="s">
        <v>983</v>
      </c>
      <c r="F130" s="119">
        <v>0.72479131125940099</v>
      </c>
      <c r="G130" s="119">
        <v>0.71815606088322903</v>
      </c>
      <c r="H130" s="119">
        <v>0.71134668814125301</v>
      </c>
      <c r="I130" s="119">
        <v>0.704680748751217</v>
      </c>
      <c r="J130" s="119">
        <v>0.69834951742913498</v>
      </c>
    </row>
    <row r="131" spans="1:10" x14ac:dyDescent="0.3">
      <c r="A131" t="s">
        <v>78</v>
      </c>
      <c r="B131" t="s">
        <v>151</v>
      </c>
      <c r="C131" t="s">
        <v>149</v>
      </c>
      <c r="D131" t="s">
        <v>2</v>
      </c>
      <c r="E131" t="s">
        <v>985</v>
      </c>
      <c r="F131" s="119">
        <v>5.8364663651693496</v>
      </c>
      <c r="G131" s="119">
        <v>5.9368922045760693</v>
      </c>
      <c r="H131" s="119">
        <v>5.9396657529347596</v>
      </c>
      <c r="I131" s="119">
        <v>5.94150711807763</v>
      </c>
      <c r="J131" s="119">
        <v>5.9946707967951101</v>
      </c>
    </row>
    <row r="132" spans="1:10" x14ac:dyDescent="0.3">
      <c r="A132" t="s">
        <v>78</v>
      </c>
      <c r="B132" t="s">
        <v>150</v>
      </c>
      <c r="C132" t="s">
        <v>149</v>
      </c>
      <c r="D132" t="s">
        <v>2</v>
      </c>
      <c r="E132" t="s">
        <v>986</v>
      </c>
      <c r="F132" s="119">
        <v>0</v>
      </c>
      <c r="G132" s="119">
        <v>0</v>
      </c>
      <c r="H132" s="119">
        <v>0</v>
      </c>
      <c r="I132" s="119">
        <v>0</v>
      </c>
      <c r="J132" s="119">
        <v>0</v>
      </c>
    </row>
    <row r="133" spans="1:10" x14ac:dyDescent="0.3">
      <c r="A133" t="s">
        <v>78</v>
      </c>
      <c r="B133" t="s">
        <v>148</v>
      </c>
      <c r="C133" t="s">
        <v>147</v>
      </c>
      <c r="D133" t="s">
        <v>2</v>
      </c>
      <c r="E133" t="s">
        <v>987</v>
      </c>
      <c r="F133" s="119">
        <v>6.9813836472907802</v>
      </c>
      <c r="G133" s="119">
        <v>2.7681287930948901</v>
      </c>
      <c r="H133" s="119">
        <v>0.569908869166594</v>
      </c>
      <c r="I133" s="119">
        <v>0</v>
      </c>
      <c r="J133" s="119">
        <v>0</v>
      </c>
    </row>
    <row r="134" spans="1:10" x14ac:dyDescent="0.3">
      <c r="A134" t="s">
        <v>78</v>
      </c>
      <c r="B134" t="s">
        <v>146</v>
      </c>
      <c r="C134" t="s">
        <v>145</v>
      </c>
      <c r="D134" t="s">
        <v>2</v>
      </c>
      <c r="E134" t="s">
        <v>988</v>
      </c>
      <c r="F134" s="119">
        <v>9.9199049615652299</v>
      </c>
      <c r="G134" s="119">
        <v>9.8290911616406103</v>
      </c>
      <c r="H134" s="119">
        <v>9.7358942242616298</v>
      </c>
      <c r="I134" s="119">
        <v>9.6446603970875504</v>
      </c>
      <c r="J134" s="119">
        <v>9.5580075743659307</v>
      </c>
    </row>
    <row r="135" spans="1:10" x14ac:dyDescent="0.3">
      <c r="A135" t="s">
        <v>78</v>
      </c>
      <c r="B135" t="s">
        <v>144</v>
      </c>
      <c r="C135" t="s">
        <v>142</v>
      </c>
      <c r="D135" t="s">
        <v>2</v>
      </c>
      <c r="E135" t="s">
        <v>990</v>
      </c>
      <c r="F135" s="119">
        <v>1.1280979208827171</v>
      </c>
      <c r="G135" s="119">
        <v>1.1318909949997396</v>
      </c>
      <c r="H135" s="119">
        <v>1.1355290362330086</v>
      </c>
      <c r="I135" s="119">
        <v>1.1389792247965282</v>
      </c>
      <c r="J135" s="119">
        <v>1.1423278537072943</v>
      </c>
    </row>
    <row r="136" spans="1:10" x14ac:dyDescent="0.3">
      <c r="A136" t="s">
        <v>78</v>
      </c>
      <c r="B136" t="s">
        <v>143</v>
      </c>
      <c r="C136" t="s">
        <v>142</v>
      </c>
      <c r="D136" t="s">
        <v>2</v>
      </c>
      <c r="E136" t="s">
        <v>991</v>
      </c>
      <c r="F136" s="119">
        <v>0</v>
      </c>
      <c r="G136" s="119">
        <v>0</v>
      </c>
      <c r="H136" s="119">
        <v>0</v>
      </c>
      <c r="I136" s="119">
        <v>0</v>
      </c>
      <c r="J136" s="119">
        <v>0</v>
      </c>
    </row>
    <row r="137" spans="1:10" x14ac:dyDescent="0.3">
      <c r="A137" t="s">
        <v>78</v>
      </c>
      <c r="B137" t="s">
        <v>141</v>
      </c>
      <c r="C137" t="s">
        <v>140</v>
      </c>
      <c r="D137" t="s">
        <v>2</v>
      </c>
      <c r="E137" t="s">
        <v>992</v>
      </c>
      <c r="F137" s="119">
        <v>50.845363246529644</v>
      </c>
      <c r="G137" s="119">
        <v>46.062394306357533</v>
      </c>
      <c r="H137" s="119">
        <v>34.906818726137899</v>
      </c>
      <c r="I137" s="119">
        <v>36.442366684245052</v>
      </c>
      <c r="J137" s="119">
        <v>37.495263857217147</v>
      </c>
    </row>
    <row r="138" spans="1:10" x14ac:dyDescent="0.3">
      <c r="A138" t="s">
        <v>78</v>
      </c>
      <c r="B138" t="s">
        <v>139</v>
      </c>
      <c r="C138" t="s">
        <v>138</v>
      </c>
      <c r="D138" t="s">
        <v>2</v>
      </c>
      <c r="E138" t="s">
        <v>993</v>
      </c>
      <c r="F138" s="119">
        <v>10.3580250825504</v>
      </c>
      <c r="G138" s="119">
        <v>10.2632004223238</v>
      </c>
      <c r="H138" s="119">
        <v>10.1658873715709</v>
      </c>
      <c r="I138" s="119">
        <v>10.070624133273</v>
      </c>
      <c r="J138" s="119">
        <v>9.9801442229611492</v>
      </c>
    </row>
    <row r="139" spans="1:10" x14ac:dyDescent="0.3">
      <c r="A139" t="s">
        <v>78</v>
      </c>
      <c r="B139" t="s">
        <v>137</v>
      </c>
      <c r="C139" t="s">
        <v>136</v>
      </c>
      <c r="D139" t="s">
        <v>2</v>
      </c>
      <c r="E139" t="s">
        <v>979</v>
      </c>
      <c r="F139" s="119">
        <v>75.156837702341107</v>
      </c>
      <c r="G139" s="119">
        <v>76.612328489066897</v>
      </c>
      <c r="H139" s="119">
        <v>78.476660055155293</v>
      </c>
      <c r="I139" s="119">
        <v>84.000245036697905</v>
      </c>
      <c r="J139" s="119">
        <v>88.103546162020194</v>
      </c>
    </row>
    <row r="140" spans="1:10" x14ac:dyDescent="0.3">
      <c r="A140" t="s">
        <v>78</v>
      </c>
      <c r="B140" t="s">
        <v>135</v>
      </c>
      <c r="C140" t="s">
        <v>134</v>
      </c>
      <c r="D140" t="s">
        <v>2</v>
      </c>
      <c r="E140" t="s">
        <v>984</v>
      </c>
      <c r="F140" s="119">
        <v>27.914218638859879</v>
      </c>
      <c r="G140" s="119">
        <v>29.291158170646117</v>
      </c>
      <c r="H140" s="119">
        <v>28.722951426382721</v>
      </c>
      <c r="I140" s="119">
        <v>27.624156048124728</v>
      </c>
      <c r="J140" s="119">
        <v>28.212698736613461</v>
      </c>
    </row>
    <row r="141" spans="1:10" x14ac:dyDescent="0.3">
      <c r="A141" t="s">
        <v>78</v>
      </c>
      <c r="B141" t="s">
        <v>133</v>
      </c>
      <c r="C141" t="s">
        <v>132</v>
      </c>
      <c r="D141" t="s">
        <v>2</v>
      </c>
      <c r="E141" t="s">
        <v>989</v>
      </c>
      <c r="F141" s="119">
        <v>142.63671880226576</v>
      </c>
      <c r="G141" s="119">
        <v>181.41646028012781</v>
      </c>
      <c r="H141" s="119">
        <v>207.80255366550043</v>
      </c>
      <c r="I141" s="119">
        <v>206.43022010097701</v>
      </c>
      <c r="J141" s="119">
        <v>197.47577433425428</v>
      </c>
    </row>
    <row r="142" spans="1:10" x14ac:dyDescent="0.3">
      <c r="A142" t="s">
        <v>78</v>
      </c>
      <c r="B142" t="s">
        <v>131</v>
      </c>
      <c r="C142" t="s">
        <v>130</v>
      </c>
      <c r="D142" t="s">
        <v>2</v>
      </c>
      <c r="E142" t="s">
        <v>994</v>
      </c>
      <c r="F142" s="119">
        <v>356.81794228229768</v>
      </c>
      <c r="G142" s="119">
        <v>370.92964438595078</v>
      </c>
      <c r="H142" s="119">
        <v>354.75952878271119</v>
      </c>
      <c r="I142" s="119">
        <v>343.09902428551641</v>
      </c>
      <c r="J142" s="119">
        <v>343.0155230088173</v>
      </c>
    </row>
    <row r="143" spans="1:10" x14ac:dyDescent="0.3">
      <c r="A143" t="s">
        <v>78</v>
      </c>
      <c r="B143" t="s">
        <v>129</v>
      </c>
      <c r="C143" t="s">
        <v>128</v>
      </c>
      <c r="D143" t="s">
        <v>3</v>
      </c>
      <c r="E143" t="s">
        <v>1003</v>
      </c>
      <c r="F143" s="119">
        <v>3781715.8139072214</v>
      </c>
      <c r="G143" s="119">
        <v>3803844.6593947783</v>
      </c>
      <c r="H143" s="119">
        <v>3827416.1768702059</v>
      </c>
      <c r="I143" s="119">
        <v>3851411.4772210643</v>
      </c>
      <c r="J143" s="119">
        <v>3875828.558556343</v>
      </c>
    </row>
    <row r="144" spans="1:10" x14ac:dyDescent="0.3">
      <c r="A144" t="s">
        <v>78</v>
      </c>
      <c r="B144" t="s">
        <v>127</v>
      </c>
      <c r="C144" t="s">
        <v>126</v>
      </c>
      <c r="D144" t="s">
        <v>44</v>
      </c>
      <c r="E144" t="s">
        <v>1004</v>
      </c>
      <c r="F144" s="119">
        <v>49651.904305003001</v>
      </c>
      <c r="G144" s="119">
        <v>49781.684305003007</v>
      </c>
      <c r="H144" s="119">
        <v>49911.464305002999</v>
      </c>
      <c r="I144" s="119">
        <v>50041.244305002998</v>
      </c>
      <c r="J144" s="119">
        <v>50171.024305003004</v>
      </c>
    </row>
    <row r="145" spans="1:10" x14ac:dyDescent="0.3">
      <c r="A145" t="s">
        <v>78</v>
      </c>
      <c r="B145" t="s">
        <v>125</v>
      </c>
      <c r="C145" t="s">
        <v>124</v>
      </c>
      <c r="D145" t="s">
        <v>0</v>
      </c>
      <c r="E145" t="s">
        <v>1005</v>
      </c>
      <c r="F145" s="119">
        <v>91.602481401915298</v>
      </c>
      <c r="G145" s="119">
        <v>92.345118560362096</v>
      </c>
      <c r="H145" s="119">
        <v>92.845421269769261</v>
      </c>
      <c r="I145" s="119">
        <v>92.814424635709543</v>
      </c>
      <c r="J145" s="119">
        <v>92.855027159664104</v>
      </c>
    </row>
    <row r="146" spans="1:10" x14ac:dyDescent="0.3">
      <c r="A146" t="s">
        <v>78</v>
      </c>
      <c r="B146" t="s">
        <v>123</v>
      </c>
      <c r="C146" t="s">
        <v>122</v>
      </c>
      <c r="D146" t="s">
        <v>3</v>
      </c>
      <c r="E146" t="s">
        <v>1006</v>
      </c>
      <c r="F146" s="119">
        <v>4.6636867651029892</v>
      </c>
      <c r="G146" s="119">
        <v>4.7109531441554555</v>
      </c>
      <c r="H146" s="119">
        <v>4.7348372552583839</v>
      </c>
      <c r="I146" s="119">
        <v>4.7344991940768493</v>
      </c>
      <c r="J146" s="119">
        <v>4.7357491820961064</v>
      </c>
    </row>
    <row r="147" spans="1:10" x14ac:dyDescent="0.3">
      <c r="A147" t="s">
        <v>78</v>
      </c>
      <c r="B147" t="s">
        <v>121</v>
      </c>
      <c r="C147" t="s">
        <v>120</v>
      </c>
      <c r="D147" t="s">
        <v>3</v>
      </c>
      <c r="E147" t="s">
        <v>1007</v>
      </c>
      <c r="F147" s="119">
        <v>1.5528105332353041E-2</v>
      </c>
      <c r="G147" s="119">
        <v>1.5487623827193715E-2</v>
      </c>
      <c r="H147" s="119">
        <v>1.5447352842395307E-2</v>
      </c>
      <c r="I147" s="119">
        <v>1.5407290740028967E-2</v>
      </c>
      <c r="J147" s="119">
        <v>1.5387367722588374E-2</v>
      </c>
    </row>
    <row r="148" spans="1:10" x14ac:dyDescent="0.3">
      <c r="A148" t="s">
        <v>5</v>
      </c>
      <c r="B148" t="s">
        <v>187</v>
      </c>
      <c r="C148" t="s">
        <v>186</v>
      </c>
      <c r="D148" t="s">
        <v>2</v>
      </c>
      <c r="E148" t="s">
        <v>397</v>
      </c>
      <c r="F148" s="119">
        <v>52.451999999999998</v>
      </c>
      <c r="G148" s="119">
        <v>52.25</v>
      </c>
      <c r="H148" s="119">
        <v>52.061</v>
      </c>
      <c r="I148" s="119">
        <v>51.877000000000002</v>
      </c>
      <c r="J148" s="119">
        <v>51.703000000000003</v>
      </c>
    </row>
    <row r="149" spans="1:10" x14ac:dyDescent="0.3">
      <c r="A149" t="s">
        <v>5</v>
      </c>
      <c r="B149" t="s">
        <v>185</v>
      </c>
      <c r="C149" t="s">
        <v>184</v>
      </c>
      <c r="D149" t="s">
        <v>2</v>
      </c>
      <c r="E149" t="s">
        <v>398</v>
      </c>
      <c r="F149" s="119">
        <v>0.35099999999999998</v>
      </c>
      <c r="G149" s="119">
        <v>0.35</v>
      </c>
      <c r="H149" s="119">
        <v>0.34899999999999998</v>
      </c>
      <c r="I149" s="119">
        <v>0.34799999999999998</v>
      </c>
      <c r="J149" s="119">
        <v>0.34699999999999998</v>
      </c>
    </row>
    <row r="150" spans="1:10" x14ac:dyDescent="0.3">
      <c r="A150" t="s">
        <v>5</v>
      </c>
      <c r="B150" t="s">
        <v>183</v>
      </c>
      <c r="C150" t="s">
        <v>182</v>
      </c>
      <c r="D150" t="s">
        <v>2</v>
      </c>
      <c r="E150" t="s">
        <v>399</v>
      </c>
      <c r="F150" s="119">
        <v>2.23</v>
      </c>
      <c r="G150" s="119">
        <v>2.2229999999999999</v>
      </c>
      <c r="H150" s="119">
        <v>2.2160000000000002</v>
      </c>
      <c r="I150" s="119">
        <v>2.2090000000000001</v>
      </c>
      <c r="J150" s="119">
        <v>2.202</v>
      </c>
    </row>
    <row r="151" spans="1:10" x14ac:dyDescent="0.3">
      <c r="A151" t="s">
        <v>5</v>
      </c>
      <c r="B151" t="s">
        <v>181</v>
      </c>
      <c r="C151" t="s">
        <v>180</v>
      </c>
      <c r="D151" t="s">
        <v>2</v>
      </c>
      <c r="E151" t="s">
        <v>419</v>
      </c>
      <c r="F151" s="119">
        <v>149.27099999999999</v>
      </c>
      <c r="G151" s="119">
        <v>147.58600000000001</v>
      </c>
      <c r="H151" s="119">
        <v>146.18599999999998</v>
      </c>
      <c r="I151" s="119">
        <v>144.738</v>
      </c>
      <c r="J151" s="119">
        <v>143.601</v>
      </c>
    </row>
    <row r="152" spans="1:10" x14ac:dyDescent="0.3">
      <c r="A152" t="s">
        <v>5</v>
      </c>
      <c r="B152" t="s">
        <v>179</v>
      </c>
      <c r="C152" t="s">
        <v>178</v>
      </c>
      <c r="D152" t="s">
        <v>2</v>
      </c>
      <c r="E152" t="s">
        <v>420</v>
      </c>
      <c r="F152" s="119">
        <v>23.727</v>
      </c>
      <c r="G152" s="119">
        <v>23.675999999999998</v>
      </c>
      <c r="H152" s="119">
        <v>23.62</v>
      </c>
      <c r="I152" s="119">
        <v>23.568000000000001</v>
      </c>
      <c r="J152" s="119">
        <v>23.514000000000003</v>
      </c>
    </row>
    <row r="153" spans="1:10" x14ac:dyDescent="0.3">
      <c r="A153" t="s">
        <v>5</v>
      </c>
      <c r="B153" t="s">
        <v>177</v>
      </c>
      <c r="C153" t="s">
        <v>176</v>
      </c>
      <c r="D153" t="s">
        <v>2</v>
      </c>
      <c r="E153" t="s">
        <v>421</v>
      </c>
      <c r="F153" s="119">
        <v>57.747</v>
      </c>
      <c r="G153" s="119">
        <v>57.573999999999998</v>
      </c>
      <c r="H153" s="119">
        <v>57.388999999999996</v>
      </c>
      <c r="I153" s="119">
        <v>57.212000000000003</v>
      </c>
      <c r="J153" s="119">
        <v>57.029000000000003</v>
      </c>
    </row>
    <row r="154" spans="1:10" x14ac:dyDescent="0.3">
      <c r="A154" t="s">
        <v>5</v>
      </c>
      <c r="B154" t="s">
        <v>175</v>
      </c>
      <c r="C154" t="s">
        <v>174</v>
      </c>
      <c r="D154" t="s">
        <v>2</v>
      </c>
      <c r="E154" t="s">
        <v>422</v>
      </c>
      <c r="F154" s="119">
        <v>17.478999999999999</v>
      </c>
      <c r="G154" s="119">
        <v>17.269000000000002</v>
      </c>
      <c r="H154" s="119">
        <v>17.071999999999999</v>
      </c>
      <c r="I154" s="119">
        <v>16.880000000000003</v>
      </c>
      <c r="J154" s="119">
        <v>16.698</v>
      </c>
    </row>
    <row r="155" spans="1:10" x14ac:dyDescent="0.3">
      <c r="A155" t="s">
        <v>5</v>
      </c>
      <c r="B155" t="s">
        <v>173</v>
      </c>
      <c r="C155" t="s">
        <v>172</v>
      </c>
      <c r="D155" t="s">
        <v>2</v>
      </c>
      <c r="E155" t="s">
        <v>423</v>
      </c>
      <c r="F155" s="119">
        <v>133.41199999999998</v>
      </c>
      <c r="G155" s="119">
        <v>131.994</v>
      </c>
      <c r="H155" s="119">
        <v>130.50499999999997</v>
      </c>
      <c r="I155" s="119">
        <v>128.84799999999996</v>
      </c>
      <c r="J155" s="119">
        <v>128.13300000000001</v>
      </c>
    </row>
    <row r="156" spans="1:10" x14ac:dyDescent="0.3">
      <c r="A156" t="s">
        <v>5</v>
      </c>
      <c r="B156" t="s">
        <v>171</v>
      </c>
      <c r="C156" t="s">
        <v>170</v>
      </c>
      <c r="D156" t="s">
        <v>2</v>
      </c>
      <c r="E156" t="s">
        <v>426</v>
      </c>
      <c r="F156" s="119">
        <v>89.568000000000012</v>
      </c>
      <c r="G156" s="119">
        <v>88.669999999999987</v>
      </c>
      <c r="H156" s="119">
        <v>87.87700000000001</v>
      </c>
      <c r="I156" s="119">
        <v>87.126000000000005</v>
      </c>
      <c r="J156" s="119">
        <v>86.441000000000003</v>
      </c>
    </row>
    <row r="157" spans="1:10" x14ac:dyDescent="0.3">
      <c r="A157" t="s">
        <v>5</v>
      </c>
      <c r="B157" t="s">
        <v>169</v>
      </c>
      <c r="C157" t="s">
        <v>168</v>
      </c>
      <c r="D157" t="s">
        <v>2</v>
      </c>
      <c r="E157" t="s">
        <v>424</v>
      </c>
      <c r="F157" s="119">
        <v>205.50099999999998</v>
      </c>
      <c r="G157" s="119">
        <v>203.39499999999998</v>
      </c>
      <c r="H157" s="119">
        <v>201.30999999999997</v>
      </c>
      <c r="I157" s="119">
        <v>199.09399999999997</v>
      </c>
      <c r="J157" s="119">
        <v>197.876</v>
      </c>
    </row>
    <row r="158" spans="1:10" x14ac:dyDescent="0.3">
      <c r="A158" t="s">
        <v>5</v>
      </c>
      <c r="B158" t="s">
        <v>167</v>
      </c>
      <c r="C158" t="s">
        <v>166</v>
      </c>
      <c r="D158" t="s">
        <v>2</v>
      </c>
      <c r="E158" t="s">
        <v>425</v>
      </c>
      <c r="F158" s="119">
        <v>222.98</v>
      </c>
      <c r="G158" s="119">
        <v>220.66399999999999</v>
      </c>
      <c r="H158" s="119">
        <v>218.38199999999998</v>
      </c>
      <c r="I158" s="119">
        <v>215.97399999999996</v>
      </c>
      <c r="J158" s="119">
        <v>214.57400000000001</v>
      </c>
    </row>
    <row r="159" spans="1:10" x14ac:dyDescent="0.3">
      <c r="A159" t="s">
        <v>5</v>
      </c>
      <c r="B159" t="s">
        <v>165</v>
      </c>
      <c r="C159" t="s">
        <v>163</v>
      </c>
      <c r="D159" t="s">
        <v>2</v>
      </c>
      <c r="E159" t="s">
        <v>396</v>
      </c>
      <c r="F159" s="119">
        <v>4.9569999999999999</v>
      </c>
      <c r="G159" s="119">
        <v>4.9569999999999999</v>
      </c>
      <c r="H159" s="119">
        <v>4.9569999999999999</v>
      </c>
      <c r="I159" s="119">
        <v>4.9569999999999999</v>
      </c>
      <c r="J159" s="119">
        <v>4.9569999999999999</v>
      </c>
    </row>
    <row r="160" spans="1:10" x14ac:dyDescent="0.3">
      <c r="A160" t="s">
        <v>5</v>
      </c>
      <c r="B160" t="s">
        <v>164</v>
      </c>
      <c r="C160" t="s">
        <v>163</v>
      </c>
      <c r="D160" t="s">
        <v>2</v>
      </c>
      <c r="E160" t="s">
        <v>400</v>
      </c>
      <c r="F160" s="119">
        <v>0</v>
      </c>
      <c r="G160" s="119">
        <v>0</v>
      </c>
      <c r="H160" s="119">
        <v>0</v>
      </c>
      <c r="I160" s="119">
        <v>0</v>
      </c>
      <c r="J160" s="119">
        <v>0</v>
      </c>
    </row>
    <row r="161" spans="1:10" x14ac:dyDescent="0.3">
      <c r="A161" t="s">
        <v>5</v>
      </c>
      <c r="B161" t="s">
        <v>162</v>
      </c>
      <c r="C161" t="s">
        <v>161</v>
      </c>
      <c r="D161" t="s">
        <v>2</v>
      </c>
      <c r="E161" t="s">
        <v>401</v>
      </c>
      <c r="F161" s="119">
        <v>0</v>
      </c>
      <c r="G161" s="119">
        <v>0</v>
      </c>
      <c r="H161" s="119">
        <v>0</v>
      </c>
      <c r="I161" s="119">
        <v>0</v>
      </c>
      <c r="J161" s="119">
        <v>0</v>
      </c>
    </row>
    <row r="162" spans="1:10" x14ac:dyDescent="0.3">
      <c r="A162" t="s">
        <v>5</v>
      </c>
      <c r="B162" t="s">
        <v>160</v>
      </c>
      <c r="C162" t="s">
        <v>159</v>
      </c>
      <c r="D162" t="s">
        <v>2</v>
      </c>
      <c r="E162" t="s">
        <v>402</v>
      </c>
      <c r="F162" s="119">
        <v>0.40600000000000003</v>
      </c>
      <c r="G162" s="119">
        <v>0.49299999999999999</v>
      </c>
      <c r="H162" s="119">
        <v>0.498</v>
      </c>
      <c r="I162" s="119">
        <v>0.503</v>
      </c>
      <c r="J162" s="119">
        <v>0.50700000000000001</v>
      </c>
    </row>
    <row r="163" spans="1:10" x14ac:dyDescent="0.3">
      <c r="A163" t="s">
        <v>5</v>
      </c>
      <c r="B163" t="s">
        <v>158</v>
      </c>
      <c r="C163" t="s">
        <v>156</v>
      </c>
      <c r="D163" t="s">
        <v>2</v>
      </c>
      <c r="E163" t="s">
        <v>404</v>
      </c>
      <c r="F163" s="119">
        <v>1.036</v>
      </c>
      <c r="G163" s="119">
        <v>1.036</v>
      </c>
      <c r="H163" s="119">
        <v>1.036</v>
      </c>
      <c r="I163" s="119">
        <v>1.036</v>
      </c>
      <c r="J163" s="119">
        <v>1.036</v>
      </c>
    </row>
    <row r="164" spans="1:10" x14ac:dyDescent="0.3">
      <c r="A164" t="s">
        <v>5</v>
      </c>
      <c r="B164" t="s">
        <v>157</v>
      </c>
      <c r="C164" t="s">
        <v>156</v>
      </c>
      <c r="D164" t="s">
        <v>2</v>
      </c>
      <c r="E164" t="s">
        <v>405</v>
      </c>
      <c r="F164" s="119">
        <v>0</v>
      </c>
      <c r="G164" s="119">
        <v>0</v>
      </c>
      <c r="H164" s="119">
        <v>0</v>
      </c>
      <c r="I164" s="119">
        <v>0</v>
      </c>
      <c r="J164" s="119">
        <v>0</v>
      </c>
    </row>
    <row r="165" spans="1:10" x14ac:dyDescent="0.3">
      <c r="A165" t="s">
        <v>5</v>
      </c>
      <c r="B165" t="s">
        <v>155</v>
      </c>
      <c r="C165" t="s">
        <v>154</v>
      </c>
      <c r="D165" t="s">
        <v>2</v>
      </c>
      <c r="E165" t="s">
        <v>406</v>
      </c>
      <c r="F165" s="119">
        <v>0</v>
      </c>
      <c r="G165" s="119">
        <v>0</v>
      </c>
      <c r="H165" s="119">
        <v>0</v>
      </c>
      <c r="I165" s="119">
        <v>0</v>
      </c>
      <c r="J165" s="119">
        <v>0</v>
      </c>
    </row>
    <row r="166" spans="1:10" x14ac:dyDescent="0.3">
      <c r="A166" t="s">
        <v>5</v>
      </c>
      <c r="B166" t="s">
        <v>153</v>
      </c>
      <c r="C166" t="s">
        <v>152</v>
      </c>
      <c r="D166" t="s">
        <v>2</v>
      </c>
      <c r="E166" t="s">
        <v>407</v>
      </c>
      <c r="F166" s="119">
        <v>9.0999999999999998E-2</v>
      </c>
      <c r="G166" s="119">
        <v>0.111</v>
      </c>
      <c r="H166" s="119">
        <v>0.112</v>
      </c>
      <c r="I166" s="119">
        <v>0.113</v>
      </c>
      <c r="J166" s="119">
        <v>0.114</v>
      </c>
    </row>
    <row r="167" spans="1:10" x14ac:dyDescent="0.3">
      <c r="A167" t="s">
        <v>5</v>
      </c>
      <c r="B167" t="s">
        <v>151</v>
      </c>
      <c r="C167" t="s">
        <v>149</v>
      </c>
      <c r="D167" t="s">
        <v>2</v>
      </c>
      <c r="E167" t="s">
        <v>409</v>
      </c>
      <c r="F167" s="119">
        <v>0.312</v>
      </c>
      <c r="G167" s="119">
        <v>0.312</v>
      </c>
      <c r="H167" s="119">
        <v>0.312</v>
      </c>
      <c r="I167" s="119">
        <v>0.312</v>
      </c>
      <c r="J167" s="119">
        <v>0.312</v>
      </c>
    </row>
    <row r="168" spans="1:10" x14ac:dyDescent="0.3">
      <c r="A168" t="s">
        <v>5</v>
      </c>
      <c r="B168" t="s">
        <v>150</v>
      </c>
      <c r="C168" t="s">
        <v>149</v>
      </c>
      <c r="D168" t="s">
        <v>2</v>
      </c>
      <c r="E168" t="s">
        <v>410</v>
      </c>
      <c r="F168" s="119">
        <v>0</v>
      </c>
      <c r="G168" s="119">
        <v>0</v>
      </c>
      <c r="H168" s="119">
        <v>0</v>
      </c>
      <c r="I168" s="119">
        <v>0</v>
      </c>
      <c r="J168" s="119">
        <v>0</v>
      </c>
    </row>
    <row r="169" spans="1:10" x14ac:dyDescent="0.3">
      <c r="A169" t="s">
        <v>5</v>
      </c>
      <c r="B169" t="s">
        <v>148</v>
      </c>
      <c r="C169" t="s">
        <v>147</v>
      </c>
      <c r="D169" t="s">
        <v>2</v>
      </c>
      <c r="E169" t="s">
        <v>411</v>
      </c>
      <c r="F169" s="119">
        <v>0</v>
      </c>
      <c r="G169" s="119">
        <v>0</v>
      </c>
      <c r="H169" s="119">
        <v>0</v>
      </c>
      <c r="I169" s="119">
        <v>0</v>
      </c>
      <c r="J169" s="119">
        <v>0</v>
      </c>
    </row>
    <row r="170" spans="1:10" x14ac:dyDescent="0.3">
      <c r="A170" t="s">
        <v>5</v>
      </c>
      <c r="B170" t="s">
        <v>146</v>
      </c>
      <c r="C170" t="s">
        <v>145</v>
      </c>
      <c r="D170" t="s">
        <v>2</v>
      </c>
      <c r="E170" t="s">
        <v>412</v>
      </c>
      <c r="F170" s="119">
        <v>1.8280000000000001</v>
      </c>
      <c r="G170" s="119">
        <v>2.218</v>
      </c>
      <c r="H170" s="119">
        <v>2.2389999999999999</v>
      </c>
      <c r="I170" s="119">
        <v>2.2610000000000001</v>
      </c>
      <c r="J170" s="119">
        <v>2.2829999999999999</v>
      </c>
    </row>
    <row r="171" spans="1:10" x14ac:dyDescent="0.3">
      <c r="A171" t="s">
        <v>5</v>
      </c>
      <c r="B171" t="s">
        <v>144</v>
      </c>
      <c r="C171" t="s">
        <v>142</v>
      </c>
      <c r="D171" t="s">
        <v>2</v>
      </c>
      <c r="E171" t="s">
        <v>414</v>
      </c>
      <c r="F171" s="119">
        <v>1.827</v>
      </c>
      <c r="G171" s="119">
        <v>1.827</v>
      </c>
      <c r="H171" s="119">
        <v>1.827</v>
      </c>
      <c r="I171" s="119">
        <v>1.827</v>
      </c>
      <c r="J171" s="119">
        <v>1.827</v>
      </c>
    </row>
    <row r="172" spans="1:10" x14ac:dyDescent="0.3">
      <c r="A172" t="s">
        <v>5</v>
      </c>
      <c r="B172" t="s">
        <v>143</v>
      </c>
      <c r="C172" t="s">
        <v>142</v>
      </c>
      <c r="D172" t="s">
        <v>2</v>
      </c>
      <c r="E172" t="s">
        <v>415</v>
      </c>
      <c r="F172" s="119">
        <v>0</v>
      </c>
      <c r="G172" s="119">
        <v>0</v>
      </c>
      <c r="H172" s="119">
        <v>0</v>
      </c>
      <c r="I172" s="119">
        <v>0</v>
      </c>
      <c r="J172" s="119">
        <v>0</v>
      </c>
    </row>
    <row r="173" spans="1:10" x14ac:dyDescent="0.3">
      <c r="A173" t="s">
        <v>5</v>
      </c>
      <c r="B173" t="s">
        <v>141</v>
      </c>
      <c r="C173" t="s">
        <v>140</v>
      </c>
      <c r="D173" t="s">
        <v>2</v>
      </c>
      <c r="E173" t="s">
        <v>416</v>
      </c>
      <c r="F173" s="119">
        <v>14.188000000000001</v>
      </c>
      <c r="G173" s="119">
        <v>14.036</v>
      </c>
      <c r="H173" s="119">
        <v>13.839</v>
      </c>
      <c r="I173" s="119">
        <v>13.545999999999999</v>
      </c>
      <c r="J173" s="119">
        <v>13.686</v>
      </c>
    </row>
    <row r="174" spans="1:10" x14ac:dyDescent="0.3">
      <c r="A174" t="s">
        <v>5</v>
      </c>
      <c r="B174" t="s">
        <v>139</v>
      </c>
      <c r="C174" t="s">
        <v>138</v>
      </c>
      <c r="D174" t="s">
        <v>2</v>
      </c>
      <c r="E174" t="s">
        <v>417</v>
      </c>
      <c r="F174" s="119">
        <v>4.1260000000000003</v>
      </c>
      <c r="G174" s="119">
        <v>5.0060000000000002</v>
      </c>
      <c r="H174" s="119">
        <v>5.0549999999999997</v>
      </c>
      <c r="I174" s="119">
        <v>5.1050000000000004</v>
      </c>
      <c r="J174" s="119">
        <v>5.1539999999999999</v>
      </c>
    </row>
    <row r="175" spans="1:10" x14ac:dyDescent="0.3">
      <c r="A175" t="s">
        <v>5</v>
      </c>
      <c r="B175" t="s">
        <v>137</v>
      </c>
      <c r="C175" t="s">
        <v>136</v>
      </c>
      <c r="D175" t="s">
        <v>2</v>
      </c>
      <c r="E175" t="s">
        <v>403</v>
      </c>
      <c r="F175" s="119">
        <v>59.841999999999999</v>
      </c>
      <c r="G175" s="119">
        <v>59.689</v>
      </c>
      <c r="H175" s="119">
        <v>58.018999999999998</v>
      </c>
      <c r="I175" s="119">
        <v>56.383000000000003</v>
      </c>
      <c r="J175" s="119">
        <v>56.198999999999998</v>
      </c>
    </row>
    <row r="176" spans="1:10" x14ac:dyDescent="0.3">
      <c r="A176" t="s">
        <v>5</v>
      </c>
      <c r="B176" t="s">
        <v>135</v>
      </c>
      <c r="C176" t="s">
        <v>134</v>
      </c>
      <c r="D176" t="s">
        <v>2</v>
      </c>
      <c r="E176" t="s">
        <v>408</v>
      </c>
      <c r="F176" s="119">
        <v>16.835999999999999</v>
      </c>
      <c r="G176" s="119">
        <v>16.788</v>
      </c>
      <c r="H176" s="119">
        <v>16.742999999999999</v>
      </c>
      <c r="I176" s="119">
        <v>10.039999999999999</v>
      </c>
      <c r="J176" s="119">
        <v>9.9920000000000009</v>
      </c>
    </row>
    <row r="177" spans="1:10" x14ac:dyDescent="0.3">
      <c r="A177" t="s">
        <v>5</v>
      </c>
      <c r="B177" t="s">
        <v>133</v>
      </c>
      <c r="C177" t="s">
        <v>132</v>
      </c>
      <c r="D177" t="s">
        <v>2</v>
      </c>
      <c r="E177" t="s">
        <v>413</v>
      </c>
      <c r="F177" s="119">
        <v>90.081999999999994</v>
      </c>
      <c r="G177" s="119">
        <v>93.055999999999997</v>
      </c>
      <c r="H177" s="119">
        <v>89.103999999999999</v>
      </c>
      <c r="I177" s="119">
        <v>88.224999999999994</v>
      </c>
      <c r="J177" s="119">
        <v>77.617999999999995</v>
      </c>
    </row>
    <row r="178" spans="1:10" x14ac:dyDescent="0.3">
      <c r="A178" t="s">
        <v>5</v>
      </c>
      <c r="B178" t="s">
        <v>131</v>
      </c>
      <c r="C178" t="s">
        <v>130</v>
      </c>
      <c r="D178" t="s">
        <v>2</v>
      </c>
      <c r="E178" t="s">
        <v>418</v>
      </c>
      <c r="F178" s="119">
        <v>181.31800000000001</v>
      </c>
      <c r="G178" s="119">
        <v>199.184</v>
      </c>
      <c r="H178" s="119">
        <v>196.63300000000001</v>
      </c>
      <c r="I178" s="119">
        <v>182.58099999999999</v>
      </c>
      <c r="J178" s="119">
        <v>167.92400000000001</v>
      </c>
    </row>
    <row r="179" spans="1:10" x14ac:dyDescent="0.3">
      <c r="A179" t="s">
        <v>5</v>
      </c>
      <c r="B179" t="s">
        <v>129</v>
      </c>
      <c r="C179" t="s">
        <v>128</v>
      </c>
      <c r="D179" t="s">
        <v>3</v>
      </c>
      <c r="E179" t="s">
        <v>427</v>
      </c>
      <c r="F179" s="119">
        <v>2078647</v>
      </c>
      <c r="G179" s="119">
        <v>2096014.9999999998</v>
      </c>
      <c r="H179" s="119">
        <v>2112839</v>
      </c>
      <c r="I179" s="119">
        <v>2129025</v>
      </c>
      <c r="J179" s="119">
        <v>2145379</v>
      </c>
    </row>
    <row r="180" spans="1:10" x14ac:dyDescent="0.3">
      <c r="A180" t="s">
        <v>5</v>
      </c>
      <c r="B180" t="s">
        <v>127</v>
      </c>
      <c r="C180" t="s">
        <v>126</v>
      </c>
      <c r="D180" t="s">
        <v>44</v>
      </c>
      <c r="E180" t="s">
        <v>428</v>
      </c>
      <c r="F180" s="119">
        <v>26400</v>
      </c>
      <c r="G180" s="119">
        <v>26550</v>
      </c>
      <c r="H180" s="119">
        <v>26692</v>
      </c>
      <c r="I180" s="119">
        <v>26845</v>
      </c>
      <c r="J180" s="119">
        <v>27004</v>
      </c>
    </row>
    <row r="181" spans="1:10" x14ac:dyDescent="0.3">
      <c r="A181" t="s">
        <v>5</v>
      </c>
      <c r="B181" t="s">
        <v>125</v>
      </c>
      <c r="C181" t="s">
        <v>124</v>
      </c>
      <c r="D181" t="s">
        <v>0</v>
      </c>
      <c r="E181" t="s">
        <v>429</v>
      </c>
      <c r="F181" s="119">
        <v>98.245723728283693</v>
      </c>
      <c r="G181" s="119">
        <v>98.24545634314272</v>
      </c>
      <c r="H181" s="119">
        <v>98.245328413017106</v>
      </c>
      <c r="I181" s="119">
        <v>98.244751552229573</v>
      </c>
      <c r="J181" s="119">
        <v>98.244730067700644</v>
      </c>
    </row>
    <row r="182" spans="1:10" x14ac:dyDescent="0.3">
      <c r="A182" t="s">
        <v>5</v>
      </c>
      <c r="B182" t="s">
        <v>123</v>
      </c>
      <c r="C182" t="s">
        <v>122</v>
      </c>
      <c r="D182" t="s">
        <v>3</v>
      </c>
      <c r="E182" t="s">
        <v>430</v>
      </c>
      <c r="F182" s="119">
        <v>5.2931088383725609</v>
      </c>
      <c r="G182" s="119">
        <v>5.2936523630611028</v>
      </c>
      <c r="H182" s="119">
        <v>5.2942240552811981</v>
      </c>
      <c r="I182" s="119">
        <v>5.2946504979880196</v>
      </c>
      <c r="J182" s="119">
        <v>5.2951894976959784</v>
      </c>
    </row>
    <row r="183" spans="1:10" x14ac:dyDescent="0.3">
      <c r="A183" t="s">
        <v>5</v>
      </c>
      <c r="B183" t="s">
        <v>121</v>
      </c>
      <c r="C183" t="s">
        <v>120</v>
      </c>
      <c r="D183" t="s">
        <v>3</v>
      </c>
      <c r="E183" t="s">
        <v>431</v>
      </c>
      <c r="F183" s="119">
        <v>1.2083333333333333E-2</v>
      </c>
      <c r="G183" s="119">
        <v>1.2052730696798493E-2</v>
      </c>
      <c r="H183" s="119">
        <v>1.2026075228532893E-2</v>
      </c>
      <c r="I183" s="119">
        <v>1.1994784876140809E-2</v>
      </c>
      <c r="J183" s="119">
        <v>1.1961190934676345E-2</v>
      </c>
    </row>
    <row r="184" spans="1:10" x14ac:dyDescent="0.3">
      <c r="A184" t="s">
        <v>74</v>
      </c>
      <c r="B184" t="s">
        <v>187</v>
      </c>
      <c r="C184" t="s">
        <v>186</v>
      </c>
      <c r="D184" t="s">
        <v>2</v>
      </c>
      <c r="E184" t="s">
        <v>901</v>
      </c>
      <c r="F184" s="119">
        <v>47.905520439054698</v>
      </c>
      <c r="G184" s="119">
        <v>49.710020171774502</v>
      </c>
      <c r="H184" s="119">
        <v>49.556716730171999</v>
      </c>
      <c r="I184" s="119">
        <v>49.972914911565198</v>
      </c>
      <c r="J184" s="119">
        <v>51.829090604805103</v>
      </c>
    </row>
    <row r="185" spans="1:10" x14ac:dyDescent="0.3">
      <c r="A185" t="s">
        <v>74</v>
      </c>
      <c r="B185" t="s">
        <v>185</v>
      </c>
      <c r="C185" t="s">
        <v>184</v>
      </c>
      <c r="D185" t="s">
        <v>2</v>
      </c>
      <c r="E185" t="s">
        <v>902</v>
      </c>
      <c r="F185" s="119">
        <v>0</v>
      </c>
      <c r="G185" s="119">
        <v>0</v>
      </c>
      <c r="H185" s="119">
        <v>0</v>
      </c>
      <c r="I185" s="119">
        <v>0</v>
      </c>
      <c r="J185" s="119">
        <v>0</v>
      </c>
    </row>
    <row r="186" spans="1:10" x14ac:dyDescent="0.3">
      <c r="A186" t="s">
        <v>74</v>
      </c>
      <c r="B186" t="s">
        <v>183</v>
      </c>
      <c r="C186" t="s">
        <v>182</v>
      </c>
      <c r="D186" t="s">
        <v>2</v>
      </c>
      <c r="E186" t="s">
        <v>903</v>
      </c>
      <c r="F186" s="119">
        <v>8.6844187297247597</v>
      </c>
      <c r="G186" s="119">
        <v>9.6004652814199307</v>
      </c>
      <c r="H186" s="119">
        <v>12.173813293643899</v>
      </c>
      <c r="I186" s="119">
        <v>15.2193714768632</v>
      </c>
      <c r="J186" s="119">
        <v>14.760404394385599</v>
      </c>
    </row>
    <row r="187" spans="1:10" x14ac:dyDescent="0.3">
      <c r="A187" t="s">
        <v>74</v>
      </c>
      <c r="B187" t="s">
        <v>181</v>
      </c>
      <c r="C187" t="s">
        <v>180</v>
      </c>
      <c r="D187" t="s">
        <v>2</v>
      </c>
      <c r="E187" t="s">
        <v>923</v>
      </c>
      <c r="F187" s="119">
        <v>335.78459790902593</v>
      </c>
      <c r="G187" s="119">
        <v>339.00647715876789</v>
      </c>
      <c r="H187" s="119">
        <v>322.6619163227445</v>
      </c>
      <c r="I187" s="119">
        <v>316.3608917334285</v>
      </c>
      <c r="J187" s="119">
        <v>318.75276244558358</v>
      </c>
    </row>
    <row r="188" spans="1:10" x14ac:dyDescent="0.3">
      <c r="A188" t="s">
        <v>74</v>
      </c>
      <c r="B188" t="s">
        <v>179</v>
      </c>
      <c r="C188" t="s">
        <v>178</v>
      </c>
      <c r="D188" t="s">
        <v>2</v>
      </c>
      <c r="E188" t="s">
        <v>924</v>
      </c>
      <c r="F188" s="119">
        <v>0</v>
      </c>
      <c r="G188" s="119">
        <v>0</v>
      </c>
      <c r="H188" s="119">
        <v>0</v>
      </c>
      <c r="I188" s="119">
        <v>0</v>
      </c>
      <c r="J188" s="119">
        <v>0</v>
      </c>
    </row>
    <row r="189" spans="1:10" x14ac:dyDescent="0.3">
      <c r="A189" t="s">
        <v>74</v>
      </c>
      <c r="B189" t="s">
        <v>177</v>
      </c>
      <c r="C189" t="s">
        <v>176</v>
      </c>
      <c r="D189" t="s">
        <v>2</v>
      </c>
      <c r="E189" t="s">
        <v>925</v>
      </c>
      <c r="F189" s="119">
        <v>74.246358304666785</v>
      </c>
      <c r="G189" s="119">
        <v>94.317580031830474</v>
      </c>
      <c r="H189" s="119">
        <v>103.9273040163723</v>
      </c>
      <c r="I189" s="119">
        <v>98.729860794872835</v>
      </c>
      <c r="J189" s="119">
        <v>85.750333388636164</v>
      </c>
    </row>
    <row r="190" spans="1:10" x14ac:dyDescent="0.3">
      <c r="A190" t="s">
        <v>74</v>
      </c>
      <c r="B190" t="s">
        <v>175</v>
      </c>
      <c r="C190" t="s">
        <v>174</v>
      </c>
      <c r="D190" t="s">
        <v>2</v>
      </c>
      <c r="E190" t="s">
        <v>926</v>
      </c>
      <c r="F190" s="119">
        <v>38.538386954198948</v>
      </c>
      <c r="G190" s="119">
        <v>40.04431779967134</v>
      </c>
      <c r="H190" s="119">
        <v>42.471907006633515</v>
      </c>
      <c r="I190" s="119">
        <v>45.94232480926879</v>
      </c>
      <c r="J190" s="119">
        <v>46.731956897929322</v>
      </c>
    </row>
    <row r="191" spans="1:10" x14ac:dyDescent="0.3">
      <c r="A191" t="s">
        <v>74</v>
      </c>
      <c r="B191" t="s">
        <v>173</v>
      </c>
      <c r="C191" t="s">
        <v>172</v>
      </c>
      <c r="D191" t="s">
        <v>2</v>
      </c>
      <c r="E191" t="s">
        <v>927</v>
      </c>
      <c r="F191" s="119">
        <v>271.45905427790035</v>
      </c>
      <c r="G191" s="119">
        <v>281.93877859971053</v>
      </c>
      <c r="H191" s="119">
        <v>273.27509156264921</v>
      </c>
      <c r="I191" s="119">
        <v>265.20477220940791</v>
      </c>
      <c r="J191" s="119">
        <v>257.46889555247827</v>
      </c>
    </row>
    <row r="192" spans="1:10" x14ac:dyDescent="0.3">
      <c r="A192" t="s">
        <v>74</v>
      </c>
      <c r="B192" t="s">
        <v>171</v>
      </c>
      <c r="C192" t="s">
        <v>170</v>
      </c>
      <c r="D192" t="s">
        <v>2</v>
      </c>
      <c r="E192" t="s">
        <v>930</v>
      </c>
      <c r="F192" s="119">
        <v>141.13107017618086</v>
      </c>
      <c r="G192" s="119">
        <v>161.85487599138088</v>
      </c>
      <c r="H192" s="119">
        <v>179.68311259387946</v>
      </c>
      <c r="I192" s="119">
        <v>178.2997848540939</v>
      </c>
      <c r="J192" s="119">
        <v>168.86260215058667</v>
      </c>
    </row>
    <row r="193" spans="1:10" x14ac:dyDescent="0.3">
      <c r="A193" t="s">
        <v>74</v>
      </c>
      <c r="B193" t="s">
        <v>169</v>
      </c>
      <c r="C193" t="s">
        <v>168</v>
      </c>
      <c r="D193" t="s">
        <v>2</v>
      </c>
      <c r="E193" t="s">
        <v>928</v>
      </c>
      <c r="F193" s="119">
        <v>374.05173749988228</v>
      </c>
      <c r="G193" s="119">
        <v>403.74933679142009</v>
      </c>
      <c r="H193" s="119">
        <v>410.48629714989517</v>
      </c>
      <c r="I193" s="119">
        <v>397.56223225423304</v>
      </c>
      <c r="J193" s="119">
        <v>379.59954080513563</v>
      </c>
    </row>
    <row r="194" spans="1:10" x14ac:dyDescent="0.3">
      <c r="A194" t="s">
        <v>74</v>
      </c>
      <c r="B194" t="s">
        <v>167</v>
      </c>
      <c r="C194" t="s">
        <v>166</v>
      </c>
      <c r="D194" t="s">
        <v>2</v>
      </c>
      <c r="E194" t="s">
        <v>929</v>
      </c>
      <c r="F194" s="119">
        <v>412.59012445408121</v>
      </c>
      <c r="G194" s="119">
        <v>443.79365459109141</v>
      </c>
      <c r="H194" s="119">
        <v>452.95820415652867</v>
      </c>
      <c r="I194" s="119">
        <v>443.50455706350181</v>
      </c>
      <c r="J194" s="119">
        <v>426.33149770306494</v>
      </c>
    </row>
    <row r="195" spans="1:10" x14ac:dyDescent="0.3">
      <c r="A195" t="s">
        <v>74</v>
      </c>
      <c r="B195" t="s">
        <v>165</v>
      </c>
      <c r="C195" t="s">
        <v>163</v>
      </c>
      <c r="D195" t="s">
        <v>2</v>
      </c>
      <c r="E195" t="s">
        <v>900</v>
      </c>
      <c r="F195" s="119">
        <v>2.1948634535368399</v>
      </c>
      <c r="G195" s="119">
        <v>2.2807039848639601</v>
      </c>
      <c r="H195" s="119">
        <v>2.2805135677950701</v>
      </c>
      <c r="I195" s="119">
        <v>2.27771973158888</v>
      </c>
      <c r="J195" s="119">
        <v>2.3241680278682102</v>
      </c>
    </row>
    <row r="196" spans="1:10" x14ac:dyDescent="0.3">
      <c r="A196" t="s">
        <v>74</v>
      </c>
      <c r="B196" t="s">
        <v>164</v>
      </c>
      <c r="C196" t="s">
        <v>163</v>
      </c>
      <c r="D196" t="s">
        <v>2</v>
      </c>
      <c r="E196" t="s">
        <v>904</v>
      </c>
      <c r="F196" s="119">
        <v>0</v>
      </c>
      <c r="G196" s="119">
        <v>0</v>
      </c>
      <c r="H196" s="119">
        <v>0</v>
      </c>
      <c r="I196" s="119">
        <v>0</v>
      </c>
      <c r="J196" s="119">
        <v>0</v>
      </c>
    </row>
    <row r="197" spans="1:10" x14ac:dyDescent="0.3">
      <c r="A197" t="s">
        <v>74</v>
      </c>
      <c r="B197" t="s">
        <v>162</v>
      </c>
      <c r="C197" t="s">
        <v>161</v>
      </c>
      <c r="D197" t="s">
        <v>2</v>
      </c>
      <c r="E197" t="s">
        <v>905</v>
      </c>
      <c r="F197" s="119">
        <v>0</v>
      </c>
      <c r="G197" s="119">
        <v>0</v>
      </c>
      <c r="H197" s="119">
        <v>0</v>
      </c>
      <c r="I197" s="119">
        <v>0</v>
      </c>
      <c r="J197" s="119">
        <v>0</v>
      </c>
    </row>
    <row r="198" spans="1:10" x14ac:dyDescent="0.3">
      <c r="A198" t="s">
        <v>74</v>
      </c>
      <c r="B198" t="s">
        <v>160</v>
      </c>
      <c r="C198" t="s">
        <v>159</v>
      </c>
      <c r="D198" t="s">
        <v>2</v>
      </c>
      <c r="E198" t="s">
        <v>906</v>
      </c>
      <c r="F198" s="119">
        <v>2.7368985335616198</v>
      </c>
      <c r="G198" s="119">
        <v>2.7118430358724899</v>
      </c>
      <c r="H198" s="119">
        <v>2.6861300313393599</v>
      </c>
      <c r="I198" s="119">
        <v>2.6609586482695202</v>
      </c>
      <c r="J198" s="119">
        <v>2.6370511628294202</v>
      </c>
    </row>
    <row r="199" spans="1:10" x14ac:dyDescent="0.3">
      <c r="A199" t="s">
        <v>74</v>
      </c>
      <c r="B199" t="s">
        <v>158</v>
      </c>
      <c r="C199" t="s">
        <v>156</v>
      </c>
      <c r="D199" t="s">
        <v>2</v>
      </c>
      <c r="E199" t="s">
        <v>908</v>
      </c>
      <c r="F199" s="119">
        <v>0.27563020884100198</v>
      </c>
      <c r="G199" s="119">
        <v>0.29508435716922299</v>
      </c>
      <c r="H199" s="119">
        <v>0.30001177379562399</v>
      </c>
      <c r="I199" s="119">
        <v>0.30466606101050903</v>
      </c>
      <c r="J199" s="119">
        <v>0.32488202948024703</v>
      </c>
    </row>
    <row r="200" spans="1:10" x14ac:dyDescent="0.3">
      <c r="A200" t="s">
        <v>74</v>
      </c>
      <c r="B200" t="s">
        <v>157</v>
      </c>
      <c r="C200" t="s">
        <v>156</v>
      </c>
      <c r="D200" t="s">
        <v>2</v>
      </c>
      <c r="E200" t="s">
        <v>909</v>
      </c>
      <c r="F200" s="119">
        <v>0</v>
      </c>
      <c r="G200" s="119">
        <v>0</v>
      </c>
      <c r="H200" s="119">
        <v>0</v>
      </c>
      <c r="I200" s="119">
        <v>0</v>
      </c>
      <c r="J200" s="119">
        <v>0</v>
      </c>
    </row>
    <row r="201" spans="1:10" x14ac:dyDescent="0.3">
      <c r="A201" t="s">
        <v>74</v>
      </c>
      <c r="B201" t="s">
        <v>155</v>
      </c>
      <c r="C201" t="s">
        <v>154</v>
      </c>
      <c r="D201" t="s">
        <v>2</v>
      </c>
      <c r="E201" t="s">
        <v>910</v>
      </c>
      <c r="F201" s="119">
        <v>0</v>
      </c>
      <c r="G201" s="119">
        <v>0</v>
      </c>
      <c r="H201" s="119">
        <v>0</v>
      </c>
      <c r="I201" s="119">
        <v>0</v>
      </c>
      <c r="J201" s="119">
        <v>0</v>
      </c>
    </row>
    <row r="202" spans="1:10" x14ac:dyDescent="0.3">
      <c r="A202" t="s">
        <v>74</v>
      </c>
      <c r="B202" t="s">
        <v>153</v>
      </c>
      <c r="C202" t="s">
        <v>152</v>
      </c>
      <c r="D202" t="s">
        <v>2</v>
      </c>
      <c r="E202" t="s">
        <v>911</v>
      </c>
      <c r="F202" s="119">
        <v>0.72479131125940099</v>
      </c>
      <c r="G202" s="119">
        <v>0.71815606088322903</v>
      </c>
      <c r="H202" s="119">
        <v>0.71134668814125301</v>
      </c>
      <c r="I202" s="119">
        <v>0.704680748751217</v>
      </c>
      <c r="J202" s="119">
        <v>0.69834951742913498</v>
      </c>
    </row>
    <row r="203" spans="1:10" x14ac:dyDescent="0.3">
      <c r="A203" t="s">
        <v>74</v>
      </c>
      <c r="B203" t="s">
        <v>151</v>
      </c>
      <c r="C203" t="s">
        <v>149</v>
      </c>
      <c r="D203" t="s">
        <v>2</v>
      </c>
      <c r="E203" t="s">
        <v>913</v>
      </c>
      <c r="F203" s="119">
        <v>4.0990599035636599</v>
      </c>
      <c r="G203" s="119">
        <v>4.1994857429703796</v>
      </c>
      <c r="H203" s="119">
        <v>4.2022592913290699</v>
      </c>
      <c r="I203" s="119">
        <v>4.2041006564719403</v>
      </c>
      <c r="J203" s="119">
        <v>4.2572643351894204</v>
      </c>
    </row>
    <row r="204" spans="1:10" x14ac:dyDescent="0.3">
      <c r="A204" t="s">
        <v>74</v>
      </c>
      <c r="B204" t="s">
        <v>150</v>
      </c>
      <c r="C204" t="s">
        <v>149</v>
      </c>
      <c r="D204" t="s">
        <v>2</v>
      </c>
      <c r="E204" t="s">
        <v>914</v>
      </c>
      <c r="F204" s="119">
        <v>0</v>
      </c>
      <c r="G204" s="119">
        <v>0</v>
      </c>
      <c r="H204" s="119">
        <v>0</v>
      </c>
      <c r="I204" s="119">
        <v>0</v>
      </c>
      <c r="J204" s="119">
        <v>0</v>
      </c>
    </row>
    <row r="205" spans="1:10" x14ac:dyDescent="0.3">
      <c r="A205" t="s">
        <v>74</v>
      </c>
      <c r="B205" t="s">
        <v>148</v>
      </c>
      <c r="C205" t="s">
        <v>147</v>
      </c>
      <c r="D205" t="s">
        <v>2</v>
      </c>
      <c r="E205" t="s">
        <v>915</v>
      </c>
      <c r="F205" s="119">
        <v>6.9813836472907802</v>
      </c>
      <c r="G205" s="119">
        <v>2.7681287930948901</v>
      </c>
      <c r="H205" s="119">
        <v>0.569908869166594</v>
      </c>
      <c r="I205" s="119">
        <v>0</v>
      </c>
      <c r="J205" s="119">
        <v>0</v>
      </c>
    </row>
    <row r="206" spans="1:10" x14ac:dyDescent="0.3">
      <c r="A206" t="s">
        <v>74</v>
      </c>
      <c r="B206" t="s">
        <v>146</v>
      </c>
      <c r="C206" t="s">
        <v>145</v>
      </c>
      <c r="D206" t="s">
        <v>2</v>
      </c>
      <c r="E206" t="s">
        <v>916</v>
      </c>
      <c r="F206" s="119">
        <v>9.9199049615652299</v>
      </c>
      <c r="G206" s="119">
        <v>9.8290911616406103</v>
      </c>
      <c r="H206" s="119">
        <v>9.7358942242616298</v>
      </c>
      <c r="I206" s="119">
        <v>9.6446603970875504</v>
      </c>
      <c r="J206" s="119">
        <v>9.5580075743659307</v>
      </c>
    </row>
    <row r="207" spans="1:10" x14ac:dyDescent="0.3">
      <c r="A207" t="s">
        <v>74</v>
      </c>
      <c r="B207" t="s">
        <v>144</v>
      </c>
      <c r="C207" t="s">
        <v>142</v>
      </c>
      <c r="D207" t="s">
        <v>2</v>
      </c>
      <c r="E207" t="s">
        <v>918</v>
      </c>
      <c r="F207" s="119">
        <v>1.11592592878069</v>
      </c>
      <c r="G207" s="119">
        <v>1.11970926110856</v>
      </c>
      <c r="H207" s="119">
        <v>1.12333795872514</v>
      </c>
      <c r="I207" s="119">
        <v>1.1267792861358099</v>
      </c>
      <c r="J207" s="119">
        <v>1.1301193147303701</v>
      </c>
    </row>
    <row r="208" spans="1:10" x14ac:dyDescent="0.3">
      <c r="A208" t="s">
        <v>74</v>
      </c>
      <c r="B208" t="s">
        <v>143</v>
      </c>
      <c r="C208" t="s">
        <v>142</v>
      </c>
      <c r="D208" t="s">
        <v>2</v>
      </c>
      <c r="E208" t="s">
        <v>919</v>
      </c>
      <c r="F208" s="119">
        <v>0</v>
      </c>
      <c r="G208" s="119">
        <v>0</v>
      </c>
      <c r="H208" s="119">
        <v>0</v>
      </c>
      <c r="I208" s="119">
        <v>0</v>
      </c>
      <c r="J208" s="119">
        <v>0</v>
      </c>
    </row>
    <row r="209" spans="1:10" x14ac:dyDescent="0.3">
      <c r="A209" t="s">
        <v>74</v>
      </c>
      <c r="B209" t="s">
        <v>141</v>
      </c>
      <c r="C209" t="s">
        <v>140</v>
      </c>
      <c r="D209" t="s">
        <v>2</v>
      </c>
      <c r="E209" t="s">
        <v>920</v>
      </c>
      <c r="F209" s="119">
        <v>49.854414198353197</v>
      </c>
      <c r="G209" s="119">
        <v>45.203113205626799</v>
      </c>
      <c r="H209" s="119">
        <v>34.3264058793294</v>
      </c>
      <c r="I209" s="119">
        <v>35.852317372795</v>
      </c>
      <c r="J209" s="119">
        <v>36.895601069290898</v>
      </c>
    </row>
    <row r="210" spans="1:10" x14ac:dyDescent="0.3">
      <c r="A210" t="s">
        <v>74</v>
      </c>
      <c r="B210" t="s">
        <v>139</v>
      </c>
      <c r="C210" t="s">
        <v>138</v>
      </c>
      <c r="D210" t="s">
        <v>2</v>
      </c>
      <c r="E210" t="s">
        <v>921</v>
      </c>
      <c r="F210" s="119">
        <v>10.3580250825504</v>
      </c>
      <c r="G210" s="119">
        <v>10.2632004223238</v>
      </c>
      <c r="H210" s="119">
        <v>10.1658873715709</v>
      </c>
      <c r="I210" s="119">
        <v>10.070624133273</v>
      </c>
      <c r="J210" s="119">
        <v>9.9801442229611492</v>
      </c>
    </row>
    <row r="211" spans="1:10" x14ac:dyDescent="0.3">
      <c r="A211" t="s">
        <v>74</v>
      </c>
      <c r="B211" t="s">
        <v>137</v>
      </c>
      <c r="C211" t="s">
        <v>136</v>
      </c>
      <c r="D211" t="s">
        <v>2</v>
      </c>
      <c r="E211" t="s">
        <v>907</v>
      </c>
      <c r="F211" s="119">
        <v>69.138837702341107</v>
      </c>
      <c r="G211" s="119">
        <v>70.771328489066903</v>
      </c>
      <c r="H211" s="119">
        <v>73.962660055155297</v>
      </c>
      <c r="I211" s="119">
        <v>79.646245036697906</v>
      </c>
      <c r="J211" s="119">
        <v>83.589546162020198</v>
      </c>
    </row>
    <row r="212" spans="1:10" x14ac:dyDescent="0.3">
      <c r="A212" t="s">
        <v>74</v>
      </c>
      <c r="B212" t="s">
        <v>135</v>
      </c>
      <c r="C212" t="s">
        <v>134</v>
      </c>
      <c r="D212" t="s">
        <v>2</v>
      </c>
      <c r="E212" t="s">
        <v>912</v>
      </c>
      <c r="F212" s="119">
        <v>26.823446563133398</v>
      </c>
      <c r="G212" s="119">
        <v>27.972270981732699</v>
      </c>
      <c r="H212" s="119">
        <v>27.409148741911402</v>
      </c>
      <c r="I212" s="119">
        <v>26.5633396145011</v>
      </c>
      <c r="J212" s="119">
        <v>27.146944337273101</v>
      </c>
    </row>
    <row r="213" spans="1:10" x14ac:dyDescent="0.3">
      <c r="A213" t="s">
        <v>74</v>
      </c>
      <c r="B213" t="s">
        <v>133</v>
      </c>
      <c r="C213" t="s">
        <v>132</v>
      </c>
      <c r="D213" t="s">
        <v>2</v>
      </c>
      <c r="E213" t="s">
        <v>917</v>
      </c>
      <c r="F213" s="119">
        <v>135.14492302724099</v>
      </c>
      <c r="G213" s="119">
        <v>174.02376825590301</v>
      </c>
      <c r="H213" s="119">
        <v>200.09200989687901</v>
      </c>
      <c r="I213" s="119">
        <v>198.77201883145</v>
      </c>
      <c r="J213" s="119">
        <v>189.82599471786199</v>
      </c>
    </row>
    <row r="214" spans="1:10" x14ac:dyDescent="0.3">
      <c r="A214" t="s">
        <v>74</v>
      </c>
      <c r="B214" t="s">
        <v>131</v>
      </c>
      <c r="C214" t="s">
        <v>130</v>
      </c>
      <c r="D214" t="s">
        <v>2</v>
      </c>
      <c r="E214" t="s">
        <v>922</v>
      </c>
      <c r="F214" s="119">
        <v>343.958510133049</v>
      </c>
      <c r="G214" s="119">
        <v>358.36122359908899</v>
      </c>
      <c r="H214" s="119">
        <v>341.97087523580399</v>
      </c>
      <c r="I214" s="119">
        <v>330.43004198866703</v>
      </c>
      <c r="J214" s="119">
        <v>330.20105702454998</v>
      </c>
    </row>
    <row r="215" spans="1:10" x14ac:dyDescent="0.3">
      <c r="A215" t="s">
        <v>74</v>
      </c>
      <c r="B215" t="s">
        <v>129</v>
      </c>
      <c r="C215" t="s">
        <v>128</v>
      </c>
      <c r="D215" t="s">
        <v>3</v>
      </c>
      <c r="E215" t="s">
        <v>931</v>
      </c>
      <c r="F215" s="119">
        <v>3675807.7712667771</v>
      </c>
      <c r="G215" s="119">
        <v>3697556.5842519379</v>
      </c>
      <c r="H215" s="119">
        <v>3720721.069224969</v>
      </c>
      <c r="I215" s="119">
        <v>3744301.3096400588</v>
      </c>
      <c r="J215" s="119">
        <v>3768295.3310395693</v>
      </c>
    </row>
    <row r="216" spans="1:10" x14ac:dyDescent="0.3">
      <c r="A216" t="s">
        <v>74</v>
      </c>
      <c r="B216" t="s">
        <v>127</v>
      </c>
      <c r="C216" t="s">
        <v>126</v>
      </c>
      <c r="D216" t="s">
        <v>44</v>
      </c>
      <c r="E216" t="s">
        <v>932</v>
      </c>
      <c r="F216" s="119">
        <v>46989.190525003003</v>
      </c>
      <c r="G216" s="119">
        <v>47108.270525003005</v>
      </c>
      <c r="H216" s="119">
        <v>47227.350525002999</v>
      </c>
      <c r="I216" s="119">
        <v>47346.430525003001</v>
      </c>
      <c r="J216" s="119">
        <v>47465.510525003003</v>
      </c>
    </row>
    <row r="217" spans="1:10" x14ac:dyDescent="0.3">
      <c r="A217" t="s">
        <v>74</v>
      </c>
      <c r="B217" t="s">
        <v>125</v>
      </c>
      <c r="C217" t="s">
        <v>124</v>
      </c>
      <c r="D217" t="s">
        <v>0</v>
      </c>
      <c r="E217" t="s">
        <v>933</v>
      </c>
      <c r="F217" s="119">
        <v>91.350126869098915</v>
      </c>
      <c r="G217" s="119">
        <v>92.114330349493954</v>
      </c>
      <c r="H217" s="119">
        <v>92.628724753404697</v>
      </c>
      <c r="I217" s="119">
        <v>92.595235236724278</v>
      </c>
      <c r="J217" s="119">
        <v>92.638367322860375</v>
      </c>
    </row>
    <row r="218" spans="1:10" x14ac:dyDescent="0.3">
      <c r="A218" t="s">
        <v>74</v>
      </c>
      <c r="B218" t="s">
        <v>123</v>
      </c>
      <c r="C218" t="s">
        <v>122</v>
      </c>
      <c r="D218" t="s">
        <v>3</v>
      </c>
      <c r="E218" t="s">
        <v>934</v>
      </c>
      <c r="F218" s="119">
        <v>4.6466355070765131</v>
      </c>
      <c r="G218" s="119">
        <v>4.6952451101094681</v>
      </c>
      <c r="H218" s="119">
        <v>4.7197280056436073</v>
      </c>
      <c r="I218" s="119">
        <v>4.7192171670475656</v>
      </c>
      <c r="J218" s="119">
        <v>4.7205591506396027</v>
      </c>
    </row>
    <row r="219" spans="1:10" x14ac:dyDescent="0.3">
      <c r="A219" t="s">
        <v>74</v>
      </c>
      <c r="B219" t="s">
        <v>121</v>
      </c>
      <c r="C219" t="s">
        <v>120</v>
      </c>
      <c r="D219" t="s">
        <v>3</v>
      </c>
      <c r="E219" t="s">
        <v>935</v>
      </c>
      <c r="F219" s="119">
        <v>1.4386287408809472E-2</v>
      </c>
      <c r="G219" s="119">
        <v>1.4349921838909556E-2</v>
      </c>
      <c r="H219" s="119">
        <v>1.4313739654781473E-2</v>
      </c>
      <c r="I219" s="119">
        <v>1.4277739472736254E-2</v>
      </c>
      <c r="J219" s="119">
        <v>1.4262987851850503E-2</v>
      </c>
    </row>
    <row r="220" spans="1:10" x14ac:dyDescent="0.3">
      <c r="A220" t="s">
        <v>19</v>
      </c>
      <c r="B220" t="s">
        <v>187</v>
      </c>
      <c r="C220" t="s">
        <v>186</v>
      </c>
      <c r="D220" t="s">
        <v>2</v>
      </c>
      <c r="E220" t="s">
        <v>505</v>
      </c>
      <c r="F220" s="119">
        <v>11.154999999999999</v>
      </c>
      <c r="G220" s="119">
        <v>11.218999999999999</v>
      </c>
      <c r="H220" s="119">
        <v>11.236000000000001</v>
      </c>
      <c r="I220" s="119">
        <v>11.269</v>
      </c>
      <c r="J220" s="119">
        <v>11.311999999999999</v>
      </c>
    </row>
    <row r="221" spans="1:10" x14ac:dyDescent="0.3">
      <c r="A221" t="s">
        <v>19</v>
      </c>
      <c r="B221" t="s">
        <v>185</v>
      </c>
      <c r="C221" t="s">
        <v>184</v>
      </c>
      <c r="D221" t="s">
        <v>2</v>
      </c>
      <c r="E221" t="s">
        <v>506</v>
      </c>
      <c r="F221" s="119">
        <v>1.1419999999999999</v>
      </c>
      <c r="G221" s="119">
        <v>0.629</v>
      </c>
      <c r="H221" s="119">
        <v>0.79</v>
      </c>
      <c r="I221" s="119">
        <v>0.43</v>
      </c>
      <c r="J221" s="119">
        <v>0.28199999999999997</v>
      </c>
    </row>
    <row r="222" spans="1:10" x14ac:dyDescent="0.3">
      <c r="A222" t="s">
        <v>19</v>
      </c>
      <c r="B222" t="s">
        <v>183</v>
      </c>
      <c r="C222" t="s">
        <v>182</v>
      </c>
      <c r="D222" t="s">
        <v>2</v>
      </c>
      <c r="E222" t="s">
        <v>507</v>
      </c>
      <c r="F222" s="119">
        <v>1.5049999999999999</v>
      </c>
      <c r="G222" s="119">
        <v>2.4849999999999999</v>
      </c>
      <c r="H222" s="119">
        <v>1.4450000000000001</v>
      </c>
      <c r="I222" s="119">
        <v>0.72299999999999998</v>
      </c>
      <c r="J222" s="119">
        <v>0.48399999999999999</v>
      </c>
    </row>
    <row r="223" spans="1:10" x14ac:dyDescent="0.3">
      <c r="A223" t="s">
        <v>19</v>
      </c>
      <c r="B223" t="s">
        <v>181</v>
      </c>
      <c r="C223" t="s">
        <v>180</v>
      </c>
      <c r="D223" t="s">
        <v>2</v>
      </c>
      <c r="E223" t="s">
        <v>527</v>
      </c>
      <c r="F223" s="119">
        <v>80.33</v>
      </c>
      <c r="G223" s="119">
        <v>80.656999999999996</v>
      </c>
      <c r="H223" s="119">
        <v>80.408000000000001</v>
      </c>
      <c r="I223" s="119">
        <v>79.600999999999999</v>
      </c>
      <c r="J223" s="119">
        <v>79.292000000000002</v>
      </c>
    </row>
    <row r="224" spans="1:10" x14ac:dyDescent="0.3">
      <c r="A224" t="s">
        <v>19</v>
      </c>
      <c r="B224" t="s">
        <v>179</v>
      </c>
      <c r="C224" t="s">
        <v>178</v>
      </c>
      <c r="D224" t="s">
        <v>2</v>
      </c>
      <c r="E224" t="s">
        <v>528</v>
      </c>
      <c r="F224" s="119">
        <v>7.7969999999999997</v>
      </c>
      <c r="G224" s="119">
        <v>8.8669999999999991</v>
      </c>
      <c r="H224" s="119">
        <v>9.234</v>
      </c>
      <c r="I224" s="119">
        <v>6.798</v>
      </c>
      <c r="J224" s="119">
        <v>6.306</v>
      </c>
    </row>
    <row r="225" spans="1:10" x14ac:dyDescent="0.3">
      <c r="A225" t="s">
        <v>19</v>
      </c>
      <c r="B225" t="s">
        <v>177</v>
      </c>
      <c r="C225" t="s">
        <v>176</v>
      </c>
      <c r="D225" t="s">
        <v>2</v>
      </c>
      <c r="E225" t="s">
        <v>529</v>
      </c>
      <c r="F225" s="119">
        <v>26.682000000000002</v>
      </c>
      <c r="G225" s="119">
        <v>32.497</v>
      </c>
      <c r="H225" s="119">
        <v>37.342999999999996</v>
      </c>
      <c r="I225" s="119">
        <v>36.676000000000002</v>
      </c>
      <c r="J225" s="119">
        <v>38.110999999999997</v>
      </c>
    </row>
    <row r="226" spans="1:10" x14ac:dyDescent="0.3">
      <c r="A226" t="s">
        <v>19</v>
      </c>
      <c r="B226" t="s">
        <v>175</v>
      </c>
      <c r="C226" t="s">
        <v>174</v>
      </c>
      <c r="D226" t="s">
        <v>2</v>
      </c>
      <c r="E226" t="s">
        <v>530</v>
      </c>
      <c r="F226" s="119">
        <v>7.3469999999999986</v>
      </c>
      <c r="G226" s="119">
        <v>7.8779999999999983</v>
      </c>
      <c r="H226" s="119">
        <v>7.016</v>
      </c>
      <c r="I226" s="119">
        <v>5.9669999999999996</v>
      </c>
      <c r="J226" s="119">
        <v>5.6229999999999993</v>
      </c>
    </row>
    <row r="227" spans="1:10" x14ac:dyDescent="0.3">
      <c r="A227" t="s">
        <v>19</v>
      </c>
      <c r="B227" t="s">
        <v>173</v>
      </c>
      <c r="C227" t="s">
        <v>172</v>
      </c>
      <c r="D227" t="s">
        <v>2</v>
      </c>
      <c r="E227" t="s">
        <v>531</v>
      </c>
      <c r="F227" s="119">
        <v>63.025999999999996</v>
      </c>
      <c r="G227" s="119">
        <v>63.516999999999989</v>
      </c>
      <c r="H227" s="119">
        <v>63.134</v>
      </c>
      <c r="I227" s="119">
        <v>59.771999999999998</v>
      </c>
      <c r="J227" s="119">
        <v>59.725999999999992</v>
      </c>
    </row>
    <row r="228" spans="1:10" x14ac:dyDescent="0.3">
      <c r="A228" t="s">
        <v>19</v>
      </c>
      <c r="B228" t="s">
        <v>171</v>
      </c>
      <c r="C228" t="s">
        <v>170</v>
      </c>
      <c r="D228" t="s">
        <v>2</v>
      </c>
      <c r="E228" t="s">
        <v>534</v>
      </c>
      <c r="F228" s="119">
        <v>47.396000000000001</v>
      </c>
      <c r="G228" s="119">
        <v>54.646000000000008</v>
      </c>
      <c r="H228" s="119">
        <v>59.131</v>
      </c>
      <c r="I228" s="119">
        <v>57.533999999999999</v>
      </c>
      <c r="J228" s="119">
        <v>57.87</v>
      </c>
    </row>
    <row r="229" spans="1:10" x14ac:dyDescent="0.3">
      <c r="A229" t="s">
        <v>19</v>
      </c>
      <c r="B229" t="s">
        <v>169</v>
      </c>
      <c r="C229" t="s">
        <v>168</v>
      </c>
      <c r="D229" t="s">
        <v>2</v>
      </c>
      <c r="E229" t="s">
        <v>532</v>
      </c>
      <c r="F229" s="119">
        <v>103.075</v>
      </c>
      <c r="G229" s="119">
        <v>110.285</v>
      </c>
      <c r="H229" s="119">
        <v>115.249</v>
      </c>
      <c r="I229" s="119">
        <v>111.339</v>
      </c>
      <c r="J229" s="119">
        <v>111.97299999999998</v>
      </c>
    </row>
    <row r="230" spans="1:10" x14ac:dyDescent="0.3">
      <c r="A230" t="s">
        <v>19</v>
      </c>
      <c r="B230" t="s">
        <v>167</v>
      </c>
      <c r="C230" t="s">
        <v>166</v>
      </c>
      <c r="D230" t="s">
        <v>2</v>
      </c>
      <c r="E230" t="s">
        <v>533</v>
      </c>
      <c r="F230" s="119">
        <v>110.422</v>
      </c>
      <c r="G230" s="119">
        <v>118.163</v>
      </c>
      <c r="H230" s="119">
        <v>122.265</v>
      </c>
      <c r="I230" s="119">
        <v>117.306</v>
      </c>
      <c r="J230" s="119">
        <v>117.59599999999999</v>
      </c>
    </row>
    <row r="231" spans="1:10" x14ac:dyDescent="0.3">
      <c r="A231" t="s">
        <v>19</v>
      </c>
      <c r="B231" t="s">
        <v>165</v>
      </c>
      <c r="C231" t="s">
        <v>163</v>
      </c>
      <c r="D231" t="s">
        <v>2</v>
      </c>
      <c r="E231" t="s">
        <v>504</v>
      </c>
      <c r="F231" s="119">
        <v>0</v>
      </c>
      <c r="G231" s="119">
        <v>0</v>
      </c>
      <c r="H231" s="119">
        <v>0</v>
      </c>
      <c r="I231" s="119">
        <v>0</v>
      </c>
      <c r="J231" s="119">
        <v>0</v>
      </c>
    </row>
    <row r="232" spans="1:10" x14ac:dyDescent="0.3">
      <c r="A232" t="s">
        <v>19</v>
      </c>
      <c r="B232" t="s">
        <v>164</v>
      </c>
      <c r="C232" t="s">
        <v>163</v>
      </c>
      <c r="D232" t="s">
        <v>2</v>
      </c>
      <c r="E232" t="s">
        <v>508</v>
      </c>
      <c r="F232" s="119">
        <v>0</v>
      </c>
      <c r="G232" s="119">
        <v>0</v>
      </c>
      <c r="H232" s="119">
        <v>0</v>
      </c>
      <c r="I232" s="119">
        <v>0</v>
      </c>
      <c r="J232" s="119">
        <v>0</v>
      </c>
    </row>
    <row r="233" spans="1:10" x14ac:dyDescent="0.3">
      <c r="A233" t="s">
        <v>19</v>
      </c>
      <c r="B233" t="s">
        <v>162</v>
      </c>
      <c r="C233" t="s">
        <v>161</v>
      </c>
      <c r="D233" t="s">
        <v>2</v>
      </c>
      <c r="E233" t="s">
        <v>509</v>
      </c>
      <c r="F233" s="119">
        <v>0.13800000000000001</v>
      </c>
      <c r="G233" s="119">
        <v>1.2999999999999999E-2</v>
      </c>
      <c r="H233" s="119">
        <v>1.2999999999999999E-2</v>
      </c>
      <c r="I233" s="119">
        <v>1.2999999999999999E-2</v>
      </c>
      <c r="J233" s="119">
        <v>0</v>
      </c>
    </row>
    <row r="234" spans="1:10" x14ac:dyDescent="0.3">
      <c r="A234" t="s">
        <v>19</v>
      </c>
      <c r="B234" t="s">
        <v>160</v>
      </c>
      <c r="C234" t="s">
        <v>159</v>
      </c>
      <c r="D234" t="s">
        <v>2</v>
      </c>
      <c r="E234" t="s">
        <v>510</v>
      </c>
      <c r="F234" s="119">
        <v>0.20399999999999999</v>
      </c>
      <c r="G234" s="119">
        <v>0.20599999999999999</v>
      </c>
      <c r="H234" s="119">
        <v>0</v>
      </c>
      <c r="I234" s="119">
        <v>0</v>
      </c>
      <c r="J234" s="119">
        <v>0</v>
      </c>
    </row>
    <row r="235" spans="1:10" x14ac:dyDescent="0.3">
      <c r="A235" t="s">
        <v>19</v>
      </c>
      <c r="B235" t="s">
        <v>158</v>
      </c>
      <c r="C235" t="s">
        <v>156</v>
      </c>
      <c r="D235" t="s">
        <v>2</v>
      </c>
      <c r="E235" t="s">
        <v>512</v>
      </c>
      <c r="F235" s="119">
        <v>0</v>
      </c>
      <c r="G235" s="119">
        <v>0</v>
      </c>
      <c r="H235" s="119">
        <v>0</v>
      </c>
      <c r="I235" s="119">
        <v>0</v>
      </c>
      <c r="J235" s="119">
        <v>0</v>
      </c>
    </row>
    <row r="236" spans="1:10" x14ac:dyDescent="0.3">
      <c r="A236" t="s">
        <v>19</v>
      </c>
      <c r="B236" t="s">
        <v>157</v>
      </c>
      <c r="C236" t="s">
        <v>156</v>
      </c>
      <c r="D236" t="s">
        <v>2</v>
      </c>
      <c r="E236" t="s">
        <v>513</v>
      </c>
      <c r="F236" s="119">
        <v>0</v>
      </c>
      <c r="G236" s="119">
        <v>0</v>
      </c>
      <c r="H236" s="119">
        <v>0</v>
      </c>
      <c r="I236" s="119">
        <v>0</v>
      </c>
      <c r="J236" s="119">
        <v>0</v>
      </c>
    </row>
    <row r="237" spans="1:10" x14ac:dyDescent="0.3">
      <c r="A237" t="s">
        <v>19</v>
      </c>
      <c r="B237" t="s">
        <v>155</v>
      </c>
      <c r="C237" t="s">
        <v>154</v>
      </c>
      <c r="D237" t="s">
        <v>2</v>
      </c>
      <c r="E237" t="s">
        <v>514</v>
      </c>
      <c r="F237" s="119">
        <v>0</v>
      </c>
      <c r="G237" s="119">
        <v>0</v>
      </c>
      <c r="H237" s="119">
        <v>0</v>
      </c>
      <c r="I237" s="119">
        <v>0</v>
      </c>
      <c r="J237" s="119">
        <v>0</v>
      </c>
    </row>
    <row r="238" spans="1:10" x14ac:dyDescent="0.3">
      <c r="A238" t="s">
        <v>19</v>
      </c>
      <c r="B238" t="s">
        <v>153</v>
      </c>
      <c r="C238" t="s">
        <v>152</v>
      </c>
      <c r="D238" t="s">
        <v>2</v>
      </c>
      <c r="E238" t="s">
        <v>515</v>
      </c>
      <c r="F238" s="119">
        <v>0.14399999999999999</v>
      </c>
      <c r="G238" s="119">
        <v>0.14499999999999999</v>
      </c>
      <c r="H238" s="119">
        <v>0</v>
      </c>
      <c r="I238" s="119">
        <v>0</v>
      </c>
      <c r="J238" s="119">
        <v>0</v>
      </c>
    </row>
    <row r="239" spans="1:10" x14ac:dyDescent="0.3">
      <c r="A239" t="s">
        <v>19</v>
      </c>
      <c r="B239" t="s">
        <v>151</v>
      </c>
      <c r="C239" t="s">
        <v>149</v>
      </c>
      <c r="D239" t="s">
        <v>2</v>
      </c>
      <c r="E239" t="s">
        <v>517</v>
      </c>
      <c r="F239" s="119">
        <v>0</v>
      </c>
      <c r="G239" s="119">
        <v>0</v>
      </c>
      <c r="H239" s="119">
        <v>0</v>
      </c>
      <c r="I239" s="119">
        <v>0</v>
      </c>
      <c r="J239" s="119">
        <v>0</v>
      </c>
    </row>
    <row r="240" spans="1:10" x14ac:dyDescent="0.3">
      <c r="A240" t="s">
        <v>19</v>
      </c>
      <c r="B240" t="s">
        <v>150</v>
      </c>
      <c r="C240" t="s">
        <v>149</v>
      </c>
      <c r="D240" t="s">
        <v>2</v>
      </c>
      <c r="E240" t="s">
        <v>518</v>
      </c>
      <c r="F240" s="119">
        <v>0</v>
      </c>
      <c r="G240" s="119">
        <v>0</v>
      </c>
      <c r="H240" s="119">
        <v>0</v>
      </c>
      <c r="I240" s="119">
        <v>0</v>
      </c>
      <c r="J240" s="119">
        <v>0</v>
      </c>
    </row>
    <row r="241" spans="1:10" x14ac:dyDescent="0.3">
      <c r="A241" t="s">
        <v>19</v>
      </c>
      <c r="B241" t="s">
        <v>148</v>
      </c>
      <c r="C241" t="s">
        <v>147</v>
      </c>
      <c r="D241" t="s">
        <v>2</v>
      </c>
      <c r="E241" t="s">
        <v>519</v>
      </c>
      <c r="F241" s="119">
        <v>0</v>
      </c>
      <c r="G241" s="119">
        <v>0</v>
      </c>
      <c r="H241" s="119">
        <v>0</v>
      </c>
      <c r="I241" s="119">
        <v>0</v>
      </c>
      <c r="J241" s="119">
        <v>0</v>
      </c>
    </row>
    <row r="242" spans="1:10" x14ac:dyDescent="0.3">
      <c r="A242" t="s">
        <v>19</v>
      </c>
      <c r="B242" t="s">
        <v>146</v>
      </c>
      <c r="C242" t="s">
        <v>145</v>
      </c>
      <c r="D242" t="s">
        <v>2</v>
      </c>
      <c r="E242" t="s">
        <v>520</v>
      </c>
      <c r="F242" s="119">
        <v>1.9750000000000001</v>
      </c>
      <c r="G242" s="119">
        <v>1.9950000000000001</v>
      </c>
      <c r="H242" s="119">
        <v>0</v>
      </c>
      <c r="I242" s="119">
        <v>0</v>
      </c>
      <c r="J242" s="119">
        <v>0</v>
      </c>
    </row>
    <row r="243" spans="1:10" x14ac:dyDescent="0.3">
      <c r="A243" t="s">
        <v>19</v>
      </c>
      <c r="B243" t="s">
        <v>144</v>
      </c>
      <c r="C243" t="s">
        <v>142</v>
      </c>
      <c r="D243" t="s">
        <v>2</v>
      </c>
      <c r="E243" t="s">
        <v>522</v>
      </c>
      <c r="F243" s="119">
        <v>0.95799999999999996</v>
      </c>
      <c r="G243" s="119">
        <v>0.95799999999999996</v>
      </c>
      <c r="H243" s="119">
        <v>0.95799999999999996</v>
      </c>
      <c r="I243" s="119">
        <v>0.95799999999999996</v>
      </c>
      <c r="J243" s="119">
        <v>0.95799999999999996</v>
      </c>
    </row>
    <row r="244" spans="1:10" x14ac:dyDescent="0.3">
      <c r="A244" t="s">
        <v>19</v>
      </c>
      <c r="B244" t="s">
        <v>143</v>
      </c>
      <c r="C244" t="s">
        <v>142</v>
      </c>
      <c r="D244" t="s">
        <v>2</v>
      </c>
      <c r="E244" t="s">
        <v>523</v>
      </c>
      <c r="F244" s="119">
        <v>4</v>
      </c>
      <c r="G244" s="119">
        <v>4</v>
      </c>
      <c r="H244" s="119">
        <v>4</v>
      </c>
      <c r="I244" s="119">
        <v>4</v>
      </c>
      <c r="J244" s="119">
        <v>4</v>
      </c>
    </row>
    <row r="245" spans="1:10" x14ac:dyDescent="0.3">
      <c r="A245" t="s">
        <v>19</v>
      </c>
      <c r="B245" t="s">
        <v>141</v>
      </c>
      <c r="C245" t="s">
        <v>140</v>
      </c>
      <c r="D245" t="s">
        <v>2</v>
      </c>
      <c r="E245" t="s">
        <v>524</v>
      </c>
      <c r="F245" s="119">
        <v>7.3719999999999999</v>
      </c>
      <c r="G245" s="119">
        <v>8.7319999999999993</v>
      </c>
      <c r="H245" s="119">
        <v>9.9550000000000001</v>
      </c>
      <c r="I245" s="119">
        <v>10.019</v>
      </c>
      <c r="J245" s="119">
        <v>9.7089999999999996</v>
      </c>
    </row>
    <row r="246" spans="1:10" x14ac:dyDescent="0.3">
      <c r="A246" t="s">
        <v>19</v>
      </c>
      <c r="B246" t="s">
        <v>139</v>
      </c>
      <c r="C246" t="s">
        <v>138</v>
      </c>
      <c r="D246" t="s">
        <v>2</v>
      </c>
      <c r="E246" t="s">
        <v>525</v>
      </c>
      <c r="F246" s="119">
        <v>2.3319999999999999</v>
      </c>
      <c r="G246" s="119">
        <v>2.355</v>
      </c>
      <c r="H246" s="119">
        <v>0</v>
      </c>
      <c r="I246" s="119">
        <v>0</v>
      </c>
      <c r="J246" s="119">
        <v>0</v>
      </c>
    </row>
    <row r="247" spans="1:10" x14ac:dyDescent="0.3">
      <c r="A247" t="s">
        <v>19</v>
      </c>
      <c r="B247" t="s">
        <v>137</v>
      </c>
      <c r="C247" t="s">
        <v>136</v>
      </c>
      <c r="D247" t="s">
        <v>2</v>
      </c>
      <c r="E247" t="s">
        <v>511</v>
      </c>
      <c r="F247" s="119">
        <v>16.704000000000001</v>
      </c>
      <c r="G247" s="119">
        <v>17.452999999999999</v>
      </c>
      <c r="H247" s="119">
        <v>16.172999999999998</v>
      </c>
      <c r="I247" s="119">
        <v>15.031000000000001</v>
      </c>
      <c r="J247" s="119">
        <v>14.776999999999999</v>
      </c>
    </row>
    <row r="248" spans="1:10" x14ac:dyDescent="0.3">
      <c r="A248" t="s">
        <v>19</v>
      </c>
      <c r="B248" t="s">
        <v>135</v>
      </c>
      <c r="C248" t="s">
        <v>134</v>
      </c>
      <c r="D248" t="s">
        <v>2</v>
      </c>
      <c r="E248" t="s">
        <v>516</v>
      </c>
      <c r="F248" s="119">
        <v>4.7300000000000004</v>
      </c>
      <c r="G248" s="119">
        <v>5.6740000000000004</v>
      </c>
      <c r="H248" s="119">
        <v>7.2919999999999998</v>
      </c>
      <c r="I248" s="119">
        <v>7.3369999999999997</v>
      </c>
      <c r="J248" s="119">
        <v>7.4729999999999999</v>
      </c>
    </row>
    <row r="249" spans="1:10" x14ac:dyDescent="0.3">
      <c r="A249" t="s">
        <v>19</v>
      </c>
      <c r="B249" t="s">
        <v>133</v>
      </c>
      <c r="C249" t="s">
        <v>132</v>
      </c>
      <c r="D249" t="s">
        <v>2</v>
      </c>
      <c r="E249" t="s">
        <v>521</v>
      </c>
      <c r="F249" s="119">
        <v>54.735999999999997</v>
      </c>
      <c r="G249" s="119">
        <v>66.581000000000003</v>
      </c>
      <c r="H249" s="119">
        <v>80.673000000000002</v>
      </c>
      <c r="I249" s="119">
        <v>77.956000000000003</v>
      </c>
      <c r="J249" s="119">
        <v>72.86</v>
      </c>
    </row>
    <row r="250" spans="1:10" x14ac:dyDescent="0.3">
      <c r="A250" t="s">
        <v>19</v>
      </c>
      <c r="B250" t="s">
        <v>131</v>
      </c>
      <c r="C250" t="s">
        <v>130</v>
      </c>
      <c r="D250" t="s">
        <v>2</v>
      </c>
      <c r="E250" t="s">
        <v>526</v>
      </c>
      <c r="F250" s="119">
        <v>88.756</v>
      </c>
      <c r="G250" s="119">
        <v>89.960999999999999</v>
      </c>
      <c r="H250" s="119">
        <v>88.055999999999997</v>
      </c>
      <c r="I250" s="119">
        <v>81.378</v>
      </c>
      <c r="J250" s="119">
        <v>80.650999999999996</v>
      </c>
    </row>
    <row r="251" spans="1:10" x14ac:dyDescent="0.3">
      <c r="A251" t="s">
        <v>19</v>
      </c>
      <c r="B251" t="s">
        <v>129</v>
      </c>
      <c r="C251" t="s">
        <v>128</v>
      </c>
      <c r="D251" t="s">
        <v>3</v>
      </c>
      <c r="E251" t="s">
        <v>535</v>
      </c>
      <c r="F251" s="119">
        <v>1073170</v>
      </c>
      <c r="G251" s="119">
        <v>1082443</v>
      </c>
      <c r="H251" s="119">
        <v>1091662</v>
      </c>
      <c r="I251" s="119">
        <v>1100864</v>
      </c>
      <c r="J251" s="119">
        <v>1109943</v>
      </c>
    </row>
    <row r="252" spans="1:10" x14ac:dyDescent="0.3">
      <c r="A252" t="s">
        <v>19</v>
      </c>
      <c r="B252" t="s">
        <v>127</v>
      </c>
      <c r="C252" t="s">
        <v>126</v>
      </c>
      <c r="D252" t="s">
        <v>44</v>
      </c>
      <c r="E252" t="s">
        <v>536</v>
      </c>
      <c r="F252" s="119">
        <v>18617</v>
      </c>
      <c r="G252" s="119">
        <v>18666</v>
      </c>
      <c r="H252" s="119">
        <v>18723</v>
      </c>
      <c r="I252" s="119">
        <v>18774</v>
      </c>
      <c r="J252" s="119">
        <v>18823</v>
      </c>
    </row>
    <row r="253" spans="1:10" x14ac:dyDescent="0.3">
      <c r="A253" t="s">
        <v>19</v>
      </c>
      <c r="B253" t="s">
        <v>125</v>
      </c>
      <c r="C253" t="s">
        <v>124</v>
      </c>
      <c r="D253" t="s">
        <v>0</v>
      </c>
      <c r="E253" t="s">
        <v>537</v>
      </c>
      <c r="F253" s="119">
        <v>96.826667130604221</v>
      </c>
      <c r="G253" s="119">
        <v>96.820987111634693</v>
      </c>
      <c r="H253" s="119">
        <v>96.815184744166217</v>
      </c>
      <c r="I253" s="119">
        <v>96.809694793536806</v>
      </c>
      <c r="J253" s="119">
        <v>96.804422693492839</v>
      </c>
    </row>
    <row r="254" spans="1:10" x14ac:dyDescent="0.3">
      <c r="A254" t="s">
        <v>19</v>
      </c>
      <c r="B254" t="s">
        <v>123</v>
      </c>
      <c r="C254" t="s">
        <v>122</v>
      </c>
      <c r="D254" t="s">
        <v>3</v>
      </c>
      <c r="E254" t="s">
        <v>538</v>
      </c>
      <c r="F254" s="119">
        <v>5.2449764261730376</v>
      </c>
      <c r="G254" s="119">
        <v>5.2629015525820693</v>
      </c>
      <c r="H254" s="119">
        <v>5.2633337480228199</v>
      </c>
      <c r="I254" s="119">
        <v>5.3150987432675043</v>
      </c>
      <c r="J254" s="119">
        <v>5.4517853906108398</v>
      </c>
    </row>
    <row r="255" spans="1:10" x14ac:dyDescent="0.3">
      <c r="A255" t="s">
        <v>19</v>
      </c>
      <c r="B255" t="s">
        <v>121</v>
      </c>
      <c r="C255" t="s">
        <v>120</v>
      </c>
      <c r="D255" t="s">
        <v>3</v>
      </c>
      <c r="E255" t="s">
        <v>539</v>
      </c>
      <c r="F255" s="119">
        <v>1.4502873717569963E-2</v>
      </c>
      <c r="G255" s="119">
        <v>1.446480231436837E-2</v>
      </c>
      <c r="H255" s="119">
        <v>1.4474176146984992E-2</v>
      </c>
      <c r="I255" s="119">
        <v>1.4488121870672206E-2</v>
      </c>
      <c r="J255" s="119">
        <v>1.4503532911863145E-2</v>
      </c>
    </row>
    <row r="256" spans="1:10" x14ac:dyDescent="0.3">
      <c r="A256" t="s">
        <v>7</v>
      </c>
      <c r="B256" t="s">
        <v>187</v>
      </c>
      <c r="C256" t="s">
        <v>186</v>
      </c>
      <c r="D256" t="s">
        <v>2</v>
      </c>
      <c r="E256" t="s">
        <v>469</v>
      </c>
      <c r="F256" s="119">
        <v>16.899000000000001</v>
      </c>
      <c r="G256" s="119">
        <v>16.698</v>
      </c>
      <c r="H256" s="119">
        <v>16.573</v>
      </c>
      <c r="I256" s="119">
        <v>16.387</v>
      </c>
      <c r="J256" s="119">
        <v>16.138000000000002</v>
      </c>
    </row>
    <row r="257" spans="1:10" x14ac:dyDescent="0.3">
      <c r="A257" t="s">
        <v>7</v>
      </c>
      <c r="B257" t="s">
        <v>185</v>
      </c>
      <c r="C257" t="s">
        <v>184</v>
      </c>
      <c r="D257" t="s">
        <v>2</v>
      </c>
      <c r="E257" t="s">
        <v>470</v>
      </c>
      <c r="F257" s="119">
        <v>0</v>
      </c>
      <c r="G257" s="119">
        <v>0</v>
      </c>
      <c r="H257" s="119">
        <v>0</v>
      </c>
      <c r="I257" s="119">
        <v>0</v>
      </c>
      <c r="J257" s="119">
        <v>0</v>
      </c>
    </row>
    <row r="258" spans="1:10" x14ac:dyDescent="0.3">
      <c r="A258" t="s">
        <v>7</v>
      </c>
      <c r="B258" t="s">
        <v>183</v>
      </c>
      <c r="C258" t="s">
        <v>182</v>
      </c>
      <c r="D258" t="s">
        <v>2</v>
      </c>
      <c r="E258" t="s">
        <v>471</v>
      </c>
      <c r="F258" s="119">
        <v>4.4340000000000002</v>
      </c>
      <c r="G258" s="119">
        <v>4.423</v>
      </c>
      <c r="H258" s="119">
        <v>3.8149999999999999</v>
      </c>
      <c r="I258" s="119">
        <v>3.1720000000000002</v>
      </c>
      <c r="J258" s="119">
        <v>3.2080000000000002</v>
      </c>
    </row>
    <row r="259" spans="1:10" x14ac:dyDescent="0.3">
      <c r="A259" t="s">
        <v>7</v>
      </c>
      <c r="B259" t="s">
        <v>181</v>
      </c>
      <c r="C259" t="s">
        <v>180</v>
      </c>
      <c r="D259" t="s">
        <v>2</v>
      </c>
      <c r="E259" t="s">
        <v>491</v>
      </c>
      <c r="F259" s="119">
        <v>82.63300000000001</v>
      </c>
      <c r="G259" s="119">
        <v>81.031000000000006</v>
      </c>
      <c r="H259" s="119">
        <v>79.94</v>
      </c>
      <c r="I259" s="119">
        <v>80.228999999999999</v>
      </c>
      <c r="J259" s="119">
        <v>78.49799999999999</v>
      </c>
    </row>
    <row r="260" spans="1:10" x14ac:dyDescent="0.3">
      <c r="A260" t="s">
        <v>7</v>
      </c>
      <c r="B260" t="s">
        <v>179</v>
      </c>
      <c r="C260" t="s">
        <v>178</v>
      </c>
      <c r="D260" t="s">
        <v>2</v>
      </c>
      <c r="E260" t="s">
        <v>492</v>
      </c>
      <c r="F260" s="119">
        <v>8.9420000000000002</v>
      </c>
      <c r="G260" s="119">
        <v>23.966000000000001</v>
      </c>
      <c r="H260" s="119">
        <v>20.986999999999998</v>
      </c>
      <c r="I260" s="119">
        <v>7.327</v>
      </c>
      <c r="J260" s="119">
        <v>5.8620000000000001</v>
      </c>
    </row>
    <row r="261" spans="1:10" x14ac:dyDescent="0.3">
      <c r="A261" t="s">
        <v>7</v>
      </c>
      <c r="B261" t="s">
        <v>177</v>
      </c>
      <c r="C261" t="s">
        <v>176</v>
      </c>
      <c r="D261" t="s">
        <v>2</v>
      </c>
      <c r="E261" t="s">
        <v>493</v>
      </c>
      <c r="F261" s="119">
        <v>68.218000000000004</v>
      </c>
      <c r="G261" s="119">
        <v>55.741999999999997</v>
      </c>
      <c r="H261" s="119">
        <v>47.701000000000001</v>
      </c>
      <c r="I261" s="119">
        <v>33.075000000000003</v>
      </c>
      <c r="J261" s="119">
        <v>30.01</v>
      </c>
    </row>
    <row r="262" spans="1:10" x14ac:dyDescent="0.3">
      <c r="A262" t="s">
        <v>7</v>
      </c>
      <c r="B262" t="s">
        <v>175</v>
      </c>
      <c r="C262" t="s">
        <v>174</v>
      </c>
      <c r="D262" t="s">
        <v>2</v>
      </c>
      <c r="E262" t="s">
        <v>494</v>
      </c>
      <c r="F262" s="119">
        <v>14.84</v>
      </c>
      <c r="G262" s="119">
        <v>14.628</v>
      </c>
      <c r="H262" s="119">
        <v>13.895</v>
      </c>
      <c r="I262" s="119">
        <v>13.066000000000001</v>
      </c>
      <c r="J262" s="119">
        <v>12.853</v>
      </c>
    </row>
    <row r="263" spans="1:10" x14ac:dyDescent="0.3">
      <c r="A263" t="s">
        <v>7</v>
      </c>
      <c r="B263" t="s">
        <v>173</v>
      </c>
      <c r="C263" t="s">
        <v>172</v>
      </c>
      <c r="D263" t="s">
        <v>2</v>
      </c>
      <c r="E263" t="s">
        <v>495</v>
      </c>
      <c r="F263" s="119">
        <v>76.62299999999999</v>
      </c>
      <c r="G263" s="119">
        <v>90.396000000000015</v>
      </c>
      <c r="H263" s="119">
        <v>86.113000000000014</v>
      </c>
      <c r="I263" s="119">
        <v>72.890999999999991</v>
      </c>
      <c r="J263" s="119">
        <v>71.462999999999994</v>
      </c>
    </row>
    <row r="264" spans="1:10" x14ac:dyDescent="0.3">
      <c r="A264" t="s">
        <v>7</v>
      </c>
      <c r="B264" t="s">
        <v>171</v>
      </c>
      <c r="C264" t="s">
        <v>170</v>
      </c>
      <c r="D264" t="s">
        <v>2</v>
      </c>
      <c r="E264" t="s">
        <v>498</v>
      </c>
      <c r="F264" s="119">
        <v>104.39400000000001</v>
      </c>
      <c r="G264" s="119">
        <v>91.352999999999952</v>
      </c>
      <c r="H264" s="119">
        <v>82.792999999999992</v>
      </c>
      <c r="I264" s="119">
        <v>67.188000000000017</v>
      </c>
      <c r="J264" s="119">
        <v>63.061000000000007</v>
      </c>
    </row>
    <row r="265" spans="1:10" x14ac:dyDescent="0.3">
      <c r="A265" t="s">
        <v>7</v>
      </c>
      <c r="B265" t="s">
        <v>169</v>
      </c>
      <c r="C265" t="s">
        <v>168</v>
      </c>
      <c r="D265" t="s">
        <v>2</v>
      </c>
      <c r="E265" t="s">
        <v>496</v>
      </c>
      <c r="F265" s="119">
        <v>166.17699999999999</v>
      </c>
      <c r="G265" s="119">
        <v>167.12099999999998</v>
      </c>
      <c r="H265" s="119">
        <v>155.011</v>
      </c>
      <c r="I265" s="119">
        <v>127.01300000000001</v>
      </c>
      <c r="J265" s="119">
        <v>121.67100000000001</v>
      </c>
    </row>
    <row r="266" spans="1:10" x14ac:dyDescent="0.3">
      <c r="A266" t="s">
        <v>7</v>
      </c>
      <c r="B266" t="s">
        <v>167</v>
      </c>
      <c r="C266" t="s">
        <v>166</v>
      </c>
      <c r="D266" t="s">
        <v>2</v>
      </c>
      <c r="E266" t="s">
        <v>497</v>
      </c>
      <c r="F266" s="119">
        <v>181.017</v>
      </c>
      <c r="G266" s="119">
        <v>181.74899999999997</v>
      </c>
      <c r="H266" s="119">
        <v>168.90600000000001</v>
      </c>
      <c r="I266" s="119">
        <v>140.07900000000001</v>
      </c>
      <c r="J266" s="119">
        <v>134.524</v>
      </c>
    </row>
    <row r="267" spans="1:10" x14ac:dyDescent="0.3">
      <c r="A267" t="s">
        <v>7</v>
      </c>
      <c r="B267" t="s">
        <v>165</v>
      </c>
      <c r="C267" t="s">
        <v>163</v>
      </c>
      <c r="D267" t="s">
        <v>2</v>
      </c>
      <c r="E267" t="s">
        <v>468</v>
      </c>
      <c r="F267" s="119">
        <v>0.99</v>
      </c>
      <c r="G267" s="119">
        <v>0.99</v>
      </c>
      <c r="H267" s="119">
        <v>0.99</v>
      </c>
      <c r="I267" s="119">
        <v>0.99</v>
      </c>
      <c r="J267" s="119">
        <v>0.99</v>
      </c>
    </row>
    <row r="268" spans="1:10" x14ac:dyDescent="0.3">
      <c r="A268" t="s">
        <v>7</v>
      </c>
      <c r="B268" t="s">
        <v>164</v>
      </c>
      <c r="C268" t="s">
        <v>163</v>
      </c>
      <c r="D268" t="s">
        <v>2</v>
      </c>
      <c r="E268" t="s">
        <v>472</v>
      </c>
      <c r="F268" s="119">
        <v>0.77800000000000002</v>
      </c>
      <c r="G268" s="119">
        <v>0.497</v>
      </c>
      <c r="H268" s="119">
        <v>0.372</v>
      </c>
      <c r="I268" s="119">
        <v>0.36399999999999999</v>
      </c>
      <c r="J268" s="119">
        <v>0.152</v>
      </c>
    </row>
    <row r="269" spans="1:10" x14ac:dyDescent="0.3">
      <c r="A269" t="s">
        <v>7</v>
      </c>
      <c r="B269" t="s">
        <v>162</v>
      </c>
      <c r="C269" t="s">
        <v>161</v>
      </c>
      <c r="D269" t="s">
        <v>2</v>
      </c>
      <c r="E269" t="s">
        <v>473</v>
      </c>
      <c r="F269" s="119">
        <v>0.77800000000000002</v>
      </c>
      <c r="G269" s="119">
        <v>0.497</v>
      </c>
      <c r="H269" s="119">
        <v>0.372</v>
      </c>
      <c r="I269" s="119">
        <v>0.36399999999999999</v>
      </c>
      <c r="J269" s="119">
        <v>0.152</v>
      </c>
    </row>
    <row r="270" spans="1:10" x14ac:dyDescent="0.3">
      <c r="A270" t="s">
        <v>7</v>
      </c>
      <c r="B270" t="s">
        <v>160</v>
      </c>
      <c r="C270" t="s">
        <v>159</v>
      </c>
      <c r="D270" t="s">
        <v>2</v>
      </c>
      <c r="E270" t="s">
        <v>474</v>
      </c>
      <c r="F270" s="119">
        <v>0.17799999999999999</v>
      </c>
      <c r="G270" s="119">
        <v>0.18</v>
      </c>
      <c r="H270" s="119">
        <v>0.184</v>
      </c>
      <c r="I270" s="119">
        <v>0.183</v>
      </c>
      <c r="J270" s="119">
        <v>0.185</v>
      </c>
    </row>
    <row r="271" spans="1:10" x14ac:dyDescent="0.3">
      <c r="A271" t="s">
        <v>7</v>
      </c>
      <c r="B271" t="s">
        <v>158</v>
      </c>
      <c r="C271" t="s">
        <v>156</v>
      </c>
      <c r="D271" t="s">
        <v>2</v>
      </c>
      <c r="E271" t="s">
        <v>476</v>
      </c>
      <c r="F271" s="119">
        <v>0</v>
      </c>
      <c r="G271" s="119">
        <v>0</v>
      </c>
      <c r="H271" s="119">
        <v>0</v>
      </c>
      <c r="I271" s="119">
        <v>0</v>
      </c>
      <c r="J271" s="119">
        <v>0</v>
      </c>
    </row>
    <row r="272" spans="1:10" x14ac:dyDescent="0.3">
      <c r="A272" t="s">
        <v>7</v>
      </c>
      <c r="B272" t="s">
        <v>157</v>
      </c>
      <c r="C272" t="s">
        <v>156</v>
      </c>
      <c r="D272" t="s">
        <v>2</v>
      </c>
      <c r="E272" t="s">
        <v>477</v>
      </c>
      <c r="F272" s="119">
        <v>0</v>
      </c>
      <c r="G272" s="119">
        <v>0</v>
      </c>
      <c r="H272" s="119">
        <v>0</v>
      </c>
      <c r="I272" s="119">
        <v>0</v>
      </c>
      <c r="J272" s="119">
        <v>0</v>
      </c>
    </row>
    <row r="273" spans="1:10" x14ac:dyDescent="0.3">
      <c r="A273" t="s">
        <v>7</v>
      </c>
      <c r="B273" t="s">
        <v>155</v>
      </c>
      <c r="C273" t="s">
        <v>154</v>
      </c>
      <c r="D273" t="s">
        <v>2</v>
      </c>
      <c r="E273" t="s">
        <v>478</v>
      </c>
      <c r="F273" s="119">
        <v>0</v>
      </c>
      <c r="G273" s="119">
        <v>0</v>
      </c>
      <c r="H273" s="119">
        <v>0</v>
      </c>
      <c r="I273" s="119">
        <v>0</v>
      </c>
      <c r="J273" s="119">
        <v>0</v>
      </c>
    </row>
    <row r="274" spans="1:10" x14ac:dyDescent="0.3">
      <c r="A274" t="s">
        <v>7</v>
      </c>
      <c r="B274" t="s">
        <v>153</v>
      </c>
      <c r="C274" t="s">
        <v>152</v>
      </c>
      <c r="D274" t="s">
        <v>2</v>
      </c>
      <c r="E274" t="s">
        <v>479</v>
      </c>
      <c r="F274" s="119">
        <v>0</v>
      </c>
      <c r="G274" s="119">
        <v>0</v>
      </c>
      <c r="H274" s="119">
        <v>0</v>
      </c>
      <c r="I274" s="119">
        <v>0</v>
      </c>
      <c r="J274" s="119">
        <v>0</v>
      </c>
    </row>
    <row r="275" spans="1:10" x14ac:dyDescent="0.3">
      <c r="A275" t="s">
        <v>7</v>
      </c>
      <c r="B275" t="s">
        <v>151</v>
      </c>
      <c r="C275" t="s">
        <v>149</v>
      </c>
      <c r="D275" t="s">
        <v>2</v>
      </c>
      <c r="E275" t="s">
        <v>481</v>
      </c>
      <c r="F275" s="119">
        <v>1</v>
      </c>
      <c r="G275" s="119">
        <v>1</v>
      </c>
      <c r="H275" s="119">
        <v>1</v>
      </c>
      <c r="I275" s="119">
        <v>1</v>
      </c>
      <c r="J275" s="119">
        <v>1</v>
      </c>
    </row>
    <row r="276" spans="1:10" x14ac:dyDescent="0.3">
      <c r="A276" t="s">
        <v>7</v>
      </c>
      <c r="B276" t="s">
        <v>150</v>
      </c>
      <c r="C276" t="s">
        <v>149</v>
      </c>
      <c r="D276" t="s">
        <v>2</v>
      </c>
      <c r="E276" t="s">
        <v>482</v>
      </c>
      <c r="F276" s="119">
        <v>0.49099999999999999</v>
      </c>
      <c r="G276" s="119">
        <v>2.4159999999999999</v>
      </c>
      <c r="H276" s="119">
        <v>4.5640000000000001</v>
      </c>
      <c r="I276" s="119">
        <v>2.5550000000000002</v>
      </c>
      <c r="J276" s="119">
        <v>1.337</v>
      </c>
    </row>
    <row r="277" spans="1:10" x14ac:dyDescent="0.3">
      <c r="A277" t="s">
        <v>7</v>
      </c>
      <c r="B277" t="s">
        <v>148</v>
      </c>
      <c r="C277" t="s">
        <v>147</v>
      </c>
      <c r="D277" t="s">
        <v>2</v>
      </c>
      <c r="E277" t="s">
        <v>483</v>
      </c>
      <c r="F277" s="119">
        <v>0.49099999999999999</v>
      </c>
      <c r="G277" s="119">
        <v>2.4159999999999999</v>
      </c>
      <c r="H277" s="119">
        <v>4.5640000000000001</v>
      </c>
      <c r="I277" s="119">
        <v>2.5550000000000002</v>
      </c>
      <c r="J277" s="119">
        <v>1.337</v>
      </c>
    </row>
    <row r="278" spans="1:10" x14ac:dyDescent="0.3">
      <c r="A278" t="s">
        <v>7</v>
      </c>
      <c r="B278" t="s">
        <v>146</v>
      </c>
      <c r="C278" t="s">
        <v>145</v>
      </c>
      <c r="D278" t="s">
        <v>2</v>
      </c>
      <c r="E278" t="s">
        <v>484</v>
      </c>
      <c r="F278" s="119">
        <v>2.7719999999999998</v>
      </c>
      <c r="G278" s="119">
        <v>2.68</v>
      </c>
      <c r="H278" s="119">
        <v>2.7269999999999999</v>
      </c>
      <c r="I278" s="119">
        <v>2.7149999999999999</v>
      </c>
      <c r="J278" s="119">
        <v>2.7429999999999999</v>
      </c>
    </row>
    <row r="279" spans="1:10" x14ac:dyDescent="0.3">
      <c r="A279" t="s">
        <v>7</v>
      </c>
      <c r="B279" t="s">
        <v>144</v>
      </c>
      <c r="C279" t="s">
        <v>142</v>
      </c>
      <c r="D279" t="s">
        <v>2</v>
      </c>
      <c r="E279" t="s">
        <v>486</v>
      </c>
      <c r="F279" s="119">
        <v>0.77400000000000002</v>
      </c>
      <c r="G279" s="119">
        <v>0.77400000000000002</v>
      </c>
      <c r="H279" s="119">
        <v>0.77400000000000002</v>
      </c>
      <c r="I279" s="119">
        <v>0.77400000000000002</v>
      </c>
      <c r="J279" s="119">
        <v>0.77400000000000002</v>
      </c>
    </row>
    <row r="280" spans="1:10" x14ac:dyDescent="0.3">
      <c r="A280" t="s">
        <v>7</v>
      </c>
      <c r="B280" t="s">
        <v>143</v>
      </c>
      <c r="C280" t="s">
        <v>142</v>
      </c>
      <c r="D280" t="s">
        <v>2</v>
      </c>
      <c r="E280" t="s">
        <v>487</v>
      </c>
      <c r="F280" s="119">
        <v>1.1439999999999999</v>
      </c>
      <c r="G280" s="119">
        <v>1.1439999999999999</v>
      </c>
      <c r="H280" s="119">
        <v>1.1439999999999999</v>
      </c>
      <c r="I280" s="119">
        <v>1.1439999999999999</v>
      </c>
      <c r="J280" s="119">
        <v>1.1439999999999999</v>
      </c>
    </row>
    <row r="281" spans="1:10" x14ac:dyDescent="0.3">
      <c r="A281" t="s">
        <v>7</v>
      </c>
      <c r="B281" t="s">
        <v>141</v>
      </c>
      <c r="C281" t="s">
        <v>140</v>
      </c>
      <c r="D281" t="s">
        <v>2</v>
      </c>
      <c r="E281" t="s">
        <v>488</v>
      </c>
      <c r="F281" s="119">
        <v>21.222000000000001</v>
      </c>
      <c r="G281" s="119">
        <v>21.222000000000001</v>
      </c>
      <c r="H281" s="119">
        <v>21.222000000000001</v>
      </c>
      <c r="I281" s="119">
        <v>21.222000000000001</v>
      </c>
      <c r="J281" s="119">
        <v>21.222000000000001</v>
      </c>
    </row>
    <row r="282" spans="1:10" x14ac:dyDescent="0.3">
      <c r="A282" t="s">
        <v>7</v>
      </c>
      <c r="B282" t="s">
        <v>139</v>
      </c>
      <c r="C282" t="s">
        <v>138</v>
      </c>
      <c r="D282" t="s">
        <v>2</v>
      </c>
      <c r="E282" t="s">
        <v>489</v>
      </c>
      <c r="F282" s="119">
        <v>1.9239999999999999</v>
      </c>
      <c r="G282" s="119">
        <v>2.0779999999999998</v>
      </c>
      <c r="H282" s="119">
        <v>2.1139999999999999</v>
      </c>
      <c r="I282" s="119">
        <v>2.105</v>
      </c>
      <c r="J282" s="119">
        <v>2.1280000000000001</v>
      </c>
    </row>
    <row r="283" spans="1:10" x14ac:dyDescent="0.3">
      <c r="A283" t="s">
        <v>7</v>
      </c>
      <c r="B283" t="s">
        <v>137</v>
      </c>
      <c r="C283" t="s">
        <v>136</v>
      </c>
      <c r="D283" t="s">
        <v>2</v>
      </c>
      <c r="E283" t="s">
        <v>475</v>
      </c>
      <c r="F283" s="119">
        <v>26.254000000000001</v>
      </c>
      <c r="G283" s="119">
        <v>25.184999999999999</v>
      </c>
      <c r="H283" s="119">
        <v>23.774999999999999</v>
      </c>
      <c r="I283" s="119">
        <v>24.01</v>
      </c>
      <c r="J283" s="119">
        <v>24.149000000000001</v>
      </c>
    </row>
    <row r="284" spans="1:10" x14ac:dyDescent="0.3">
      <c r="A284" t="s">
        <v>7</v>
      </c>
      <c r="B284" t="s">
        <v>135</v>
      </c>
      <c r="C284" t="s">
        <v>134</v>
      </c>
      <c r="D284" t="s">
        <v>2</v>
      </c>
      <c r="E284" t="s">
        <v>480</v>
      </c>
      <c r="F284" s="119">
        <v>0.621</v>
      </c>
      <c r="G284" s="119">
        <v>0.621</v>
      </c>
      <c r="H284" s="119">
        <v>0.629</v>
      </c>
      <c r="I284" s="119">
        <v>0.629</v>
      </c>
      <c r="J284" s="119">
        <v>0.622</v>
      </c>
    </row>
    <row r="285" spans="1:10" x14ac:dyDescent="0.3">
      <c r="A285" t="s">
        <v>7</v>
      </c>
      <c r="B285" t="s">
        <v>133</v>
      </c>
      <c r="C285" t="s">
        <v>132</v>
      </c>
      <c r="D285" t="s">
        <v>2</v>
      </c>
      <c r="E285" t="s">
        <v>485</v>
      </c>
      <c r="F285" s="119">
        <v>121.10299999999999</v>
      </c>
      <c r="G285" s="119">
        <v>110.29</v>
      </c>
      <c r="H285" s="119">
        <v>92.522999999999996</v>
      </c>
      <c r="I285" s="119">
        <v>73.349000000000004</v>
      </c>
      <c r="J285" s="119">
        <v>73.724999999999994</v>
      </c>
    </row>
    <row r="286" spans="1:10" x14ac:dyDescent="0.3">
      <c r="A286" t="s">
        <v>7</v>
      </c>
      <c r="B286" t="s">
        <v>131</v>
      </c>
      <c r="C286" t="s">
        <v>130</v>
      </c>
      <c r="D286" t="s">
        <v>2</v>
      </c>
      <c r="E286" t="s">
        <v>490</v>
      </c>
      <c r="F286" s="119">
        <v>90.991</v>
      </c>
      <c r="G286" s="119">
        <v>103.91200000000001</v>
      </c>
      <c r="H286" s="119">
        <v>102.733</v>
      </c>
      <c r="I286" s="119">
        <v>103.81399999999999</v>
      </c>
      <c r="J286" s="119">
        <v>119.13</v>
      </c>
    </row>
    <row r="287" spans="1:10" x14ac:dyDescent="0.3">
      <c r="A287" t="s">
        <v>7</v>
      </c>
      <c r="B287" t="s">
        <v>129</v>
      </c>
      <c r="C287" t="s">
        <v>128</v>
      </c>
      <c r="D287" t="s">
        <v>3</v>
      </c>
      <c r="E287" t="s">
        <v>499</v>
      </c>
      <c r="F287" s="119">
        <v>1143215.0000000002</v>
      </c>
      <c r="G287" s="119">
        <v>1156473</v>
      </c>
      <c r="H287" s="119">
        <v>1169369.0000000002</v>
      </c>
      <c r="I287" s="119">
        <v>1182151</v>
      </c>
      <c r="J287" s="119">
        <v>1194283</v>
      </c>
    </row>
    <row r="288" spans="1:10" x14ac:dyDescent="0.3">
      <c r="A288" t="s">
        <v>7</v>
      </c>
      <c r="B288" t="s">
        <v>127</v>
      </c>
      <c r="C288" t="s">
        <v>126</v>
      </c>
      <c r="D288" t="s">
        <v>44</v>
      </c>
      <c r="E288" t="s">
        <v>500</v>
      </c>
      <c r="F288" s="119">
        <v>14036</v>
      </c>
      <c r="G288" s="119">
        <v>14078</v>
      </c>
      <c r="H288" s="119">
        <v>14120</v>
      </c>
      <c r="I288" s="119">
        <v>14162</v>
      </c>
      <c r="J288" s="119">
        <v>14204</v>
      </c>
    </row>
    <row r="289" spans="1:10" x14ac:dyDescent="0.3">
      <c r="A289" t="s">
        <v>7</v>
      </c>
      <c r="B289" t="s">
        <v>125</v>
      </c>
      <c r="C289" t="s">
        <v>124</v>
      </c>
      <c r="D289" t="s">
        <v>0</v>
      </c>
      <c r="E289" t="s">
        <v>501</v>
      </c>
      <c r="F289" s="119">
        <v>89.178223102712579</v>
      </c>
      <c r="G289" s="119">
        <v>89.179671714742042</v>
      </c>
      <c r="H289" s="119">
        <v>89.545613150854891</v>
      </c>
      <c r="I289" s="119">
        <v>89.546300832925041</v>
      </c>
      <c r="J289" s="119">
        <v>92.667496985153136</v>
      </c>
    </row>
    <row r="290" spans="1:10" x14ac:dyDescent="0.3">
      <c r="A290" t="s">
        <v>7</v>
      </c>
      <c r="B290" t="s">
        <v>123</v>
      </c>
      <c r="C290" t="s">
        <v>122</v>
      </c>
      <c r="D290" t="s">
        <v>3</v>
      </c>
      <c r="E290" t="s">
        <v>502</v>
      </c>
      <c r="F290" s="119">
        <v>4.8734189271563544</v>
      </c>
      <c r="G290" s="119">
        <v>4.8734581561375503</v>
      </c>
      <c r="H290" s="119">
        <v>4.8992943821967199</v>
      </c>
      <c r="I290" s="119">
        <v>4.8993434590886817</v>
      </c>
      <c r="J290" s="119">
        <v>4.9729158017515775</v>
      </c>
    </row>
    <row r="291" spans="1:10" x14ac:dyDescent="0.3">
      <c r="A291" t="s">
        <v>7</v>
      </c>
      <c r="B291" t="s">
        <v>121</v>
      </c>
      <c r="C291" t="s">
        <v>120</v>
      </c>
      <c r="D291" t="s">
        <v>3</v>
      </c>
      <c r="E291" t="s">
        <v>503</v>
      </c>
      <c r="F291" s="119">
        <v>1.7170133941293814E-2</v>
      </c>
      <c r="G291" s="119">
        <v>1.7118908935928399E-2</v>
      </c>
      <c r="H291" s="119">
        <v>1.6855524079320113E-2</v>
      </c>
      <c r="I291" s="119">
        <v>1.6805535941251237E-2</v>
      </c>
      <c r="J291" s="119">
        <v>1.6263024500140805E-2</v>
      </c>
    </row>
    <row r="292" spans="1:10" x14ac:dyDescent="0.3">
      <c r="A292" t="s">
        <v>9</v>
      </c>
      <c r="B292" t="s">
        <v>187</v>
      </c>
      <c r="C292" t="s">
        <v>186</v>
      </c>
      <c r="D292" t="s">
        <v>2</v>
      </c>
      <c r="E292" t="s">
        <v>541</v>
      </c>
      <c r="F292" s="119">
        <v>70.263574420979296</v>
      </c>
      <c r="G292" s="119">
        <v>71.8741557919206</v>
      </c>
      <c r="H292" s="119">
        <v>67.744320660203201</v>
      </c>
      <c r="I292" s="119">
        <v>65.474435440685895</v>
      </c>
      <c r="J292" s="119">
        <v>68.057811506527202</v>
      </c>
    </row>
    <row r="293" spans="1:10" x14ac:dyDescent="0.3">
      <c r="A293" t="s">
        <v>9</v>
      </c>
      <c r="B293" t="s">
        <v>185</v>
      </c>
      <c r="C293" t="s">
        <v>184</v>
      </c>
      <c r="D293" t="s">
        <v>2</v>
      </c>
      <c r="E293" t="s">
        <v>542</v>
      </c>
      <c r="F293" s="119">
        <v>11.7930176186</v>
      </c>
      <c r="G293" s="119">
        <v>12.808241818600001</v>
      </c>
      <c r="H293" s="119">
        <v>13.824414236000001</v>
      </c>
      <c r="I293" s="119">
        <v>4.9033508540000001</v>
      </c>
      <c r="J293" s="119">
        <v>2.5597685838999999</v>
      </c>
    </row>
    <row r="294" spans="1:10" x14ac:dyDescent="0.3">
      <c r="A294" t="s">
        <v>9</v>
      </c>
      <c r="B294" t="s">
        <v>183</v>
      </c>
      <c r="C294" t="s">
        <v>182</v>
      </c>
      <c r="D294" t="s">
        <v>2</v>
      </c>
      <c r="E294" t="s">
        <v>543</v>
      </c>
      <c r="F294" s="119">
        <v>18.404272216599999</v>
      </c>
      <c r="G294" s="119">
        <v>13.465655109</v>
      </c>
      <c r="H294" s="119">
        <v>7.1031113135000004</v>
      </c>
      <c r="I294" s="119">
        <v>6.1344392859000001</v>
      </c>
      <c r="J294" s="119">
        <v>3.0479399036000001</v>
      </c>
    </row>
    <row r="295" spans="1:10" x14ac:dyDescent="0.3">
      <c r="A295" t="s">
        <v>9</v>
      </c>
      <c r="B295" t="s">
        <v>181</v>
      </c>
      <c r="C295" t="s">
        <v>180</v>
      </c>
      <c r="D295" t="s">
        <v>2</v>
      </c>
      <c r="E295" t="s">
        <v>563</v>
      </c>
      <c r="F295" s="119">
        <v>394.24945051211182</v>
      </c>
      <c r="G295" s="119">
        <v>384.214567256929</v>
      </c>
      <c r="H295" s="119">
        <v>371.47835836566355</v>
      </c>
      <c r="I295" s="119">
        <v>359.71279410229886</v>
      </c>
      <c r="J295" s="119">
        <v>355.17914692161514</v>
      </c>
    </row>
    <row r="296" spans="1:10" x14ac:dyDescent="0.3">
      <c r="A296" t="s">
        <v>9</v>
      </c>
      <c r="B296" t="s">
        <v>179</v>
      </c>
      <c r="C296" t="s">
        <v>178</v>
      </c>
      <c r="D296" t="s">
        <v>2</v>
      </c>
      <c r="E296" t="s">
        <v>564</v>
      </c>
      <c r="F296" s="119">
        <v>129.27081244480001</v>
      </c>
      <c r="G296" s="119">
        <v>152.6123800924</v>
      </c>
      <c r="H296" s="119">
        <v>131.35252795860001</v>
      </c>
      <c r="I296" s="119">
        <v>133.82224172779999</v>
      </c>
      <c r="J296" s="119">
        <v>123.96977430219999</v>
      </c>
    </row>
    <row r="297" spans="1:10" x14ac:dyDescent="0.3">
      <c r="A297" t="s">
        <v>9</v>
      </c>
      <c r="B297" t="s">
        <v>177</v>
      </c>
      <c r="C297" t="s">
        <v>176</v>
      </c>
      <c r="D297" t="s">
        <v>2</v>
      </c>
      <c r="E297" t="s">
        <v>565</v>
      </c>
      <c r="F297" s="119">
        <v>233.75988293690011</v>
      </c>
      <c r="G297" s="119">
        <v>229.0698818205</v>
      </c>
      <c r="H297" s="119">
        <v>192.87554431150022</v>
      </c>
      <c r="I297" s="119">
        <v>168.72721300239999</v>
      </c>
      <c r="J297" s="119">
        <v>155.4817820147</v>
      </c>
    </row>
    <row r="298" spans="1:10" x14ac:dyDescent="0.3">
      <c r="A298" t="s">
        <v>9</v>
      </c>
      <c r="B298" t="s">
        <v>175</v>
      </c>
      <c r="C298" t="s">
        <v>174</v>
      </c>
      <c r="D298" t="s">
        <v>2</v>
      </c>
      <c r="E298" t="s">
        <v>566</v>
      </c>
      <c r="F298" s="119">
        <v>77.461900738688882</v>
      </c>
      <c r="G298" s="119">
        <v>74.980978596408249</v>
      </c>
      <c r="H298" s="119">
        <v>65.364102183136566</v>
      </c>
      <c r="I298" s="119">
        <v>53.147978796701324</v>
      </c>
      <c r="J298" s="119">
        <v>50.254614304449078</v>
      </c>
    </row>
    <row r="299" spans="1:10" x14ac:dyDescent="0.3">
      <c r="A299" t="s">
        <v>9</v>
      </c>
      <c r="B299" t="s">
        <v>173</v>
      </c>
      <c r="C299" t="s">
        <v>172</v>
      </c>
      <c r="D299" t="s">
        <v>2</v>
      </c>
      <c r="E299" t="s">
        <v>567</v>
      </c>
      <c r="F299" s="119">
        <v>542.48887945036529</v>
      </c>
      <c r="G299" s="119">
        <v>541.20941371903234</v>
      </c>
      <c r="H299" s="119">
        <v>489.02685347558122</v>
      </c>
      <c r="I299" s="119">
        <v>484.10500300828841</v>
      </c>
      <c r="J299" s="119">
        <v>470.514265406785</v>
      </c>
    </row>
    <row r="300" spans="1:10" x14ac:dyDescent="0.3">
      <c r="A300" t="s">
        <v>9</v>
      </c>
      <c r="B300" t="s">
        <v>171</v>
      </c>
      <c r="C300" t="s">
        <v>170</v>
      </c>
      <c r="D300" t="s">
        <v>2</v>
      </c>
      <c r="E300" t="s">
        <v>570</v>
      </c>
      <c r="F300" s="119">
        <v>229.35470977380635</v>
      </c>
      <c r="G300" s="119">
        <v>249.98812439519156</v>
      </c>
      <c r="H300" s="119">
        <v>228.94102050962283</v>
      </c>
      <c r="I300" s="119">
        <v>186.63752998253364</v>
      </c>
      <c r="J300" s="119">
        <v>169.0145938213879</v>
      </c>
    </row>
    <row r="301" spans="1:10" x14ac:dyDescent="0.3">
      <c r="A301" t="s">
        <v>9</v>
      </c>
      <c r="B301" t="s">
        <v>169</v>
      </c>
      <c r="C301" t="s">
        <v>168</v>
      </c>
      <c r="D301" t="s">
        <v>2</v>
      </c>
      <c r="E301" t="s">
        <v>568</v>
      </c>
      <c r="F301" s="119">
        <v>694.38168848548275</v>
      </c>
      <c r="G301" s="119">
        <v>716.21655951781565</v>
      </c>
      <c r="H301" s="119">
        <v>652.60377180206751</v>
      </c>
      <c r="I301" s="119">
        <v>617.59455419412075</v>
      </c>
      <c r="J301" s="119">
        <v>589.27424492372381</v>
      </c>
    </row>
    <row r="302" spans="1:10" x14ac:dyDescent="0.3">
      <c r="A302" t="s">
        <v>9</v>
      </c>
      <c r="B302" t="s">
        <v>167</v>
      </c>
      <c r="C302" t="s">
        <v>166</v>
      </c>
      <c r="D302" t="s">
        <v>2</v>
      </c>
      <c r="E302" t="s">
        <v>569</v>
      </c>
      <c r="F302" s="119">
        <v>771.84358922417164</v>
      </c>
      <c r="G302" s="119">
        <v>791.1975381142239</v>
      </c>
      <c r="H302" s="119">
        <v>717.96787398520405</v>
      </c>
      <c r="I302" s="119">
        <v>670.74253299082204</v>
      </c>
      <c r="J302" s="119">
        <v>639.52885922817291</v>
      </c>
    </row>
    <row r="303" spans="1:10" x14ac:dyDescent="0.3">
      <c r="A303" t="s">
        <v>9</v>
      </c>
      <c r="B303" t="s">
        <v>165</v>
      </c>
      <c r="C303" t="s">
        <v>163</v>
      </c>
      <c r="D303" t="s">
        <v>2</v>
      </c>
      <c r="E303" t="s">
        <v>540</v>
      </c>
      <c r="F303" s="119">
        <v>2.7831840249554198</v>
      </c>
      <c r="G303" s="119">
        <v>2.9523159271177501</v>
      </c>
      <c r="H303" s="119">
        <v>3.0919136764552202</v>
      </c>
      <c r="I303" s="119">
        <v>3.1478080545360898</v>
      </c>
      <c r="J303" s="119">
        <v>3.1955447427287802</v>
      </c>
    </row>
    <row r="304" spans="1:10" x14ac:dyDescent="0.3">
      <c r="A304" t="s">
        <v>9</v>
      </c>
      <c r="B304" t="s">
        <v>164</v>
      </c>
      <c r="C304" t="s">
        <v>163</v>
      </c>
      <c r="D304" t="s">
        <v>2</v>
      </c>
      <c r="E304" t="s">
        <v>544</v>
      </c>
      <c r="F304" s="119">
        <v>0</v>
      </c>
      <c r="G304" s="119">
        <v>0</v>
      </c>
      <c r="H304" s="119">
        <v>0</v>
      </c>
      <c r="I304" s="119">
        <v>0</v>
      </c>
      <c r="J304" s="119">
        <v>0</v>
      </c>
    </row>
    <row r="305" spans="1:10" x14ac:dyDescent="0.3">
      <c r="A305" t="s">
        <v>9</v>
      </c>
      <c r="B305" t="s">
        <v>162</v>
      </c>
      <c r="C305" t="s">
        <v>161</v>
      </c>
      <c r="D305" t="s">
        <v>2</v>
      </c>
      <c r="E305" t="s">
        <v>545</v>
      </c>
      <c r="F305" s="119">
        <v>0</v>
      </c>
      <c r="G305" s="119">
        <v>0</v>
      </c>
      <c r="H305" s="119">
        <v>0</v>
      </c>
      <c r="I305" s="119">
        <v>0</v>
      </c>
      <c r="J305" s="119">
        <v>0</v>
      </c>
    </row>
    <row r="306" spans="1:10" x14ac:dyDescent="0.3">
      <c r="A306" t="s">
        <v>9</v>
      </c>
      <c r="B306" t="s">
        <v>160</v>
      </c>
      <c r="C306" t="s">
        <v>159</v>
      </c>
      <c r="D306" t="s">
        <v>2</v>
      </c>
      <c r="E306" t="s">
        <v>546</v>
      </c>
      <c r="F306" s="119">
        <v>1.1104086039207</v>
      </c>
      <c r="G306" s="119">
        <v>1.1153002717793801</v>
      </c>
      <c r="H306" s="119">
        <v>1.1250836074967501</v>
      </c>
      <c r="I306" s="119">
        <v>1.1348669432141101</v>
      </c>
      <c r="J306" s="119">
        <v>1.13975861107279</v>
      </c>
    </row>
    <row r="307" spans="1:10" x14ac:dyDescent="0.3">
      <c r="A307" t="s">
        <v>9</v>
      </c>
      <c r="B307" t="s">
        <v>158</v>
      </c>
      <c r="C307" t="s">
        <v>156</v>
      </c>
      <c r="D307" t="s">
        <v>2</v>
      </c>
      <c r="E307" t="s">
        <v>548</v>
      </c>
      <c r="F307" s="119">
        <v>0</v>
      </c>
      <c r="G307" s="119">
        <v>0</v>
      </c>
      <c r="H307" s="119">
        <v>0</v>
      </c>
      <c r="I307" s="119">
        <v>0</v>
      </c>
      <c r="J307" s="119">
        <v>0</v>
      </c>
    </row>
    <row r="308" spans="1:10" x14ac:dyDescent="0.3">
      <c r="A308" t="s">
        <v>9</v>
      </c>
      <c r="B308" t="s">
        <v>157</v>
      </c>
      <c r="C308" t="s">
        <v>156</v>
      </c>
      <c r="D308" t="s">
        <v>2</v>
      </c>
      <c r="E308" t="s">
        <v>549</v>
      </c>
      <c r="F308" s="119">
        <v>0</v>
      </c>
      <c r="G308" s="119">
        <v>0</v>
      </c>
      <c r="H308" s="119">
        <v>0</v>
      </c>
      <c r="I308" s="119">
        <v>0</v>
      </c>
      <c r="J308" s="119">
        <v>0</v>
      </c>
    </row>
    <row r="309" spans="1:10" x14ac:dyDescent="0.3">
      <c r="A309" t="s">
        <v>9</v>
      </c>
      <c r="B309" t="s">
        <v>155</v>
      </c>
      <c r="C309" t="s">
        <v>154</v>
      </c>
      <c r="D309" t="s">
        <v>2</v>
      </c>
      <c r="E309" t="s">
        <v>550</v>
      </c>
      <c r="F309" s="119">
        <v>0</v>
      </c>
      <c r="G309" s="119">
        <v>0</v>
      </c>
      <c r="H309" s="119">
        <v>0</v>
      </c>
      <c r="I309" s="119">
        <v>0</v>
      </c>
      <c r="J309" s="119">
        <v>0</v>
      </c>
    </row>
    <row r="310" spans="1:10" x14ac:dyDescent="0.3">
      <c r="A310" t="s">
        <v>9</v>
      </c>
      <c r="B310" t="s">
        <v>153</v>
      </c>
      <c r="C310" t="s">
        <v>152</v>
      </c>
      <c r="D310" t="s">
        <v>2</v>
      </c>
      <c r="E310" t="s">
        <v>551</v>
      </c>
      <c r="F310" s="119">
        <v>8.7279061099444694E-2</v>
      </c>
      <c r="G310" s="119">
        <v>8.7663550355389405E-2</v>
      </c>
      <c r="H310" s="119">
        <v>8.8432528867278704E-2</v>
      </c>
      <c r="I310" s="119">
        <v>8.9201507379168099E-2</v>
      </c>
      <c r="J310" s="119">
        <v>8.9585996635112797E-2</v>
      </c>
    </row>
    <row r="311" spans="1:10" x14ac:dyDescent="0.3">
      <c r="A311" t="s">
        <v>9</v>
      </c>
      <c r="B311" t="s">
        <v>151</v>
      </c>
      <c r="C311" t="s">
        <v>149</v>
      </c>
      <c r="D311" t="s">
        <v>2</v>
      </c>
      <c r="E311" t="s">
        <v>553</v>
      </c>
      <c r="F311" s="119">
        <v>0.73647783395349897</v>
      </c>
      <c r="G311" s="119">
        <v>0.78123301213793095</v>
      </c>
      <c r="H311" s="119">
        <v>0.81817295111968502</v>
      </c>
      <c r="I311" s="119">
        <v>0.83296355430297297</v>
      </c>
      <c r="J311" s="119">
        <v>0.845595493982501</v>
      </c>
    </row>
    <row r="312" spans="1:10" x14ac:dyDescent="0.3">
      <c r="A312" t="s">
        <v>9</v>
      </c>
      <c r="B312" t="s">
        <v>150</v>
      </c>
      <c r="C312" t="s">
        <v>149</v>
      </c>
      <c r="D312" t="s">
        <v>2</v>
      </c>
      <c r="E312" t="s">
        <v>554</v>
      </c>
      <c r="F312" s="119">
        <v>0</v>
      </c>
      <c r="G312" s="119">
        <v>0</v>
      </c>
      <c r="H312" s="119">
        <v>0</v>
      </c>
      <c r="I312" s="119">
        <v>0</v>
      </c>
      <c r="J312" s="119">
        <v>0</v>
      </c>
    </row>
    <row r="313" spans="1:10" x14ac:dyDescent="0.3">
      <c r="A313" t="s">
        <v>9</v>
      </c>
      <c r="B313" t="s">
        <v>148</v>
      </c>
      <c r="C313" t="s">
        <v>147</v>
      </c>
      <c r="D313" t="s">
        <v>2</v>
      </c>
      <c r="E313" t="s">
        <v>555</v>
      </c>
      <c r="F313" s="119">
        <v>0</v>
      </c>
      <c r="G313" s="119">
        <v>0</v>
      </c>
      <c r="H313" s="119">
        <v>0</v>
      </c>
      <c r="I313" s="119">
        <v>0</v>
      </c>
      <c r="J313" s="119">
        <v>0</v>
      </c>
    </row>
    <row r="314" spans="1:10" x14ac:dyDescent="0.3">
      <c r="A314" t="s">
        <v>9</v>
      </c>
      <c r="B314" t="s">
        <v>146</v>
      </c>
      <c r="C314" t="s">
        <v>145</v>
      </c>
      <c r="D314" t="s">
        <v>2</v>
      </c>
      <c r="E314" t="s">
        <v>556</v>
      </c>
      <c r="F314" s="119">
        <v>3.09243313602152</v>
      </c>
      <c r="G314" s="119">
        <v>3.1060561894841698</v>
      </c>
      <c r="H314" s="119">
        <v>3.1333022964094699</v>
      </c>
      <c r="I314" s="119">
        <v>3.1605484033347699</v>
      </c>
      <c r="J314" s="119">
        <v>3.1741714567974202</v>
      </c>
    </row>
    <row r="315" spans="1:10" x14ac:dyDescent="0.3">
      <c r="A315" t="s">
        <v>9</v>
      </c>
      <c r="B315" t="s">
        <v>144</v>
      </c>
      <c r="C315" t="s">
        <v>142</v>
      </c>
      <c r="D315" t="s">
        <v>2</v>
      </c>
      <c r="E315" t="s">
        <v>558</v>
      </c>
      <c r="F315" s="119">
        <v>3.03518582695063</v>
      </c>
      <c r="G315" s="119">
        <v>3.0274507860864399</v>
      </c>
      <c r="H315" s="119">
        <v>3.03895712791059</v>
      </c>
      <c r="I315" s="119">
        <v>3.04279423742731</v>
      </c>
      <c r="J315" s="119">
        <v>3.0381635024653701</v>
      </c>
    </row>
    <row r="316" spans="1:10" x14ac:dyDescent="0.3">
      <c r="A316" t="s">
        <v>9</v>
      </c>
      <c r="B316" t="s">
        <v>143</v>
      </c>
      <c r="C316" t="s">
        <v>142</v>
      </c>
      <c r="D316" t="s">
        <v>2</v>
      </c>
      <c r="E316" t="s">
        <v>559</v>
      </c>
      <c r="F316" s="119">
        <v>0</v>
      </c>
      <c r="G316" s="119">
        <v>0</v>
      </c>
      <c r="H316" s="119">
        <v>0</v>
      </c>
      <c r="I316" s="119">
        <v>0</v>
      </c>
      <c r="J316" s="119">
        <v>0</v>
      </c>
    </row>
    <row r="317" spans="1:10" x14ac:dyDescent="0.3">
      <c r="A317" t="s">
        <v>9</v>
      </c>
      <c r="B317" t="s">
        <v>141</v>
      </c>
      <c r="C317" t="s">
        <v>140</v>
      </c>
      <c r="D317" t="s">
        <v>2</v>
      </c>
      <c r="E317" t="s">
        <v>560</v>
      </c>
      <c r="F317" s="119">
        <v>36.203923685697603</v>
      </c>
      <c r="G317" s="119">
        <v>32.916108752650899</v>
      </c>
      <c r="H317" s="119">
        <v>28.705019953338599</v>
      </c>
      <c r="I317" s="119">
        <v>27.4995430778844</v>
      </c>
      <c r="J317" s="119">
        <v>23.937451033884098</v>
      </c>
    </row>
    <row r="318" spans="1:10" x14ac:dyDescent="0.3">
      <c r="A318" t="s">
        <v>9</v>
      </c>
      <c r="B318" t="s">
        <v>139</v>
      </c>
      <c r="C318" t="s">
        <v>138</v>
      </c>
      <c r="D318" t="s">
        <v>2</v>
      </c>
      <c r="E318" t="s">
        <v>561</v>
      </c>
      <c r="F318" s="119">
        <v>6.53980475206727</v>
      </c>
      <c r="G318" s="119">
        <v>6.5686144646314402</v>
      </c>
      <c r="H318" s="119">
        <v>6.6262338897597903</v>
      </c>
      <c r="I318" s="119">
        <v>6.6838533148881396</v>
      </c>
      <c r="J318" s="119">
        <v>6.7126630274523098</v>
      </c>
    </row>
    <row r="319" spans="1:10" x14ac:dyDescent="0.3">
      <c r="A319" t="s">
        <v>9</v>
      </c>
      <c r="B319" t="s">
        <v>137</v>
      </c>
      <c r="C319" t="s">
        <v>136</v>
      </c>
      <c r="D319" t="s">
        <v>2</v>
      </c>
      <c r="E319" t="s">
        <v>547</v>
      </c>
      <c r="F319" s="119">
        <v>105.21538173899999</v>
      </c>
      <c r="G319" s="119">
        <v>111.1506702419</v>
      </c>
      <c r="H319" s="119">
        <v>117.05201228200001</v>
      </c>
      <c r="I319" s="119">
        <v>113.68373016380001</v>
      </c>
      <c r="J319" s="119">
        <v>110.57301438410001</v>
      </c>
    </row>
    <row r="320" spans="1:10" x14ac:dyDescent="0.3">
      <c r="A320" t="s">
        <v>9</v>
      </c>
      <c r="B320" t="s">
        <v>135</v>
      </c>
      <c r="C320" t="s">
        <v>134</v>
      </c>
      <c r="D320" t="s">
        <v>2</v>
      </c>
      <c r="E320" t="s">
        <v>552</v>
      </c>
      <c r="F320" s="119">
        <v>17.8688204747985</v>
      </c>
      <c r="G320" s="119">
        <v>29.2301164218159</v>
      </c>
      <c r="H320" s="119">
        <v>35.052197433068301</v>
      </c>
      <c r="I320" s="119">
        <v>24.0495350897917</v>
      </c>
      <c r="J320" s="119">
        <v>14.4065814993019</v>
      </c>
    </row>
    <row r="321" spans="1:10" x14ac:dyDescent="0.3">
      <c r="A321" t="s">
        <v>9</v>
      </c>
      <c r="B321" t="s">
        <v>133</v>
      </c>
      <c r="C321" t="s">
        <v>132</v>
      </c>
      <c r="D321" t="s">
        <v>2</v>
      </c>
      <c r="E321" t="s">
        <v>557</v>
      </c>
      <c r="F321" s="119">
        <v>179.85517342024099</v>
      </c>
      <c r="G321" s="119">
        <v>228.077464530367</v>
      </c>
      <c r="H321" s="119">
        <v>217.445819808973</v>
      </c>
      <c r="I321" s="119">
        <v>192.12775148515999</v>
      </c>
      <c r="J321" s="119">
        <v>189.71766026058799</v>
      </c>
    </row>
    <row r="322" spans="1:10" x14ac:dyDescent="0.3">
      <c r="A322" t="s">
        <v>9</v>
      </c>
      <c r="B322" t="s">
        <v>131</v>
      </c>
      <c r="C322" t="s">
        <v>130</v>
      </c>
      <c r="D322" t="s">
        <v>2</v>
      </c>
      <c r="E322" t="s">
        <v>562</v>
      </c>
      <c r="F322" s="119">
        <v>706.89841184522095</v>
      </c>
      <c r="G322" s="119">
        <v>733.445301387732</v>
      </c>
      <c r="H322" s="119">
        <v>707.87329691971297</v>
      </c>
      <c r="I322" s="119">
        <v>704.108473656108</v>
      </c>
      <c r="J322" s="119">
        <v>683.22152297101604</v>
      </c>
    </row>
    <row r="323" spans="1:10" x14ac:dyDescent="0.3">
      <c r="A323" t="s">
        <v>9</v>
      </c>
      <c r="B323" t="s">
        <v>129</v>
      </c>
      <c r="C323" t="s">
        <v>128</v>
      </c>
      <c r="D323" t="s">
        <v>3</v>
      </c>
      <c r="E323" t="s">
        <v>571</v>
      </c>
      <c r="F323" s="119">
        <v>3937058.0357331201</v>
      </c>
      <c r="G323" s="119">
        <v>3982197.2539067599</v>
      </c>
      <c r="H323" s="119">
        <v>4024153.5665547699</v>
      </c>
      <c r="I323" s="119">
        <v>4064921.87563304</v>
      </c>
      <c r="J323" s="119">
        <v>4104891.2979499502</v>
      </c>
    </row>
    <row r="324" spans="1:10" x14ac:dyDescent="0.3">
      <c r="A324" t="s">
        <v>9</v>
      </c>
      <c r="B324" t="s">
        <v>127</v>
      </c>
      <c r="C324" t="s">
        <v>126</v>
      </c>
      <c r="D324" t="s">
        <v>44</v>
      </c>
      <c r="E324" t="s">
        <v>572</v>
      </c>
      <c r="F324" s="119">
        <v>31915.879953453699</v>
      </c>
      <c r="G324" s="119">
        <v>32051.748949952402</v>
      </c>
      <c r="H324" s="119">
        <v>32182.069083696999</v>
      </c>
      <c r="I324" s="119">
        <v>32304.7813114659</v>
      </c>
      <c r="J324" s="119">
        <v>32467.154538499301</v>
      </c>
    </row>
    <row r="325" spans="1:10" x14ac:dyDescent="0.3">
      <c r="A325" t="s">
        <v>9</v>
      </c>
      <c r="B325" t="s">
        <v>125</v>
      </c>
      <c r="C325" t="s">
        <v>124</v>
      </c>
      <c r="D325" t="s">
        <v>0</v>
      </c>
      <c r="E325" t="s">
        <v>573</v>
      </c>
      <c r="F325" s="119">
        <v>90.078155658491681</v>
      </c>
      <c r="G325" s="119">
        <v>90.078155658491681</v>
      </c>
      <c r="H325" s="119">
        <v>90.078155658491681</v>
      </c>
      <c r="I325" s="119">
        <v>90.078155658491681</v>
      </c>
      <c r="J325" s="119">
        <v>90.078155658491681</v>
      </c>
    </row>
    <row r="326" spans="1:10" x14ac:dyDescent="0.3">
      <c r="A326" t="s">
        <v>9</v>
      </c>
      <c r="B326" t="s">
        <v>123</v>
      </c>
      <c r="C326" t="s">
        <v>122</v>
      </c>
      <c r="D326" t="s">
        <v>3</v>
      </c>
      <c r="E326" t="s">
        <v>574</v>
      </c>
      <c r="F326" s="119">
        <v>5.5749997249331598</v>
      </c>
      <c r="G326" s="119">
        <v>5.5749997249331598</v>
      </c>
      <c r="H326" s="119">
        <v>5.5749997249331598</v>
      </c>
      <c r="I326" s="119">
        <v>5.5749997249331598</v>
      </c>
      <c r="J326" s="119">
        <v>5.5749997249331598</v>
      </c>
    </row>
    <row r="327" spans="1:10" x14ac:dyDescent="0.3">
      <c r="A327" t="s">
        <v>9</v>
      </c>
      <c r="B327" t="s">
        <v>121</v>
      </c>
      <c r="C327" t="s">
        <v>120</v>
      </c>
      <c r="D327" t="s">
        <v>3</v>
      </c>
      <c r="E327" t="s">
        <v>575</v>
      </c>
      <c r="F327" s="119">
        <v>9.9010273400218386E-3</v>
      </c>
      <c r="G327" s="119">
        <v>9.8590563807741689E-3</v>
      </c>
      <c r="H327" s="119">
        <v>9.8191324858003404E-3</v>
      </c>
      <c r="I327" s="119">
        <v>9.7818337463204709E-3</v>
      </c>
      <c r="J327" s="119">
        <v>9.9177154443323597E-3</v>
      </c>
    </row>
    <row r="328" spans="1:10" x14ac:dyDescent="0.3">
      <c r="A328" t="s">
        <v>6</v>
      </c>
      <c r="B328" t="s">
        <v>187</v>
      </c>
      <c r="C328" t="s">
        <v>186</v>
      </c>
      <c r="D328" t="s">
        <v>2</v>
      </c>
      <c r="E328" t="s">
        <v>433</v>
      </c>
      <c r="F328" s="119">
        <v>59.204235531041803</v>
      </c>
      <c r="G328" s="119">
        <v>59.981646775479398</v>
      </c>
      <c r="H328" s="119">
        <v>61.284822379089903</v>
      </c>
      <c r="I328" s="119">
        <v>65.194762238872499</v>
      </c>
      <c r="J328" s="119">
        <v>71.577713014301494</v>
      </c>
    </row>
    <row r="329" spans="1:10" x14ac:dyDescent="0.3">
      <c r="A329" t="s">
        <v>6</v>
      </c>
      <c r="B329" t="s">
        <v>185</v>
      </c>
      <c r="C329" t="s">
        <v>184</v>
      </c>
      <c r="D329" t="s">
        <v>2</v>
      </c>
      <c r="E329" t="s">
        <v>434</v>
      </c>
      <c r="F329" s="119">
        <v>0</v>
      </c>
      <c r="G329" s="119">
        <v>0</v>
      </c>
      <c r="H329" s="119">
        <v>0</v>
      </c>
      <c r="I329" s="119">
        <v>0</v>
      </c>
      <c r="J329" s="119">
        <v>0</v>
      </c>
    </row>
    <row r="330" spans="1:10" x14ac:dyDescent="0.3">
      <c r="A330" t="s">
        <v>6</v>
      </c>
      <c r="B330" t="s">
        <v>183</v>
      </c>
      <c r="C330" t="s">
        <v>182</v>
      </c>
      <c r="D330" t="s">
        <v>2</v>
      </c>
      <c r="E330" t="s">
        <v>435</v>
      </c>
      <c r="F330" s="119">
        <v>6.6787464404474397</v>
      </c>
      <c r="G330" s="119">
        <v>7.1680834404634401</v>
      </c>
      <c r="H330" s="119">
        <v>6.7227984404574403</v>
      </c>
      <c r="I330" s="119">
        <v>6.54958544044944</v>
      </c>
      <c r="J330" s="119">
        <v>6.4860534404474404</v>
      </c>
    </row>
    <row r="331" spans="1:10" x14ac:dyDescent="0.3">
      <c r="A331" t="s">
        <v>6</v>
      </c>
      <c r="B331" t="s">
        <v>181</v>
      </c>
      <c r="C331" t="s">
        <v>180</v>
      </c>
      <c r="D331" t="s">
        <v>2</v>
      </c>
      <c r="E331" t="s">
        <v>455</v>
      </c>
      <c r="F331" s="119">
        <v>287.43984616217961</v>
      </c>
      <c r="G331" s="119">
        <v>292.8194217535974</v>
      </c>
      <c r="H331" s="119">
        <v>292.24040316808561</v>
      </c>
      <c r="I331" s="119">
        <v>283.74608679059162</v>
      </c>
      <c r="J331" s="119">
        <v>276.46733158278619</v>
      </c>
    </row>
    <row r="332" spans="1:10" x14ac:dyDescent="0.3">
      <c r="A332" t="s">
        <v>6</v>
      </c>
      <c r="B332" t="s">
        <v>179</v>
      </c>
      <c r="C332" t="s">
        <v>178</v>
      </c>
      <c r="D332" t="s">
        <v>2</v>
      </c>
      <c r="E332" t="s">
        <v>456</v>
      </c>
      <c r="F332" s="119">
        <v>0</v>
      </c>
      <c r="G332" s="119">
        <v>0</v>
      </c>
      <c r="H332" s="119">
        <v>0</v>
      </c>
      <c r="I332" s="119">
        <v>0</v>
      </c>
      <c r="J332" s="119">
        <v>0</v>
      </c>
    </row>
    <row r="333" spans="1:10" x14ac:dyDescent="0.3">
      <c r="A333" t="s">
        <v>6</v>
      </c>
      <c r="B333" t="s">
        <v>177</v>
      </c>
      <c r="C333" t="s">
        <v>176</v>
      </c>
      <c r="D333" t="s">
        <v>2</v>
      </c>
      <c r="E333" t="s">
        <v>457</v>
      </c>
      <c r="F333" s="119">
        <v>41.8561109158153</v>
      </c>
      <c r="G333" s="119">
        <v>65.002144642517194</v>
      </c>
      <c r="H333" s="119">
        <v>84.872575859107499</v>
      </c>
      <c r="I333" s="119">
        <v>62.462443791031603</v>
      </c>
      <c r="J333" s="119">
        <v>42.356841068478403</v>
      </c>
    </row>
    <row r="334" spans="1:10" x14ac:dyDescent="0.3">
      <c r="A334" t="s">
        <v>6</v>
      </c>
      <c r="B334" t="s">
        <v>175</v>
      </c>
      <c r="C334" t="s">
        <v>174</v>
      </c>
      <c r="D334" t="s">
        <v>2</v>
      </c>
      <c r="E334" t="s">
        <v>458</v>
      </c>
      <c r="F334" s="119">
        <v>31.41060788989013</v>
      </c>
      <c r="G334" s="119">
        <v>32.677356134343718</v>
      </c>
      <c r="H334" s="119">
        <v>33.535246737948242</v>
      </c>
      <c r="I334" s="119">
        <v>37.271973597722884</v>
      </c>
      <c r="J334" s="119">
        <v>43.591392373149915</v>
      </c>
    </row>
    <row r="335" spans="1:10" x14ac:dyDescent="0.3">
      <c r="A335" t="s">
        <v>6</v>
      </c>
      <c r="B335" t="s">
        <v>173</v>
      </c>
      <c r="C335" t="s">
        <v>172</v>
      </c>
      <c r="D335" t="s">
        <v>2</v>
      </c>
      <c r="E335" t="s">
        <v>459</v>
      </c>
      <c r="F335" s="119">
        <v>176.65469110703677</v>
      </c>
      <c r="G335" s="119">
        <v>190.18317251877221</v>
      </c>
      <c r="H335" s="119">
        <v>194.42980624184838</v>
      </c>
      <c r="I335" s="119">
        <v>165.32674855647744</v>
      </c>
      <c r="J335" s="119">
        <v>154.28178946463458</v>
      </c>
    </row>
    <row r="336" spans="1:10" x14ac:dyDescent="0.3">
      <c r="A336" t="s">
        <v>6</v>
      </c>
      <c r="B336" t="s">
        <v>171</v>
      </c>
      <c r="C336" t="s">
        <v>170</v>
      </c>
      <c r="D336" t="s">
        <v>2</v>
      </c>
      <c r="E336" t="s">
        <v>462</v>
      </c>
      <c r="F336" s="119">
        <v>154.18642524804878</v>
      </c>
      <c r="G336" s="119">
        <v>170.43191631792411</v>
      </c>
      <c r="H336" s="119">
        <v>186.30413206961146</v>
      </c>
      <c r="I336" s="119">
        <v>173.37531601558337</v>
      </c>
      <c r="J336" s="119">
        <v>163.83802024594524</v>
      </c>
    </row>
    <row r="337" spans="1:10" x14ac:dyDescent="0.3">
      <c r="A337" t="s">
        <v>6</v>
      </c>
      <c r="B337" t="s">
        <v>169</v>
      </c>
      <c r="C337" t="s">
        <v>168</v>
      </c>
      <c r="D337" t="s">
        <v>2</v>
      </c>
      <c r="E337" t="s">
        <v>460</v>
      </c>
      <c r="F337" s="119">
        <v>299.43050846519543</v>
      </c>
      <c r="G337" s="119">
        <v>327.9377327023526</v>
      </c>
      <c r="H337" s="119">
        <v>347.19869157351161</v>
      </c>
      <c r="I337" s="119">
        <v>301.43009097433793</v>
      </c>
      <c r="J337" s="119">
        <v>274.52841733742991</v>
      </c>
    </row>
    <row r="338" spans="1:10" x14ac:dyDescent="0.3">
      <c r="A338" t="s">
        <v>6</v>
      </c>
      <c r="B338" t="s">
        <v>167</v>
      </c>
      <c r="C338" t="s">
        <v>166</v>
      </c>
      <c r="D338" t="s">
        <v>2</v>
      </c>
      <c r="E338" t="s">
        <v>461</v>
      </c>
      <c r="F338" s="119">
        <v>330.84111635508555</v>
      </c>
      <c r="G338" s="119">
        <v>360.61508883669632</v>
      </c>
      <c r="H338" s="119">
        <v>380.73393831145984</v>
      </c>
      <c r="I338" s="119">
        <v>338.70206457206081</v>
      </c>
      <c r="J338" s="119">
        <v>318.11980971057983</v>
      </c>
    </row>
    <row r="339" spans="1:10" x14ac:dyDescent="0.3">
      <c r="A339" t="s">
        <v>6</v>
      </c>
      <c r="B339" t="s">
        <v>165</v>
      </c>
      <c r="C339" t="s">
        <v>163</v>
      </c>
      <c r="D339" t="s">
        <v>2</v>
      </c>
      <c r="E339" t="s">
        <v>432</v>
      </c>
      <c r="F339" s="119">
        <v>6.0607904010554397E-3</v>
      </c>
      <c r="G339" s="119">
        <v>6.0607904010554397E-3</v>
      </c>
      <c r="H339" s="119">
        <v>6.0607904010554397E-3</v>
      </c>
      <c r="I339" s="119">
        <v>6.0607904010554397E-3</v>
      </c>
      <c r="J339" s="119">
        <v>6.0607904010554397E-3</v>
      </c>
    </row>
    <row r="340" spans="1:10" x14ac:dyDescent="0.3">
      <c r="A340" t="s">
        <v>6</v>
      </c>
      <c r="B340" t="s">
        <v>164</v>
      </c>
      <c r="C340" t="s">
        <v>163</v>
      </c>
      <c r="D340" t="s">
        <v>2</v>
      </c>
      <c r="E340" t="s">
        <v>436</v>
      </c>
      <c r="F340" s="119">
        <v>0</v>
      </c>
      <c r="G340" s="119">
        <v>0</v>
      </c>
      <c r="H340" s="119">
        <v>0</v>
      </c>
      <c r="I340" s="119">
        <v>0</v>
      </c>
      <c r="J340" s="119">
        <v>0</v>
      </c>
    </row>
    <row r="341" spans="1:10" x14ac:dyDescent="0.3">
      <c r="A341" t="s">
        <v>6</v>
      </c>
      <c r="B341" t="s">
        <v>162</v>
      </c>
      <c r="C341" t="s">
        <v>161</v>
      </c>
      <c r="D341" t="s">
        <v>2</v>
      </c>
      <c r="E341" t="s">
        <v>437</v>
      </c>
      <c r="F341" s="119">
        <v>0</v>
      </c>
      <c r="G341" s="119">
        <v>0</v>
      </c>
      <c r="H341" s="119">
        <v>0</v>
      </c>
      <c r="I341" s="119">
        <v>0</v>
      </c>
      <c r="J341" s="119">
        <v>0</v>
      </c>
    </row>
    <row r="342" spans="1:10" x14ac:dyDescent="0.3">
      <c r="A342" t="s">
        <v>6</v>
      </c>
      <c r="B342" t="s">
        <v>160</v>
      </c>
      <c r="C342" t="s">
        <v>159</v>
      </c>
      <c r="D342" t="s">
        <v>2</v>
      </c>
      <c r="E342" t="s">
        <v>438</v>
      </c>
      <c r="F342" s="119">
        <v>1.2203237290423801</v>
      </c>
      <c r="G342" s="119">
        <v>0.90898305730631002</v>
      </c>
      <c r="H342" s="119">
        <v>5.5972341470325301E-2</v>
      </c>
      <c r="I342" s="119">
        <v>4.9258107750844202E-2</v>
      </c>
      <c r="J342" s="119">
        <v>3.1512636719345601E-2</v>
      </c>
    </row>
    <row r="343" spans="1:10" x14ac:dyDescent="0.3">
      <c r="A343" t="s">
        <v>6</v>
      </c>
      <c r="B343" t="s">
        <v>158</v>
      </c>
      <c r="C343" t="s">
        <v>156</v>
      </c>
      <c r="D343" t="s">
        <v>2</v>
      </c>
      <c r="E343" t="s">
        <v>440</v>
      </c>
      <c r="F343" s="119">
        <v>0.89575372383083696</v>
      </c>
      <c r="G343" s="119">
        <v>0.89095902520225601</v>
      </c>
      <c r="H343" s="119">
        <v>0.89800465891172199</v>
      </c>
      <c r="I343" s="119">
        <v>0.90905098862414502</v>
      </c>
      <c r="J343" s="119">
        <v>0.92102236910611801</v>
      </c>
    </row>
    <row r="344" spans="1:10" x14ac:dyDescent="0.3">
      <c r="A344" t="s">
        <v>6</v>
      </c>
      <c r="B344" t="s">
        <v>157</v>
      </c>
      <c r="C344" t="s">
        <v>156</v>
      </c>
      <c r="D344" t="s">
        <v>2</v>
      </c>
      <c r="E344" t="s">
        <v>441</v>
      </c>
      <c r="F344" s="119">
        <v>0</v>
      </c>
      <c r="G344" s="119">
        <v>0</v>
      </c>
      <c r="H344" s="119">
        <v>0</v>
      </c>
      <c r="I344" s="119">
        <v>0</v>
      </c>
      <c r="J344" s="119">
        <v>0</v>
      </c>
    </row>
    <row r="345" spans="1:10" x14ac:dyDescent="0.3">
      <c r="A345" t="s">
        <v>6</v>
      </c>
      <c r="B345" t="s">
        <v>155</v>
      </c>
      <c r="C345" t="s">
        <v>154</v>
      </c>
      <c r="D345" t="s">
        <v>2</v>
      </c>
      <c r="E345" t="s">
        <v>442</v>
      </c>
      <c r="F345" s="119">
        <v>0</v>
      </c>
      <c r="G345" s="119">
        <v>0</v>
      </c>
      <c r="H345" s="119">
        <v>0</v>
      </c>
      <c r="I345" s="119">
        <v>0</v>
      </c>
      <c r="J345" s="119">
        <v>0</v>
      </c>
    </row>
    <row r="346" spans="1:10" x14ac:dyDescent="0.3">
      <c r="A346" t="s">
        <v>6</v>
      </c>
      <c r="B346" t="s">
        <v>153</v>
      </c>
      <c r="C346" t="s">
        <v>152</v>
      </c>
      <c r="D346" t="s">
        <v>2</v>
      </c>
      <c r="E346" t="s">
        <v>443</v>
      </c>
      <c r="F346" s="119">
        <v>1.1294942508988599</v>
      </c>
      <c r="G346" s="119">
        <v>0.84132686512423305</v>
      </c>
      <c r="H346" s="119">
        <v>5.1806284181403803E-2</v>
      </c>
      <c r="I346" s="119">
        <v>4.5591795185687602E-2</v>
      </c>
      <c r="J346" s="119">
        <v>2.91671309490113E-2</v>
      </c>
    </row>
    <row r="347" spans="1:10" x14ac:dyDescent="0.3">
      <c r="A347" t="s">
        <v>6</v>
      </c>
      <c r="B347" t="s">
        <v>151</v>
      </c>
      <c r="C347" t="s">
        <v>149</v>
      </c>
      <c r="D347" t="s">
        <v>2</v>
      </c>
      <c r="E347" t="s">
        <v>445</v>
      </c>
      <c r="F347" s="119">
        <v>0.15832073058884399</v>
      </c>
      <c r="G347" s="119">
        <v>0.159706657484216</v>
      </c>
      <c r="H347" s="119">
        <v>0.16110726577568499</v>
      </c>
      <c r="I347" s="119">
        <v>0.162522488561131</v>
      </c>
      <c r="J347" s="119">
        <v>0.163949273313785</v>
      </c>
    </row>
    <row r="348" spans="1:10" x14ac:dyDescent="0.3">
      <c r="A348" t="s">
        <v>6</v>
      </c>
      <c r="B348" t="s">
        <v>150</v>
      </c>
      <c r="C348" t="s">
        <v>149</v>
      </c>
      <c r="D348" t="s">
        <v>2</v>
      </c>
      <c r="E348" t="s">
        <v>446</v>
      </c>
      <c r="F348" s="119">
        <v>0</v>
      </c>
      <c r="G348" s="119">
        <v>0</v>
      </c>
      <c r="H348" s="119">
        <v>0</v>
      </c>
      <c r="I348" s="119">
        <v>0</v>
      </c>
      <c r="J348" s="119">
        <v>0</v>
      </c>
    </row>
    <row r="349" spans="1:10" x14ac:dyDescent="0.3">
      <c r="A349" t="s">
        <v>6</v>
      </c>
      <c r="B349" t="s">
        <v>148</v>
      </c>
      <c r="C349" t="s">
        <v>147</v>
      </c>
      <c r="D349" t="s">
        <v>2</v>
      </c>
      <c r="E349" t="s">
        <v>447</v>
      </c>
      <c r="F349" s="119">
        <v>0</v>
      </c>
      <c r="G349" s="119">
        <v>0</v>
      </c>
      <c r="H349" s="119">
        <v>0</v>
      </c>
      <c r="I349" s="119">
        <v>0</v>
      </c>
      <c r="J349" s="119">
        <v>0</v>
      </c>
    </row>
    <row r="350" spans="1:10" x14ac:dyDescent="0.3">
      <c r="A350" t="s">
        <v>6</v>
      </c>
      <c r="B350" t="s">
        <v>146</v>
      </c>
      <c r="C350" t="s">
        <v>145</v>
      </c>
      <c r="D350" t="s">
        <v>2</v>
      </c>
      <c r="E350" t="s">
        <v>448</v>
      </c>
      <c r="F350" s="119">
        <v>6.96330227119629</v>
      </c>
      <c r="G350" s="119">
        <v>5.1436135788283002</v>
      </c>
      <c r="H350" s="119">
        <v>0.31539933329321201</v>
      </c>
      <c r="I350" s="119">
        <v>0.27639619949733601</v>
      </c>
      <c r="J350" s="119">
        <v>0.17682313477049899</v>
      </c>
    </row>
    <row r="351" spans="1:10" x14ac:dyDescent="0.3">
      <c r="A351" t="s">
        <v>6</v>
      </c>
      <c r="B351" t="s">
        <v>144</v>
      </c>
      <c r="C351" t="s">
        <v>142</v>
      </c>
      <c r="D351" t="s">
        <v>2</v>
      </c>
      <c r="E351" t="s">
        <v>450</v>
      </c>
      <c r="F351" s="119">
        <v>0.223541714785539</v>
      </c>
      <c r="G351" s="119">
        <v>0.223541714785539</v>
      </c>
      <c r="H351" s="119">
        <v>0.223541714785539</v>
      </c>
      <c r="I351" s="119">
        <v>0.223541714785539</v>
      </c>
      <c r="J351" s="119">
        <v>0.223541714785539</v>
      </c>
    </row>
    <row r="352" spans="1:10" x14ac:dyDescent="0.3">
      <c r="A352" t="s">
        <v>6</v>
      </c>
      <c r="B352" t="s">
        <v>143</v>
      </c>
      <c r="C352" t="s">
        <v>142</v>
      </c>
      <c r="D352" t="s">
        <v>2</v>
      </c>
      <c r="E352" t="s">
        <v>451</v>
      </c>
      <c r="F352" s="119">
        <v>0</v>
      </c>
      <c r="G352" s="119">
        <v>0</v>
      </c>
      <c r="H352" s="119">
        <v>0</v>
      </c>
      <c r="I352" s="119">
        <v>0</v>
      </c>
      <c r="J352" s="119">
        <v>0</v>
      </c>
    </row>
    <row r="353" spans="1:10" x14ac:dyDescent="0.3">
      <c r="A353" t="s">
        <v>6</v>
      </c>
      <c r="B353" t="s">
        <v>141</v>
      </c>
      <c r="C353" t="s">
        <v>140</v>
      </c>
      <c r="D353" t="s">
        <v>2</v>
      </c>
      <c r="E353" t="s">
        <v>452</v>
      </c>
      <c r="F353" s="119">
        <v>2.9222461996156701</v>
      </c>
      <c r="G353" s="119">
        <v>2.7640288171755301</v>
      </c>
      <c r="H353" s="119">
        <v>2.6025921993627898</v>
      </c>
      <c r="I353" s="119">
        <v>2.90825716464269</v>
      </c>
      <c r="J353" s="119">
        <v>3.2585973854838799</v>
      </c>
    </row>
    <row r="354" spans="1:10" x14ac:dyDescent="0.3">
      <c r="A354" t="s">
        <v>6</v>
      </c>
      <c r="B354" t="s">
        <v>139</v>
      </c>
      <c r="C354" t="s">
        <v>138</v>
      </c>
      <c r="D354" t="s">
        <v>2</v>
      </c>
      <c r="E354" t="s">
        <v>453</v>
      </c>
      <c r="F354" s="119">
        <v>6.4834834873200604</v>
      </c>
      <c r="G354" s="119">
        <v>4.8293551145840903</v>
      </c>
      <c r="H354" s="119">
        <v>0.29737662477010601</v>
      </c>
      <c r="I354" s="119">
        <v>0.26170443188041798</v>
      </c>
      <c r="J354" s="119">
        <v>0.16742414733844499</v>
      </c>
    </row>
    <row r="355" spans="1:10" x14ac:dyDescent="0.3">
      <c r="A355" t="s">
        <v>6</v>
      </c>
      <c r="B355" t="s">
        <v>137</v>
      </c>
      <c r="C355" t="s">
        <v>136</v>
      </c>
      <c r="D355" t="s">
        <v>2</v>
      </c>
      <c r="E355" t="s">
        <v>439</v>
      </c>
      <c r="F355" s="119">
        <v>67.7602885787324</v>
      </c>
      <c r="G355" s="119">
        <v>69.668933765793398</v>
      </c>
      <c r="H355" s="119">
        <v>69.090915871932594</v>
      </c>
      <c r="I355" s="119">
        <v>77.118081347002502</v>
      </c>
      <c r="J355" s="119">
        <v>93.058887447890498</v>
      </c>
    </row>
    <row r="356" spans="1:10" x14ac:dyDescent="0.3">
      <c r="A356" t="s">
        <v>6</v>
      </c>
      <c r="B356" t="s">
        <v>135</v>
      </c>
      <c r="C356" t="s">
        <v>134</v>
      </c>
      <c r="D356" t="s">
        <v>2</v>
      </c>
      <c r="E356" t="s">
        <v>444</v>
      </c>
      <c r="F356" s="119">
        <v>20.408501763440899</v>
      </c>
      <c r="G356" s="119">
        <v>19.988523665147302</v>
      </c>
      <c r="H356" s="119">
        <v>19.3087493672177</v>
      </c>
      <c r="I356" s="119">
        <v>19.289921851515</v>
      </c>
      <c r="J356" s="119">
        <v>19.323274713625199</v>
      </c>
    </row>
    <row r="357" spans="1:10" x14ac:dyDescent="0.3">
      <c r="A357" t="s">
        <v>6</v>
      </c>
      <c r="B357" t="s">
        <v>133</v>
      </c>
      <c r="C357" t="s">
        <v>132</v>
      </c>
      <c r="D357" t="s">
        <v>2</v>
      </c>
      <c r="E357" t="s">
        <v>449</v>
      </c>
      <c r="F357" s="119">
        <v>124.388353824631</v>
      </c>
      <c r="G357" s="119">
        <v>138.19508385316499</v>
      </c>
      <c r="H357" s="119">
        <v>150.44483412742201</v>
      </c>
      <c r="I357" s="119">
        <v>131.070225664183</v>
      </c>
      <c r="J357" s="119">
        <v>115.011526685227</v>
      </c>
    </row>
    <row r="358" spans="1:10" x14ac:dyDescent="0.3">
      <c r="A358" t="s">
        <v>6</v>
      </c>
      <c r="B358" t="s">
        <v>131</v>
      </c>
      <c r="C358" t="s">
        <v>130</v>
      </c>
      <c r="D358" t="s">
        <v>2</v>
      </c>
      <c r="E358" t="s">
        <v>454</v>
      </c>
      <c r="F358" s="119">
        <v>334.35701989949501</v>
      </c>
      <c r="G358" s="119">
        <v>283.17348855331898</v>
      </c>
      <c r="H358" s="119">
        <v>253.038720472395</v>
      </c>
      <c r="I358" s="119">
        <v>238.783581559163</v>
      </c>
      <c r="J358" s="119">
        <v>234.02459744942499</v>
      </c>
    </row>
    <row r="359" spans="1:10" x14ac:dyDescent="0.3">
      <c r="A359" t="s">
        <v>6</v>
      </c>
      <c r="B359" t="s">
        <v>129</v>
      </c>
      <c r="C359" t="s">
        <v>128</v>
      </c>
      <c r="D359" t="s">
        <v>3</v>
      </c>
      <c r="E359" t="s">
        <v>463</v>
      </c>
      <c r="F359" s="119">
        <v>3375882.7119435598</v>
      </c>
      <c r="G359" s="119">
        <v>3399566.0846273806</v>
      </c>
      <c r="H359" s="119">
        <v>3423795.0089276503</v>
      </c>
      <c r="I359" s="119">
        <v>3449110.4073376101</v>
      </c>
      <c r="J359" s="119">
        <v>3475502.3599735498</v>
      </c>
    </row>
    <row r="360" spans="1:10" x14ac:dyDescent="0.3">
      <c r="A360" t="s">
        <v>6</v>
      </c>
      <c r="B360" t="s">
        <v>127</v>
      </c>
      <c r="C360" t="s">
        <v>126</v>
      </c>
      <c r="D360" t="s">
        <v>44</v>
      </c>
      <c r="E360" t="s">
        <v>464</v>
      </c>
      <c r="F360" s="119">
        <v>43463.198650708</v>
      </c>
      <c r="G360" s="119">
        <v>43535.827147266005</v>
      </c>
      <c r="H360" s="119">
        <v>43633.427147266004</v>
      </c>
      <c r="I360" s="119">
        <v>43731.127147266001</v>
      </c>
      <c r="J360" s="119">
        <v>43828.827147266005</v>
      </c>
    </row>
    <row r="361" spans="1:10" x14ac:dyDescent="0.3">
      <c r="A361" t="s">
        <v>6</v>
      </c>
      <c r="B361" t="s">
        <v>125</v>
      </c>
      <c r="C361" t="s">
        <v>124</v>
      </c>
      <c r="D361" t="s">
        <v>0</v>
      </c>
      <c r="E361" t="s">
        <v>465</v>
      </c>
      <c r="F361" s="119">
        <v>98.669969478535251</v>
      </c>
      <c r="G361" s="119">
        <v>98.669969478535251</v>
      </c>
      <c r="H361" s="119">
        <v>98.669969478535265</v>
      </c>
      <c r="I361" s="119">
        <v>98.669969478535279</v>
      </c>
      <c r="J361" s="119">
        <v>98.669969478535265</v>
      </c>
    </row>
    <row r="362" spans="1:10" x14ac:dyDescent="0.3">
      <c r="A362" t="s">
        <v>6</v>
      </c>
      <c r="B362" t="s">
        <v>123</v>
      </c>
      <c r="C362" t="s">
        <v>122</v>
      </c>
      <c r="D362" t="s">
        <v>3</v>
      </c>
      <c r="E362" t="s">
        <v>466</v>
      </c>
      <c r="F362" s="119">
        <v>5.0034745958079627</v>
      </c>
      <c r="G362" s="119">
        <v>4.9757497567064419</v>
      </c>
      <c r="H362" s="119">
        <v>4.9757497567064419</v>
      </c>
      <c r="I362" s="119">
        <v>4.9757497567064437</v>
      </c>
      <c r="J362" s="119">
        <v>4.975749756706441</v>
      </c>
    </row>
    <row r="363" spans="1:10" x14ac:dyDescent="0.3">
      <c r="A363" t="s">
        <v>6</v>
      </c>
      <c r="B363" t="s">
        <v>121</v>
      </c>
      <c r="C363" t="s">
        <v>120</v>
      </c>
      <c r="D363" t="s">
        <v>3</v>
      </c>
      <c r="E363" t="s">
        <v>467</v>
      </c>
      <c r="F363" s="119">
        <v>1.2102192575084016E-2</v>
      </c>
      <c r="G363" s="119">
        <v>1.2104972720912113E-2</v>
      </c>
      <c r="H363" s="119">
        <v>1.2100814318755239E-2</v>
      </c>
      <c r="I363" s="119">
        <v>1.2096646816775958E-2</v>
      </c>
      <c r="J363" s="119">
        <v>1.2092497894574868E-2</v>
      </c>
    </row>
    <row r="364" spans="1:10" x14ac:dyDescent="0.3">
      <c r="A364" t="s">
        <v>10</v>
      </c>
      <c r="B364" t="s">
        <v>187</v>
      </c>
      <c r="C364" t="s">
        <v>186</v>
      </c>
      <c r="D364" t="s">
        <v>2</v>
      </c>
      <c r="E364" t="s">
        <v>613</v>
      </c>
      <c r="F364" s="119">
        <v>10.156848225017001</v>
      </c>
      <c r="G364" s="119">
        <v>10.308945952261899</v>
      </c>
      <c r="H364" s="119">
        <v>11.329471866757601</v>
      </c>
      <c r="I364" s="119">
        <v>10.313953205651799</v>
      </c>
      <c r="J364" s="119">
        <v>10.391398068270499</v>
      </c>
    </row>
    <row r="365" spans="1:10" x14ac:dyDescent="0.3">
      <c r="A365" t="s">
        <v>10</v>
      </c>
      <c r="B365" t="s">
        <v>185</v>
      </c>
      <c r="C365" t="s">
        <v>184</v>
      </c>
      <c r="D365" t="s">
        <v>2</v>
      </c>
      <c r="E365" t="s">
        <v>614</v>
      </c>
      <c r="F365" s="119">
        <v>0.136408024038462</v>
      </c>
      <c r="G365" s="119">
        <v>0.136408024038462</v>
      </c>
      <c r="H365" s="119">
        <v>1.0198730769230799</v>
      </c>
      <c r="I365" s="119">
        <v>0</v>
      </c>
      <c r="J365" s="119">
        <v>0</v>
      </c>
    </row>
    <row r="366" spans="1:10" x14ac:dyDescent="0.3">
      <c r="A366" t="s">
        <v>10</v>
      </c>
      <c r="B366" t="s">
        <v>183</v>
      </c>
      <c r="C366" t="s">
        <v>182</v>
      </c>
      <c r="D366" t="s">
        <v>2</v>
      </c>
      <c r="E366" t="s">
        <v>615</v>
      </c>
      <c r="F366" s="119">
        <v>2.7209801898995001</v>
      </c>
      <c r="G366" s="119">
        <v>4.1145955745148797</v>
      </c>
      <c r="H366" s="119">
        <v>2.3855095168225802</v>
      </c>
      <c r="I366" s="119">
        <v>2.10942586297642</v>
      </c>
      <c r="J366" s="119">
        <v>2.0962287475918102</v>
      </c>
    </row>
    <row r="367" spans="1:10" x14ac:dyDescent="0.3">
      <c r="A367" t="s">
        <v>10</v>
      </c>
      <c r="B367" t="s">
        <v>181</v>
      </c>
      <c r="C367" t="s">
        <v>180</v>
      </c>
      <c r="D367" t="s">
        <v>2</v>
      </c>
      <c r="E367" t="s">
        <v>635</v>
      </c>
      <c r="F367" s="119">
        <v>63.534844567199201</v>
      </c>
      <c r="G367" s="119">
        <v>64.240272637074199</v>
      </c>
      <c r="H367" s="119">
        <v>65.077746521202798</v>
      </c>
      <c r="I367" s="119">
        <v>66.139887819616007</v>
      </c>
      <c r="J367" s="119">
        <v>67.371785588700192</v>
      </c>
    </row>
    <row r="368" spans="1:10" x14ac:dyDescent="0.3">
      <c r="A368" t="s">
        <v>10</v>
      </c>
      <c r="B368" t="s">
        <v>179</v>
      </c>
      <c r="C368" t="s">
        <v>178</v>
      </c>
      <c r="D368" t="s">
        <v>2</v>
      </c>
      <c r="E368" t="s">
        <v>636</v>
      </c>
      <c r="F368" s="119">
        <v>8.9195941883875705</v>
      </c>
      <c r="G368" s="119">
        <v>8.9195941883875705</v>
      </c>
      <c r="H368" s="119">
        <v>8.9195941883875705</v>
      </c>
      <c r="I368" s="119">
        <v>8.9195941883875705</v>
      </c>
      <c r="J368" s="119">
        <v>9.0088330826183398</v>
      </c>
    </row>
    <row r="369" spans="1:10" x14ac:dyDescent="0.3">
      <c r="A369" t="s">
        <v>10</v>
      </c>
      <c r="B369" t="s">
        <v>177</v>
      </c>
      <c r="C369" t="s">
        <v>176</v>
      </c>
      <c r="D369" t="s">
        <v>2</v>
      </c>
      <c r="E369" t="s">
        <v>637</v>
      </c>
      <c r="F369" s="119">
        <v>19.92353841987109</v>
      </c>
      <c r="G369" s="119">
        <v>16.019011356409589</v>
      </c>
      <c r="H369" s="119">
        <v>33.237675477178797</v>
      </c>
      <c r="I369" s="119">
        <v>19.076476184486538</v>
      </c>
      <c r="J369" s="119">
        <v>14.389263047948059</v>
      </c>
    </row>
    <row r="370" spans="1:10" x14ac:dyDescent="0.3">
      <c r="A370" t="s">
        <v>10</v>
      </c>
      <c r="B370" t="s">
        <v>175</v>
      </c>
      <c r="C370" t="s">
        <v>174</v>
      </c>
      <c r="D370" t="s">
        <v>2</v>
      </c>
      <c r="E370" t="s">
        <v>638</v>
      </c>
      <c r="F370" s="119">
        <v>9.4817751565757806</v>
      </c>
      <c r="G370" s="119">
        <v>11.0274882684361</v>
      </c>
      <c r="H370" s="119">
        <v>11.20239317812414</v>
      </c>
      <c r="I370" s="119">
        <v>8.8909177862490694</v>
      </c>
      <c r="J370" s="119">
        <v>8.9551655334831306</v>
      </c>
    </row>
    <row r="371" spans="1:10" x14ac:dyDescent="0.3">
      <c r="A371" t="s">
        <v>10</v>
      </c>
      <c r="B371" t="s">
        <v>173</v>
      </c>
      <c r="C371" t="s">
        <v>172</v>
      </c>
      <c r="D371" t="s">
        <v>2</v>
      </c>
      <c r="E371" t="s">
        <v>639</v>
      </c>
      <c r="F371" s="119">
        <v>52.1236082589473</v>
      </c>
      <c r="G371" s="119">
        <v>50.081623786831571</v>
      </c>
      <c r="H371" s="119">
        <v>53.698080039003941</v>
      </c>
      <c r="I371" s="119">
        <v>52.214542365397037</v>
      </c>
      <c r="J371" s="119">
        <v>52.636390458129952</v>
      </c>
    </row>
    <row r="372" spans="1:10" x14ac:dyDescent="0.3">
      <c r="A372" t="s">
        <v>10</v>
      </c>
      <c r="B372" t="s">
        <v>171</v>
      </c>
      <c r="C372" t="s">
        <v>170</v>
      </c>
      <c r="D372" t="s">
        <v>2</v>
      </c>
      <c r="E372" t="s">
        <v>642</v>
      </c>
      <c r="F372" s="119">
        <v>37.99191895867942</v>
      </c>
      <c r="G372" s="119">
        <v>38.380517549068955</v>
      </c>
      <c r="H372" s="119">
        <v>52.995104211482527</v>
      </c>
      <c r="I372" s="119">
        <v>39.068108498935032</v>
      </c>
      <c r="J372" s="119">
        <v>35.344431680212807</v>
      </c>
    </row>
    <row r="373" spans="1:10" x14ac:dyDescent="0.3">
      <c r="A373" t="s">
        <v>10</v>
      </c>
      <c r="B373" t="s">
        <v>169</v>
      </c>
      <c r="C373" t="s">
        <v>168</v>
      </c>
      <c r="D373" t="s">
        <v>2</v>
      </c>
      <c r="E373" t="s">
        <v>640</v>
      </c>
      <c r="F373" s="119">
        <v>80.633752061050942</v>
      </c>
      <c r="G373" s="119">
        <v>77.434653067464424</v>
      </c>
      <c r="H373" s="119">
        <v>95.490791072362327</v>
      </c>
      <c r="I373" s="119">
        <v>82.391733078083007</v>
      </c>
      <c r="J373" s="119">
        <v>79.025656604859634</v>
      </c>
    </row>
    <row r="374" spans="1:10" x14ac:dyDescent="0.3">
      <c r="A374" t="s">
        <v>10</v>
      </c>
      <c r="B374" t="s">
        <v>167</v>
      </c>
      <c r="C374" t="s">
        <v>166</v>
      </c>
      <c r="D374" t="s">
        <v>2</v>
      </c>
      <c r="E374" t="s">
        <v>641</v>
      </c>
      <c r="F374" s="119">
        <v>90.11552721762672</v>
      </c>
      <c r="G374" s="119">
        <v>88.462141335900526</v>
      </c>
      <c r="H374" s="119">
        <v>106.69318425048647</v>
      </c>
      <c r="I374" s="119">
        <v>91.282650864332069</v>
      </c>
      <c r="J374" s="119">
        <v>87.980822138342759</v>
      </c>
    </row>
    <row r="375" spans="1:10" x14ac:dyDescent="0.3">
      <c r="A375" t="s">
        <v>10</v>
      </c>
      <c r="B375" t="s">
        <v>165</v>
      </c>
      <c r="C375" t="s">
        <v>163</v>
      </c>
      <c r="D375" t="s">
        <v>2</v>
      </c>
      <c r="E375" t="s">
        <v>612</v>
      </c>
      <c r="F375" s="119">
        <v>0.55315236690799996</v>
      </c>
      <c r="G375" s="119">
        <v>0.55315236690799996</v>
      </c>
      <c r="H375" s="119">
        <v>0.55315236690799996</v>
      </c>
      <c r="I375" s="119">
        <v>0.55315236690799996</v>
      </c>
      <c r="J375" s="119">
        <v>0.55315236690799996</v>
      </c>
    </row>
    <row r="376" spans="1:10" x14ac:dyDescent="0.3">
      <c r="A376" t="s">
        <v>10</v>
      </c>
      <c r="B376" t="s">
        <v>164</v>
      </c>
      <c r="C376" t="s">
        <v>163</v>
      </c>
      <c r="D376" t="s">
        <v>2</v>
      </c>
      <c r="E376" t="s">
        <v>616</v>
      </c>
      <c r="F376" s="119">
        <v>0</v>
      </c>
      <c r="G376" s="119">
        <v>0</v>
      </c>
      <c r="H376" s="119">
        <v>0</v>
      </c>
      <c r="I376" s="119">
        <v>0</v>
      </c>
      <c r="J376" s="119">
        <v>0</v>
      </c>
    </row>
    <row r="377" spans="1:10" x14ac:dyDescent="0.3">
      <c r="A377" t="s">
        <v>10</v>
      </c>
      <c r="B377" t="s">
        <v>162</v>
      </c>
      <c r="C377" t="s">
        <v>161</v>
      </c>
      <c r="D377" t="s">
        <v>2</v>
      </c>
      <c r="E377" t="s">
        <v>617</v>
      </c>
      <c r="F377" s="119">
        <v>0</v>
      </c>
      <c r="G377" s="119">
        <v>0</v>
      </c>
      <c r="H377" s="119">
        <v>0</v>
      </c>
      <c r="I377" s="119">
        <v>0</v>
      </c>
      <c r="J377" s="119">
        <v>0</v>
      </c>
    </row>
    <row r="378" spans="1:10" x14ac:dyDescent="0.3">
      <c r="A378" t="s">
        <v>10</v>
      </c>
      <c r="B378" t="s">
        <v>160</v>
      </c>
      <c r="C378" t="s">
        <v>159</v>
      </c>
      <c r="D378" t="s">
        <v>2</v>
      </c>
      <c r="E378" t="s">
        <v>618</v>
      </c>
      <c r="F378" s="119">
        <v>0.504</v>
      </c>
      <c r="G378" s="119">
        <v>0.50600000000000001</v>
      </c>
      <c r="H378" s="119">
        <v>0.50700000000000001</v>
      </c>
      <c r="I378" s="119">
        <v>0.50900000000000001</v>
      </c>
      <c r="J378" s="119">
        <v>0.51</v>
      </c>
    </row>
    <row r="379" spans="1:10" x14ac:dyDescent="0.3">
      <c r="A379" t="s">
        <v>10</v>
      </c>
      <c r="B379" t="s">
        <v>158</v>
      </c>
      <c r="C379" t="s">
        <v>156</v>
      </c>
      <c r="D379" t="s">
        <v>2</v>
      </c>
      <c r="E379" t="s">
        <v>620</v>
      </c>
      <c r="F379" s="119">
        <v>0</v>
      </c>
      <c r="G379" s="119">
        <v>0</v>
      </c>
      <c r="H379" s="119">
        <v>0</v>
      </c>
      <c r="I379" s="119">
        <v>0</v>
      </c>
      <c r="J379" s="119">
        <v>0</v>
      </c>
    </row>
    <row r="380" spans="1:10" x14ac:dyDescent="0.3">
      <c r="A380" t="s">
        <v>10</v>
      </c>
      <c r="B380" t="s">
        <v>157</v>
      </c>
      <c r="C380" t="s">
        <v>156</v>
      </c>
      <c r="D380" t="s">
        <v>2</v>
      </c>
      <c r="E380" t="s">
        <v>621</v>
      </c>
      <c r="F380" s="119">
        <v>0</v>
      </c>
      <c r="G380" s="119">
        <v>0</v>
      </c>
      <c r="H380" s="119">
        <v>0</v>
      </c>
      <c r="I380" s="119">
        <v>0</v>
      </c>
      <c r="J380" s="119">
        <v>0</v>
      </c>
    </row>
    <row r="381" spans="1:10" x14ac:dyDescent="0.3">
      <c r="A381" t="s">
        <v>10</v>
      </c>
      <c r="B381" t="s">
        <v>155</v>
      </c>
      <c r="C381" t="s">
        <v>154</v>
      </c>
      <c r="D381" t="s">
        <v>2</v>
      </c>
      <c r="E381" t="s">
        <v>622</v>
      </c>
      <c r="F381" s="119">
        <v>0</v>
      </c>
      <c r="G381" s="119">
        <v>0</v>
      </c>
      <c r="H381" s="119">
        <v>0</v>
      </c>
      <c r="I381" s="119">
        <v>0</v>
      </c>
      <c r="J381" s="119">
        <v>0</v>
      </c>
    </row>
    <row r="382" spans="1:10" x14ac:dyDescent="0.3">
      <c r="A382" t="s">
        <v>10</v>
      </c>
      <c r="B382" t="s">
        <v>153</v>
      </c>
      <c r="C382" t="s">
        <v>152</v>
      </c>
      <c r="D382" t="s">
        <v>2</v>
      </c>
      <c r="E382" t="s">
        <v>623</v>
      </c>
      <c r="F382" s="119">
        <v>0</v>
      </c>
      <c r="G382" s="119">
        <v>0</v>
      </c>
      <c r="H382" s="119">
        <v>0</v>
      </c>
      <c r="I382" s="119">
        <v>0</v>
      </c>
      <c r="J382" s="119">
        <v>0</v>
      </c>
    </row>
    <row r="383" spans="1:10" x14ac:dyDescent="0.3">
      <c r="A383" t="s">
        <v>10</v>
      </c>
      <c r="B383" t="s">
        <v>151</v>
      </c>
      <c r="C383" t="s">
        <v>149</v>
      </c>
      <c r="D383" t="s">
        <v>2</v>
      </c>
      <c r="E383" t="s">
        <v>625</v>
      </c>
      <c r="F383" s="119">
        <v>0</v>
      </c>
      <c r="G383" s="119">
        <v>0</v>
      </c>
      <c r="H383" s="119">
        <v>0</v>
      </c>
      <c r="I383" s="119">
        <v>0</v>
      </c>
      <c r="J383" s="119">
        <v>0</v>
      </c>
    </row>
    <row r="384" spans="1:10" x14ac:dyDescent="0.3">
      <c r="A384" t="s">
        <v>10</v>
      </c>
      <c r="B384" t="s">
        <v>150</v>
      </c>
      <c r="C384" t="s">
        <v>149</v>
      </c>
      <c r="D384" t="s">
        <v>2</v>
      </c>
      <c r="E384" t="s">
        <v>626</v>
      </c>
      <c r="F384" s="119">
        <v>0</v>
      </c>
      <c r="G384" s="119">
        <v>0</v>
      </c>
      <c r="H384" s="119">
        <v>0</v>
      </c>
      <c r="I384" s="119">
        <v>0</v>
      </c>
      <c r="J384" s="119">
        <v>0</v>
      </c>
    </row>
    <row r="385" spans="1:10" x14ac:dyDescent="0.3">
      <c r="A385" t="s">
        <v>10</v>
      </c>
      <c r="B385" t="s">
        <v>148</v>
      </c>
      <c r="C385" t="s">
        <v>147</v>
      </c>
      <c r="D385" t="s">
        <v>2</v>
      </c>
      <c r="E385" t="s">
        <v>627</v>
      </c>
      <c r="F385" s="119">
        <v>0</v>
      </c>
      <c r="G385" s="119">
        <v>0</v>
      </c>
      <c r="H385" s="119">
        <v>0</v>
      </c>
      <c r="I385" s="119">
        <v>0</v>
      </c>
      <c r="J385" s="119">
        <v>0</v>
      </c>
    </row>
    <row r="386" spans="1:10" x14ac:dyDescent="0.3">
      <c r="A386" t="s">
        <v>10</v>
      </c>
      <c r="B386" t="s">
        <v>146</v>
      </c>
      <c r="C386" t="s">
        <v>145</v>
      </c>
      <c r="D386" t="s">
        <v>2</v>
      </c>
      <c r="E386" t="s">
        <v>628</v>
      </c>
      <c r="F386" s="119">
        <v>1.2213556701030901</v>
      </c>
      <c r="G386" s="119">
        <v>1.2252525773195899</v>
      </c>
      <c r="H386" s="119">
        <v>1.2284999999999999</v>
      </c>
      <c r="I386" s="119">
        <v>1.23304639175258</v>
      </c>
      <c r="J386" s="119">
        <v>1.2359690721649499</v>
      </c>
    </row>
    <row r="387" spans="1:10" x14ac:dyDescent="0.3">
      <c r="A387" t="s">
        <v>10</v>
      </c>
      <c r="B387" t="s">
        <v>144</v>
      </c>
      <c r="C387" t="s">
        <v>142</v>
      </c>
      <c r="D387" t="s">
        <v>2</v>
      </c>
      <c r="E387" t="s">
        <v>630</v>
      </c>
      <c r="F387" s="119">
        <v>0.51005</v>
      </c>
      <c r="G387" s="119">
        <v>0.51005</v>
      </c>
      <c r="H387" s="119">
        <v>0.51005</v>
      </c>
      <c r="I387" s="119">
        <v>0.51005</v>
      </c>
      <c r="J387" s="119">
        <v>0.51005</v>
      </c>
    </row>
    <row r="388" spans="1:10" x14ac:dyDescent="0.3">
      <c r="A388" t="s">
        <v>10</v>
      </c>
      <c r="B388" t="s">
        <v>143</v>
      </c>
      <c r="C388" t="s">
        <v>142</v>
      </c>
      <c r="D388" t="s">
        <v>2</v>
      </c>
      <c r="E388" t="s">
        <v>631</v>
      </c>
      <c r="F388" s="119">
        <v>0</v>
      </c>
      <c r="G388" s="119">
        <v>0</v>
      </c>
      <c r="H388" s="119">
        <v>0</v>
      </c>
      <c r="I388" s="119">
        <v>0</v>
      </c>
      <c r="J388" s="119">
        <v>0</v>
      </c>
    </row>
    <row r="389" spans="1:10" x14ac:dyDescent="0.3">
      <c r="A389" t="s">
        <v>10</v>
      </c>
      <c r="B389" t="s">
        <v>141</v>
      </c>
      <c r="C389" t="s">
        <v>140</v>
      </c>
      <c r="D389" t="s">
        <v>2</v>
      </c>
      <c r="E389" t="s">
        <v>632</v>
      </c>
      <c r="F389" s="119">
        <v>5.4567237933899504</v>
      </c>
      <c r="G389" s="119">
        <v>5.30767063025346</v>
      </c>
      <c r="H389" s="119">
        <v>5.2252747823084498</v>
      </c>
      <c r="I389" s="119">
        <v>5.1731216051447504</v>
      </c>
      <c r="J389" s="119">
        <v>5.0891827637925298</v>
      </c>
    </row>
    <row r="390" spans="1:10" x14ac:dyDescent="0.3">
      <c r="A390" t="s">
        <v>10</v>
      </c>
      <c r="B390" t="s">
        <v>139</v>
      </c>
      <c r="C390" t="s">
        <v>138</v>
      </c>
      <c r="D390" t="s">
        <v>2</v>
      </c>
      <c r="E390" t="s">
        <v>633</v>
      </c>
      <c r="F390" s="119">
        <v>2.5396443298969098</v>
      </c>
      <c r="G390" s="119">
        <v>2.54774742268041</v>
      </c>
      <c r="H390" s="119">
        <v>2.5545</v>
      </c>
      <c r="I390" s="119">
        <v>2.5639536082474201</v>
      </c>
      <c r="J390" s="119">
        <v>2.5700309278350502</v>
      </c>
    </row>
    <row r="391" spans="1:10" x14ac:dyDescent="0.3">
      <c r="A391" t="s">
        <v>10</v>
      </c>
      <c r="B391" t="s">
        <v>137</v>
      </c>
      <c r="C391" t="s">
        <v>136</v>
      </c>
      <c r="D391" t="s">
        <v>2</v>
      </c>
      <c r="E391" t="s">
        <v>619</v>
      </c>
      <c r="F391" s="119">
        <v>25.622385301866998</v>
      </c>
      <c r="G391" s="119">
        <v>17.741628378356499</v>
      </c>
      <c r="H391" s="119">
        <v>17.376303749582998</v>
      </c>
      <c r="I391" s="119">
        <v>14.0683979538617</v>
      </c>
      <c r="J391" s="119">
        <v>13.941136739557299</v>
      </c>
    </row>
    <row r="392" spans="1:10" x14ac:dyDescent="0.3">
      <c r="A392" t="s">
        <v>10</v>
      </c>
      <c r="B392" t="s">
        <v>135</v>
      </c>
      <c r="C392" t="s">
        <v>134</v>
      </c>
      <c r="D392" t="s">
        <v>2</v>
      </c>
      <c r="E392" t="s">
        <v>624</v>
      </c>
      <c r="F392" s="119">
        <v>0</v>
      </c>
      <c r="G392" s="119">
        <v>0</v>
      </c>
      <c r="H392" s="119">
        <v>0</v>
      </c>
      <c r="I392" s="119">
        <v>0</v>
      </c>
      <c r="J392" s="119">
        <v>0</v>
      </c>
    </row>
    <row r="393" spans="1:10" x14ac:dyDescent="0.3">
      <c r="A393" t="s">
        <v>10</v>
      </c>
      <c r="B393" t="s">
        <v>133</v>
      </c>
      <c r="C393" t="s">
        <v>132</v>
      </c>
      <c r="D393" t="s">
        <v>2</v>
      </c>
      <c r="E393" t="s">
        <v>629</v>
      </c>
      <c r="F393" s="119">
        <v>47.390613387041903</v>
      </c>
      <c r="G393" s="119">
        <v>48.476999042018498</v>
      </c>
      <c r="H393" s="119">
        <v>63.520238602039697</v>
      </c>
      <c r="I393" s="119">
        <v>49.227716403889197</v>
      </c>
      <c r="J393" s="119">
        <v>44.1365168260376</v>
      </c>
    </row>
    <row r="394" spans="1:10" x14ac:dyDescent="0.3">
      <c r="A394" t="s">
        <v>10</v>
      </c>
      <c r="B394" t="s">
        <v>131</v>
      </c>
      <c r="C394" t="s">
        <v>130</v>
      </c>
      <c r="D394" t="s">
        <v>2</v>
      </c>
      <c r="E394" t="s">
        <v>634</v>
      </c>
      <c r="F394" s="119">
        <v>61.252515326877599</v>
      </c>
      <c r="G394" s="119">
        <v>59.380166639852902</v>
      </c>
      <c r="H394" s="119">
        <v>63.392954315498798</v>
      </c>
      <c r="I394" s="119">
        <v>62.048729865523903</v>
      </c>
      <c r="J394" s="119">
        <v>62.476655277844401</v>
      </c>
    </row>
    <row r="395" spans="1:10" x14ac:dyDescent="0.3">
      <c r="A395" t="s">
        <v>10</v>
      </c>
      <c r="B395" t="s">
        <v>129</v>
      </c>
      <c r="C395" t="s">
        <v>128</v>
      </c>
      <c r="D395" t="s">
        <v>3</v>
      </c>
      <c r="E395" t="s">
        <v>643</v>
      </c>
      <c r="F395" s="119">
        <v>636075</v>
      </c>
      <c r="G395" s="119">
        <v>642428</v>
      </c>
      <c r="H395" s="119">
        <v>648560.00000000012</v>
      </c>
      <c r="I395" s="119">
        <v>654467</v>
      </c>
      <c r="J395" s="119">
        <v>660203</v>
      </c>
    </row>
    <row r="396" spans="1:10" x14ac:dyDescent="0.3">
      <c r="A396" t="s">
        <v>10</v>
      </c>
      <c r="B396" t="s">
        <v>127</v>
      </c>
      <c r="C396" t="s">
        <v>126</v>
      </c>
      <c r="D396" t="s">
        <v>44</v>
      </c>
      <c r="E396" t="s">
        <v>644</v>
      </c>
      <c r="F396" s="119">
        <v>12070.016100000001</v>
      </c>
      <c r="G396" s="119">
        <v>12115.016100000001</v>
      </c>
      <c r="H396" s="119">
        <v>12160.016100000001</v>
      </c>
      <c r="I396" s="119">
        <v>12205.016100000001</v>
      </c>
      <c r="J396" s="119">
        <v>12250.016100000001</v>
      </c>
    </row>
    <row r="397" spans="1:10" x14ac:dyDescent="0.3">
      <c r="A397" t="s">
        <v>10</v>
      </c>
      <c r="B397" t="s">
        <v>125</v>
      </c>
      <c r="C397" t="s">
        <v>124</v>
      </c>
      <c r="D397" t="s">
        <v>0</v>
      </c>
      <c r="E397" t="s">
        <v>645</v>
      </c>
      <c r="F397" s="119">
        <v>48.036561483094907</v>
      </c>
      <c r="G397" s="119">
        <v>48.036561483094907</v>
      </c>
      <c r="H397" s="119">
        <v>48.036561483094907</v>
      </c>
      <c r="I397" s="119">
        <v>48.036561483094928</v>
      </c>
      <c r="J397" s="119">
        <v>48.036561483094893</v>
      </c>
    </row>
    <row r="398" spans="1:10" x14ac:dyDescent="0.3">
      <c r="A398" t="s">
        <v>10</v>
      </c>
      <c r="B398" t="s">
        <v>123</v>
      </c>
      <c r="C398" t="s">
        <v>122</v>
      </c>
      <c r="D398" t="s">
        <v>3</v>
      </c>
      <c r="E398" t="s">
        <v>646</v>
      </c>
      <c r="F398" s="119">
        <v>3.3964311263320375</v>
      </c>
      <c r="G398" s="119">
        <v>3.396431126332037</v>
      </c>
      <c r="H398" s="119">
        <v>3.3964311263320361</v>
      </c>
      <c r="I398" s="119">
        <v>3.3964311263320375</v>
      </c>
      <c r="J398" s="119">
        <v>3.3964311263320361</v>
      </c>
    </row>
    <row r="399" spans="1:10" x14ac:dyDescent="0.3">
      <c r="A399" t="s">
        <v>10</v>
      </c>
      <c r="B399" t="s">
        <v>121</v>
      </c>
      <c r="C399" t="s">
        <v>120</v>
      </c>
      <c r="D399" t="s">
        <v>3</v>
      </c>
      <c r="E399" t="s">
        <v>647</v>
      </c>
      <c r="F399" s="119">
        <v>2.427502975741681E-2</v>
      </c>
      <c r="G399" s="119">
        <v>2.4267404811785596E-2</v>
      </c>
      <c r="H399" s="119">
        <v>2.4259836300710158E-2</v>
      </c>
      <c r="I399" s="119">
        <v>2.4252323599966409E-2</v>
      </c>
      <c r="J399" s="119">
        <v>2.4244866094502521E-2</v>
      </c>
    </row>
    <row r="400" spans="1:10" x14ac:dyDescent="0.3">
      <c r="A400" t="s">
        <v>11</v>
      </c>
      <c r="B400" t="s">
        <v>187</v>
      </c>
      <c r="C400" t="s">
        <v>186</v>
      </c>
      <c r="D400" t="s">
        <v>2</v>
      </c>
      <c r="E400" t="s">
        <v>649</v>
      </c>
      <c r="F400" s="119">
        <v>27.004999999999999</v>
      </c>
      <c r="G400" s="119">
        <v>27.04</v>
      </c>
      <c r="H400" s="119">
        <v>27.302</v>
      </c>
      <c r="I400" s="119">
        <v>27.364999999999998</v>
      </c>
      <c r="J400" s="119">
        <v>28.483000000000001</v>
      </c>
    </row>
    <row r="401" spans="1:10" x14ac:dyDescent="0.3">
      <c r="A401" t="s">
        <v>11</v>
      </c>
      <c r="B401" t="s">
        <v>185</v>
      </c>
      <c r="C401" t="s">
        <v>184</v>
      </c>
      <c r="D401" t="s">
        <v>2</v>
      </c>
      <c r="E401" t="s">
        <v>650</v>
      </c>
      <c r="F401" s="119">
        <v>12.417</v>
      </c>
      <c r="G401" s="119">
        <v>9.0950000000000006</v>
      </c>
      <c r="H401" s="119">
        <v>13.079000000000001</v>
      </c>
      <c r="I401" s="119">
        <v>8.6300000000000008</v>
      </c>
      <c r="J401" s="119">
        <v>2.355</v>
      </c>
    </row>
    <row r="402" spans="1:10" x14ac:dyDescent="0.3">
      <c r="A402" t="s">
        <v>11</v>
      </c>
      <c r="B402" t="s">
        <v>183</v>
      </c>
      <c r="C402" t="s">
        <v>182</v>
      </c>
      <c r="D402" t="s">
        <v>2</v>
      </c>
      <c r="E402" t="s">
        <v>651</v>
      </c>
      <c r="F402" s="119">
        <v>3.7519999999999998</v>
      </c>
      <c r="G402" s="119">
        <v>4.1020000000000003</v>
      </c>
      <c r="H402" s="119">
        <v>5.6</v>
      </c>
      <c r="I402" s="119">
        <v>5.1440000000000001</v>
      </c>
      <c r="J402" s="119">
        <v>3.0489999999999999</v>
      </c>
    </row>
    <row r="403" spans="1:10" x14ac:dyDescent="0.3">
      <c r="A403" t="s">
        <v>11</v>
      </c>
      <c r="B403" t="s">
        <v>181</v>
      </c>
      <c r="C403" t="s">
        <v>180</v>
      </c>
      <c r="D403" t="s">
        <v>2</v>
      </c>
      <c r="E403" t="s">
        <v>671</v>
      </c>
      <c r="F403" s="119">
        <v>189.76</v>
      </c>
      <c r="G403" s="119">
        <v>186.084</v>
      </c>
      <c r="H403" s="119">
        <v>186.28800000000001</v>
      </c>
      <c r="I403" s="119">
        <v>186.608</v>
      </c>
      <c r="J403" s="119">
        <v>187.32899999999998</v>
      </c>
    </row>
    <row r="404" spans="1:10" x14ac:dyDescent="0.3">
      <c r="A404" t="s">
        <v>11</v>
      </c>
      <c r="B404" t="s">
        <v>179</v>
      </c>
      <c r="C404" t="s">
        <v>178</v>
      </c>
      <c r="D404" t="s">
        <v>2</v>
      </c>
      <c r="E404" t="s">
        <v>672</v>
      </c>
      <c r="F404" s="119">
        <v>30.219000000000001</v>
      </c>
      <c r="G404" s="119">
        <v>30.709</v>
      </c>
      <c r="H404" s="119">
        <v>32.76</v>
      </c>
      <c r="I404" s="119">
        <v>37.957000000000001</v>
      </c>
      <c r="J404" s="119">
        <v>38.137</v>
      </c>
    </row>
    <row r="405" spans="1:10" x14ac:dyDescent="0.3">
      <c r="A405" t="s">
        <v>11</v>
      </c>
      <c r="B405" t="s">
        <v>177</v>
      </c>
      <c r="C405" t="s">
        <v>176</v>
      </c>
      <c r="D405" t="s">
        <v>2</v>
      </c>
      <c r="E405" t="s">
        <v>673</v>
      </c>
      <c r="F405" s="119">
        <v>67.88</v>
      </c>
      <c r="G405" s="119">
        <v>72.206999999999994</v>
      </c>
      <c r="H405" s="119">
        <v>78.082999999999998</v>
      </c>
      <c r="I405" s="119">
        <v>69.046999999999997</v>
      </c>
      <c r="J405" s="119">
        <v>51.915999999999997</v>
      </c>
    </row>
    <row r="406" spans="1:10" x14ac:dyDescent="0.3">
      <c r="A406" t="s">
        <v>11</v>
      </c>
      <c r="B406" t="s">
        <v>175</v>
      </c>
      <c r="C406" t="s">
        <v>174</v>
      </c>
      <c r="D406" t="s">
        <v>2</v>
      </c>
      <c r="E406" t="s">
        <v>674</v>
      </c>
      <c r="F406" s="119">
        <v>29.797000000000001</v>
      </c>
      <c r="G406" s="119">
        <v>26.800999999999998</v>
      </c>
      <c r="H406" s="119">
        <v>32.536999999999999</v>
      </c>
      <c r="I406" s="119">
        <v>27.686</v>
      </c>
      <c r="J406" s="119">
        <v>20.425000000000001</v>
      </c>
    </row>
    <row r="407" spans="1:10" x14ac:dyDescent="0.3">
      <c r="A407" t="s">
        <v>11</v>
      </c>
      <c r="B407" t="s">
        <v>173</v>
      </c>
      <c r="C407" t="s">
        <v>172</v>
      </c>
      <c r="D407" t="s">
        <v>2</v>
      </c>
      <c r="E407" t="s">
        <v>675</v>
      </c>
      <c r="F407" s="119">
        <v>165.89299999999997</v>
      </c>
      <c r="G407" s="119">
        <v>161.11699999999999</v>
      </c>
      <c r="H407" s="119">
        <v>166.67399999999998</v>
      </c>
      <c r="I407" s="119">
        <v>169.49599999999998</v>
      </c>
      <c r="J407" s="119">
        <v>163.70699999999999</v>
      </c>
    </row>
    <row r="408" spans="1:10" x14ac:dyDescent="0.3">
      <c r="A408" t="s">
        <v>11</v>
      </c>
      <c r="B408" t="s">
        <v>171</v>
      </c>
      <c r="C408" t="s">
        <v>170</v>
      </c>
      <c r="D408" t="s">
        <v>2</v>
      </c>
      <c r="E408" t="s">
        <v>678</v>
      </c>
      <c r="F408" s="119">
        <v>119.34100000000001</v>
      </c>
      <c r="G408" s="119">
        <v>121.66300000000004</v>
      </c>
      <c r="H408" s="119">
        <v>127.73500000000007</v>
      </c>
      <c r="I408" s="119">
        <v>114.66500000000002</v>
      </c>
      <c r="J408" s="119">
        <v>94.782999999999959</v>
      </c>
    </row>
    <row r="409" spans="1:10" x14ac:dyDescent="0.3">
      <c r="A409" t="s">
        <v>11</v>
      </c>
      <c r="B409" t="s">
        <v>169</v>
      </c>
      <c r="C409" t="s">
        <v>168</v>
      </c>
      <c r="D409" t="s">
        <v>2</v>
      </c>
      <c r="E409" t="s">
        <v>676</v>
      </c>
      <c r="F409" s="119">
        <v>255.43699999999998</v>
      </c>
      <c r="G409" s="119">
        <v>255.97900000000004</v>
      </c>
      <c r="H409" s="119">
        <v>261.87200000000007</v>
      </c>
      <c r="I409" s="119">
        <v>256.47500000000002</v>
      </c>
      <c r="J409" s="119">
        <v>238.06499999999994</v>
      </c>
    </row>
    <row r="410" spans="1:10" x14ac:dyDescent="0.3">
      <c r="A410" t="s">
        <v>11</v>
      </c>
      <c r="B410" t="s">
        <v>167</v>
      </c>
      <c r="C410" t="s">
        <v>166</v>
      </c>
      <c r="D410" t="s">
        <v>2</v>
      </c>
      <c r="E410" t="s">
        <v>677</v>
      </c>
      <c r="F410" s="119">
        <v>285.23399999999998</v>
      </c>
      <c r="G410" s="119">
        <v>282.78000000000003</v>
      </c>
      <c r="H410" s="119">
        <v>294.40900000000005</v>
      </c>
      <c r="I410" s="119">
        <v>284.161</v>
      </c>
      <c r="J410" s="119">
        <v>258.48999999999995</v>
      </c>
    </row>
    <row r="411" spans="1:10" x14ac:dyDescent="0.3">
      <c r="A411" t="s">
        <v>11</v>
      </c>
      <c r="B411" t="s">
        <v>165</v>
      </c>
      <c r="C411" t="s">
        <v>163</v>
      </c>
      <c r="D411" t="s">
        <v>2</v>
      </c>
      <c r="E411" t="s">
        <v>648</v>
      </c>
      <c r="F411" s="119">
        <v>0</v>
      </c>
      <c r="G411" s="119">
        <v>0</v>
      </c>
      <c r="H411" s="119">
        <v>0</v>
      </c>
      <c r="I411" s="119">
        <v>0</v>
      </c>
      <c r="J411" s="119">
        <v>0</v>
      </c>
    </row>
    <row r="412" spans="1:10" x14ac:dyDescent="0.3">
      <c r="A412" t="s">
        <v>11</v>
      </c>
      <c r="B412" t="s">
        <v>164</v>
      </c>
      <c r="C412" t="s">
        <v>163</v>
      </c>
      <c r="D412" t="s">
        <v>2</v>
      </c>
      <c r="E412" t="s">
        <v>652</v>
      </c>
      <c r="F412" s="119">
        <v>0</v>
      </c>
      <c r="G412" s="119">
        <v>0</v>
      </c>
      <c r="H412" s="119">
        <v>0</v>
      </c>
      <c r="I412" s="119">
        <v>0</v>
      </c>
      <c r="J412" s="119">
        <v>0</v>
      </c>
    </row>
    <row r="413" spans="1:10" x14ac:dyDescent="0.3">
      <c r="A413" t="s">
        <v>11</v>
      </c>
      <c r="B413" t="s">
        <v>162</v>
      </c>
      <c r="C413" t="s">
        <v>161</v>
      </c>
      <c r="D413" t="s">
        <v>2</v>
      </c>
      <c r="E413" t="s">
        <v>653</v>
      </c>
      <c r="F413" s="119">
        <v>0</v>
      </c>
      <c r="G413" s="119">
        <v>0</v>
      </c>
      <c r="H413" s="119">
        <v>0</v>
      </c>
      <c r="I413" s="119">
        <v>0</v>
      </c>
      <c r="J413" s="119">
        <v>0</v>
      </c>
    </row>
    <row r="414" spans="1:10" x14ac:dyDescent="0.3">
      <c r="A414" t="s">
        <v>11</v>
      </c>
      <c r="B414" t="s">
        <v>160</v>
      </c>
      <c r="C414" t="s">
        <v>159</v>
      </c>
      <c r="D414" t="s">
        <v>2</v>
      </c>
      <c r="E414" t="s">
        <v>654</v>
      </c>
      <c r="F414" s="119">
        <v>0.33100000000000002</v>
      </c>
      <c r="G414" s="119">
        <v>0.33100000000000002</v>
      </c>
      <c r="H414" s="119">
        <v>0</v>
      </c>
      <c r="I414" s="119">
        <v>0</v>
      </c>
      <c r="J414" s="119">
        <v>0</v>
      </c>
    </row>
    <row r="415" spans="1:10" x14ac:dyDescent="0.3">
      <c r="A415" t="s">
        <v>11</v>
      </c>
      <c r="B415" t="s">
        <v>158</v>
      </c>
      <c r="C415" t="s">
        <v>156</v>
      </c>
      <c r="D415" t="s">
        <v>2</v>
      </c>
      <c r="E415" t="s">
        <v>656</v>
      </c>
      <c r="F415" s="119">
        <v>0</v>
      </c>
      <c r="G415" s="119">
        <v>0</v>
      </c>
      <c r="H415" s="119">
        <v>0</v>
      </c>
      <c r="I415" s="119">
        <v>0</v>
      </c>
      <c r="J415" s="119">
        <v>0</v>
      </c>
    </row>
    <row r="416" spans="1:10" x14ac:dyDescent="0.3">
      <c r="A416" t="s">
        <v>11</v>
      </c>
      <c r="B416" t="s">
        <v>157</v>
      </c>
      <c r="C416" t="s">
        <v>156</v>
      </c>
      <c r="D416" t="s">
        <v>2</v>
      </c>
      <c r="E416" t="s">
        <v>657</v>
      </c>
      <c r="F416" s="119">
        <v>0</v>
      </c>
      <c r="G416" s="119">
        <v>0</v>
      </c>
      <c r="H416" s="119">
        <v>0</v>
      </c>
      <c r="I416" s="119">
        <v>0</v>
      </c>
      <c r="J416" s="119">
        <v>0</v>
      </c>
    </row>
    <row r="417" spans="1:10" x14ac:dyDescent="0.3">
      <c r="A417" t="s">
        <v>11</v>
      </c>
      <c r="B417" t="s">
        <v>155</v>
      </c>
      <c r="C417" t="s">
        <v>154</v>
      </c>
      <c r="D417" t="s">
        <v>2</v>
      </c>
      <c r="E417" t="s">
        <v>658</v>
      </c>
      <c r="F417" s="119">
        <v>0</v>
      </c>
      <c r="G417" s="119">
        <v>0</v>
      </c>
      <c r="H417" s="119">
        <v>0</v>
      </c>
      <c r="I417" s="119">
        <v>0</v>
      </c>
      <c r="J417" s="119">
        <v>0</v>
      </c>
    </row>
    <row r="418" spans="1:10" x14ac:dyDescent="0.3">
      <c r="A418" t="s">
        <v>11</v>
      </c>
      <c r="B418" t="s">
        <v>153</v>
      </c>
      <c r="C418" t="s">
        <v>152</v>
      </c>
      <c r="D418" t="s">
        <v>2</v>
      </c>
      <c r="E418" t="s">
        <v>659</v>
      </c>
      <c r="F418" s="119">
        <v>0.17499999999999999</v>
      </c>
      <c r="G418" s="119">
        <v>0.17499999999999999</v>
      </c>
      <c r="H418" s="119">
        <v>0</v>
      </c>
      <c r="I418" s="119">
        <v>0</v>
      </c>
      <c r="J418" s="119">
        <v>0</v>
      </c>
    </row>
    <row r="419" spans="1:10" x14ac:dyDescent="0.3">
      <c r="A419" t="s">
        <v>11</v>
      </c>
      <c r="B419" t="s">
        <v>151</v>
      </c>
      <c r="C419" t="s">
        <v>149</v>
      </c>
      <c r="D419" t="s">
        <v>2</v>
      </c>
      <c r="E419" t="s">
        <v>661</v>
      </c>
      <c r="F419" s="119">
        <v>0</v>
      </c>
      <c r="G419" s="119">
        <v>0</v>
      </c>
      <c r="H419" s="119">
        <v>0</v>
      </c>
      <c r="I419" s="119">
        <v>0</v>
      </c>
      <c r="J419" s="119">
        <v>0</v>
      </c>
    </row>
    <row r="420" spans="1:10" x14ac:dyDescent="0.3">
      <c r="A420" t="s">
        <v>11</v>
      </c>
      <c r="B420" t="s">
        <v>150</v>
      </c>
      <c r="C420" t="s">
        <v>149</v>
      </c>
      <c r="D420" t="s">
        <v>2</v>
      </c>
      <c r="E420" t="s">
        <v>662</v>
      </c>
      <c r="F420" s="119">
        <v>0</v>
      </c>
      <c r="G420" s="119">
        <v>0</v>
      </c>
      <c r="H420" s="119">
        <v>0</v>
      </c>
      <c r="I420" s="119">
        <v>0</v>
      </c>
      <c r="J420" s="119">
        <v>0</v>
      </c>
    </row>
    <row r="421" spans="1:10" x14ac:dyDescent="0.3">
      <c r="A421" t="s">
        <v>11</v>
      </c>
      <c r="B421" t="s">
        <v>148</v>
      </c>
      <c r="C421" t="s">
        <v>147</v>
      </c>
      <c r="D421" t="s">
        <v>2</v>
      </c>
      <c r="E421" t="s">
        <v>663</v>
      </c>
      <c r="F421" s="119">
        <v>0</v>
      </c>
      <c r="G421" s="119">
        <v>0</v>
      </c>
      <c r="H421" s="119">
        <v>0</v>
      </c>
      <c r="I421" s="119">
        <v>0</v>
      </c>
      <c r="J421" s="119">
        <v>0</v>
      </c>
    </row>
    <row r="422" spans="1:10" x14ac:dyDescent="0.3">
      <c r="A422" t="s">
        <v>11</v>
      </c>
      <c r="B422" t="s">
        <v>146</v>
      </c>
      <c r="C422" t="s">
        <v>145</v>
      </c>
      <c r="D422" t="s">
        <v>2</v>
      </c>
      <c r="E422" t="s">
        <v>664</v>
      </c>
      <c r="F422" s="119">
        <v>1.4610000000000001</v>
      </c>
      <c r="G422" s="119">
        <v>1.4610000000000001</v>
      </c>
      <c r="H422" s="119">
        <v>0</v>
      </c>
      <c r="I422" s="119">
        <v>0</v>
      </c>
      <c r="J422" s="119">
        <v>0</v>
      </c>
    </row>
    <row r="423" spans="1:10" x14ac:dyDescent="0.3">
      <c r="A423" t="s">
        <v>11</v>
      </c>
      <c r="B423" t="s">
        <v>144</v>
      </c>
      <c r="C423" t="s">
        <v>142</v>
      </c>
      <c r="D423" t="s">
        <v>2</v>
      </c>
      <c r="E423" t="s">
        <v>666</v>
      </c>
      <c r="F423" s="119">
        <v>2.54</v>
      </c>
      <c r="G423" s="119">
        <v>2.54</v>
      </c>
      <c r="H423" s="119">
        <v>2.54</v>
      </c>
      <c r="I423" s="119">
        <v>2.54</v>
      </c>
      <c r="J423" s="119">
        <v>2.54</v>
      </c>
    </row>
    <row r="424" spans="1:10" x14ac:dyDescent="0.3">
      <c r="A424" t="s">
        <v>11</v>
      </c>
      <c r="B424" t="s">
        <v>143</v>
      </c>
      <c r="C424" t="s">
        <v>142</v>
      </c>
      <c r="D424" t="s">
        <v>2</v>
      </c>
      <c r="E424" t="s">
        <v>667</v>
      </c>
      <c r="F424" s="119">
        <v>0</v>
      </c>
      <c r="G424" s="119">
        <v>0</v>
      </c>
      <c r="H424" s="119">
        <v>0</v>
      </c>
      <c r="I424" s="119">
        <v>0</v>
      </c>
      <c r="J424" s="119">
        <v>0</v>
      </c>
    </row>
    <row r="425" spans="1:10" x14ac:dyDescent="0.3">
      <c r="A425" t="s">
        <v>11</v>
      </c>
      <c r="B425" t="s">
        <v>141</v>
      </c>
      <c r="C425" t="s">
        <v>140</v>
      </c>
      <c r="D425" t="s">
        <v>2</v>
      </c>
      <c r="E425" t="s">
        <v>668</v>
      </c>
      <c r="F425" s="119">
        <v>11.278</v>
      </c>
      <c r="G425" s="119">
        <v>11.359</v>
      </c>
      <c r="H425" s="119">
        <v>11.459</v>
      </c>
      <c r="I425" s="119">
        <v>11.561</v>
      </c>
      <c r="J425" s="119">
        <v>11.664999999999999</v>
      </c>
    </row>
    <row r="426" spans="1:10" x14ac:dyDescent="0.3">
      <c r="A426" t="s">
        <v>11</v>
      </c>
      <c r="B426" t="s">
        <v>139</v>
      </c>
      <c r="C426" t="s">
        <v>138</v>
      </c>
      <c r="D426" t="s">
        <v>2</v>
      </c>
      <c r="E426" t="s">
        <v>669</v>
      </c>
      <c r="F426" s="119">
        <v>3.5710000000000002</v>
      </c>
      <c r="G426" s="119">
        <v>3.5710000000000002</v>
      </c>
      <c r="H426" s="119">
        <v>0</v>
      </c>
      <c r="I426" s="119">
        <v>0</v>
      </c>
      <c r="J426" s="119">
        <v>0</v>
      </c>
    </row>
    <row r="427" spans="1:10" x14ac:dyDescent="0.3">
      <c r="A427" t="s">
        <v>11</v>
      </c>
      <c r="B427" t="s">
        <v>137</v>
      </c>
      <c r="C427" t="s">
        <v>136</v>
      </c>
      <c r="D427" t="s">
        <v>2</v>
      </c>
      <c r="E427" t="s">
        <v>655</v>
      </c>
      <c r="F427" s="119">
        <v>50.462000000000003</v>
      </c>
      <c r="G427" s="119">
        <v>44.52</v>
      </c>
      <c r="H427" s="119">
        <v>56.372</v>
      </c>
      <c r="I427" s="119">
        <v>49.338000000000001</v>
      </c>
      <c r="J427" s="119">
        <v>36.631</v>
      </c>
    </row>
    <row r="428" spans="1:10" x14ac:dyDescent="0.3">
      <c r="A428" t="s">
        <v>11</v>
      </c>
      <c r="B428" t="s">
        <v>135</v>
      </c>
      <c r="C428" t="s">
        <v>134</v>
      </c>
      <c r="D428" t="s">
        <v>2</v>
      </c>
      <c r="E428" t="s">
        <v>660</v>
      </c>
      <c r="F428" s="119">
        <v>13.661</v>
      </c>
      <c r="G428" s="119">
        <v>16.170000000000002</v>
      </c>
      <c r="H428" s="119">
        <v>15.58</v>
      </c>
      <c r="I428" s="119">
        <v>16.48</v>
      </c>
      <c r="J428" s="119">
        <v>15.63</v>
      </c>
    </row>
    <row r="429" spans="1:10" x14ac:dyDescent="0.3">
      <c r="A429" t="s">
        <v>11</v>
      </c>
      <c r="B429" t="s">
        <v>133</v>
      </c>
      <c r="C429" t="s">
        <v>132</v>
      </c>
      <c r="D429" t="s">
        <v>2</v>
      </c>
      <c r="E429" t="s">
        <v>665</v>
      </c>
      <c r="F429" s="119">
        <v>100.32599999999999</v>
      </c>
      <c r="G429" s="119">
        <v>106.318</v>
      </c>
      <c r="H429" s="119">
        <v>100.887</v>
      </c>
      <c r="I429" s="119">
        <v>86.144999999999996</v>
      </c>
      <c r="J429" s="119">
        <v>71.953000000000003</v>
      </c>
    </row>
    <row r="430" spans="1:10" x14ac:dyDescent="0.3">
      <c r="A430" t="s">
        <v>11</v>
      </c>
      <c r="B430" t="s">
        <v>131</v>
      </c>
      <c r="C430" t="s">
        <v>130</v>
      </c>
      <c r="D430" t="s">
        <v>2</v>
      </c>
      <c r="E430" t="s">
        <v>670</v>
      </c>
      <c r="F430" s="119">
        <v>221.34800000000001</v>
      </c>
      <c r="G430" s="119">
        <v>218.05699999999999</v>
      </c>
      <c r="H430" s="119">
        <v>220.821</v>
      </c>
      <c r="I430" s="119">
        <v>224.71600000000001</v>
      </c>
      <c r="J430" s="119">
        <v>221.45</v>
      </c>
    </row>
    <row r="431" spans="1:10" x14ac:dyDescent="0.3">
      <c r="A431" t="s">
        <v>11</v>
      </c>
      <c r="B431" t="s">
        <v>129</v>
      </c>
      <c r="C431" t="s">
        <v>128</v>
      </c>
      <c r="D431" t="s">
        <v>3</v>
      </c>
      <c r="E431" t="s">
        <v>679</v>
      </c>
      <c r="F431" s="119">
        <v>2347407.7730576792</v>
      </c>
      <c r="G431" s="119">
        <v>2367792.5834623487</v>
      </c>
      <c r="H431" s="119">
        <v>2388277.9908108977</v>
      </c>
      <c r="I431" s="119">
        <v>2408727.3765470381</v>
      </c>
      <c r="J431" s="119">
        <v>2429219.4492580979</v>
      </c>
    </row>
    <row r="432" spans="1:10" x14ac:dyDescent="0.3">
      <c r="A432" t="s">
        <v>11</v>
      </c>
      <c r="B432" t="s">
        <v>127</v>
      </c>
      <c r="C432" t="s">
        <v>126</v>
      </c>
      <c r="D432" t="s">
        <v>44</v>
      </c>
      <c r="E432" t="s">
        <v>680</v>
      </c>
      <c r="F432" s="119">
        <v>32002</v>
      </c>
      <c r="G432" s="119">
        <v>32111</v>
      </c>
      <c r="H432" s="119">
        <v>32219</v>
      </c>
      <c r="I432" s="119">
        <v>32328</v>
      </c>
      <c r="J432" s="119">
        <v>32436</v>
      </c>
    </row>
    <row r="433" spans="1:10" x14ac:dyDescent="0.3">
      <c r="A433" t="s">
        <v>11</v>
      </c>
      <c r="B433" t="s">
        <v>125</v>
      </c>
      <c r="C433" t="s">
        <v>124</v>
      </c>
      <c r="D433" t="s">
        <v>0</v>
      </c>
      <c r="E433" t="s">
        <v>681</v>
      </c>
      <c r="F433" s="119">
        <v>95.892521789377369</v>
      </c>
      <c r="G433" s="119">
        <v>95.921379109028109</v>
      </c>
      <c r="H433" s="119">
        <v>95.949987300182698</v>
      </c>
      <c r="I433" s="119">
        <v>95.980028483423325</v>
      </c>
      <c r="J433" s="119">
        <v>96.01064497501946</v>
      </c>
    </row>
    <row r="434" spans="1:10" x14ac:dyDescent="0.3">
      <c r="A434" t="s">
        <v>11</v>
      </c>
      <c r="B434" t="s">
        <v>123</v>
      </c>
      <c r="C434" t="s">
        <v>122</v>
      </c>
      <c r="D434" t="s">
        <v>3</v>
      </c>
      <c r="E434" t="s">
        <v>682</v>
      </c>
      <c r="F434" s="119">
        <v>4.9457552848268893</v>
      </c>
      <c r="G434" s="119">
        <v>4.9500348669380339</v>
      </c>
      <c r="H434" s="119">
        <v>4.9763209858335582</v>
      </c>
      <c r="I434" s="119">
        <v>5.211812340608752</v>
      </c>
      <c r="J434" s="119">
        <v>5.2178202907283273</v>
      </c>
    </row>
    <row r="435" spans="1:10" x14ac:dyDescent="0.3">
      <c r="A435" t="s">
        <v>11</v>
      </c>
      <c r="B435" t="s">
        <v>121</v>
      </c>
      <c r="C435" t="s">
        <v>120</v>
      </c>
      <c r="D435" t="s">
        <v>3</v>
      </c>
      <c r="E435" t="s">
        <v>683</v>
      </c>
      <c r="F435" s="119">
        <v>1.6623961002437349E-2</v>
      </c>
      <c r="G435" s="119">
        <v>1.6567531375541091E-2</v>
      </c>
      <c r="H435" s="119">
        <v>1.6511996027188926E-2</v>
      </c>
      <c r="I435" s="119">
        <v>1.645632269240287E-2</v>
      </c>
      <c r="J435" s="119">
        <v>1.6401529165125169E-2</v>
      </c>
    </row>
    <row r="436" spans="1:10" x14ac:dyDescent="0.3">
      <c r="A436" t="s">
        <v>12</v>
      </c>
      <c r="B436" t="s">
        <v>187</v>
      </c>
      <c r="C436" t="s">
        <v>186</v>
      </c>
      <c r="D436" t="s">
        <v>2</v>
      </c>
      <c r="E436" t="s">
        <v>685</v>
      </c>
      <c r="F436" s="119">
        <v>16.129932715465301</v>
      </c>
      <c r="G436" s="119">
        <v>15.5621546109798</v>
      </c>
      <c r="H436" s="119">
        <v>15.306480236787101</v>
      </c>
      <c r="I436" s="119">
        <v>15.8116672829245</v>
      </c>
      <c r="J436" s="119">
        <v>15.6827451523571</v>
      </c>
    </row>
    <row r="437" spans="1:10" x14ac:dyDescent="0.3">
      <c r="A437" t="s">
        <v>12</v>
      </c>
      <c r="B437" t="s">
        <v>185</v>
      </c>
      <c r="C437" t="s">
        <v>184</v>
      </c>
      <c r="D437" t="s">
        <v>2</v>
      </c>
      <c r="E437" t="s">
        <v>686</v>
      </c>
      <c r="F437" s="119">
        <v>0</v>
      </c>
      <c r="G437" s="119">
        <v>0</v>
      </c>
      <c r="H437" s="119">
        <v>0</v>
      </c>
      <c r="I437" s="119">
        <v>0</v>
      </c>
      <c r="J437" s="119">
        <v>0</v>
      </c>
    </row>
    <row r="438" spans="1:10" x14ac:dyDescent="0.3">
      <c r="A438" t="s">
        <v>12</v>
      </c>
      <c r="B438" t="s">
        <v>183</v>
      </c>
      <c r="C438" t="s">
        <v>182</v>
      </c>
      <c r="D438" t="s">
        <v>2</v>
      </c>
      <c r="E438" t="s">
        <v>687</v>
      </c>
      <c r="F438" s="119">
        <v>6.2847689065204904</v>
      </c>
      <c r="G438" s="119">
        <v>5.8535904692730698</v>
      </c>
      <c r="H438" s="119">
        <v>5.3793087857393704</v>
      </c>
      <c r="I438" s="119">
        <v>4.8452177346980001</v>
      </c>
      <c r="J438" s="119">
        <v>4.7262936706104401</v>
      </c>
    </row>
    <row r="439" spans="1:10" x14ac:dyDescent="0.3">
      <c r="A439" t="s">
        <v>12</v>
      </c>
      <c r="B439" t="s">
        <v>181</v>
      </c>
      <c r="C439" t="s">
        <v>180</v>
      </c>
      <c r="D439" t="s">
        <v>2</v>
      </c>
      <c r="E439" t="s">
        <v>707</v>
      </c>
      <c r="F439" s="119">
        <v>136.56213001660984</v>
      </c>
      <c r="G439" s="119">
        <v>133.97872419077046</v>
      </c>
      <c r="H439" s="119">
        <v>131.31119520837447</v>
      </c>
      <c r="I439" s="119">
        <v>134.61383762376016</v>
      </c>
      <c r="J439" s="119">
        <v>132.74222769119581</v>
      </c>
    </row>
    <row r="440" spans="1:10" x14ac:dyDescent="0.3">
      <c r="A440" t="s">
        <v>12</v>
      </c>
      <c r="B440" t="s">
        <v>179</v>
      </c>
      <c r="C440" t="s">
        <v>178</v>
      </c>
      <c r="D440" t="s">
        <v>2</v>
      </c>
      <c r="E440" t="s">
        <v>708</v>
      </c>
      <c r="F440" s="119">
        <v>7.8252644</v>
      </c>
      <c r="G440" s="119">
        <v>9.7638909999999992</v>
      </c>
      <c r="H440" s="119">
        <v>10.283891068000001</v>
      </c>
      <c r="I440" s="119">
        <v>12.283891068000001</v>
      </c>
      <c r="J440" s="119">
        <v>12.3852244</v>
      </c>
    </row>
    <row r="441" spans="1:10" x14ac:dyDescent="0.3">
      <c r="A441" t="s">
        <v>12</v>
      </c>
      <c r="B441" t="s">
        <v>177</v>
      </c>
      <c r="C441" t="s">
        <v>176</v>
      </c>
      <c r="D441" t="s">
        <v>2</v>
      </c>
      <c r="E441" t="s">
        <v>709</v>
      </c>
      <c r="F441" s="119">
        <v>64.67141363237603</v>
      </c>
      <c r="G441" s="119">
        <v>52.001655772837381</v>
      </c>
      <c r="H441" s="119">
        <v>53.117484979518551</v>
      </c>
      <c r="I441" s="119">
        <v>35.39949762895241</v>
      </c>
      <c r="J441" s="119">
        <v>33.534220087726609</v>
      </c>
    </row>
    <row r="442" spans="1:10" x14ac:dyDescent="0.3">
      <c r="A442" t="s">
        <v>12</v>
      </c>
      <c r="B442" t="s">
        <v>175</v>
      </c>
      <c r="C442" t="s">
        <v>174</v>
      </c>
      <c r="D442" t="s">
        <v>2</v>
      </c>
      <c r="E442" t="s">
        <v>710</v>
      </c>
      <c r="F442" s="119">
        <v>16.204005520873281</v>
      </c>
      <c r="G442" s="119">
        <v>15.205048979140347</v>
      </c>
      <c r="H442" s="119">
        <v>14.4750929214139</v>
      </c>
      <c r="I442" s="119">
        <v>14.44618891651</v>
      </c>
      <c r="J442" s="119">
        <v>14.19834272185504</v>
      </c>
    </row>
    <row r="443" spans="1:10" x14ac:dyDescent="0.3">
      <c r="A443" t="s">
        <v>12</v>
      </c>
      <c r="B443" t="s">
        <v>173</v>
      </c>
      <c r="C443" t="s">
        <v>172</v>
      </c>
      <c r="D443" t="s">
        <v>2</v>
      </c>
      <c r="E443" t="s">
        <v>711</v>
      </c>
      <c r="F443" s="119">
        <v>133.25492318545443</v>
      </c>
      <c r="G443" s="119">
        <v>126.33877044554443</v>
      </c>
      <c r="H443" s="119">
        <v>135.17289486437173</v>
      </c>
      <c r="I443" s="119">
        <v>125.98864913716393</v>
      </c>
      <c r="J443" s="119">
        <v>122.14292134785082</v>
      </c>
    </row>
    <row r="444" spans="1:10" x14ac:dyDescent="0.3">
      <c r="A444" t="s">
        <v>12</v>
      </c>
      <c r="B444" t="s">
        <v>171</v>
      </c>
      <c r="C444" t="s">
        <v>170</v>
      </c>
      <c r="D444" t="s">
        <v>2</v>
      </c>
      <c r="E444" t="s">
        <v>714</v>
      </c>
      <c r="F444" s="119">
        <v>86.049574040988261</v>
      </c>
      <c r="G444" s="119">
        <v>78.809233153786877</v>
      </c>
      <c r="H444" s="119">
        <v>68.214452969518874</v>
      </c>
      <c r="I444" s="119">
        <v>64.956449756642385</v>
      </c>
      <c r="J444" s="119">
        <v>64.920777209510092</v>
      </c>
    </row>
    <row r="445" spans="1:10" x14ac:dyDescent="0.3">
      <c r="A445" t="s">
        <v>12</v>
      </c>
      <c r="B445" t="s">
        <v>169</v>
      </c>
      <c r="C445" t="s">
        <v>168</v>
      </c>
      <c r="D445" t="s">
        <v>2</v>
      </c>
      <c r="E445" t="s">
        <v>712</v>
      </c>
      <c r="F445" s="119">
        <v>203.10049170556942</v>
      </c>
      <c r="G445" s="119">
        <v>189.94295462019096</v>
      </c>
      <c r="H445" s="119">
        <v>188.9122549124767</v>
      </c>
      <c r="I445" s="119">
        <v>176.49890997729631</v>
      </c>
      <c r="J445" s="119">
        <v>172.86535583550588</v>
      </c>
    </row>
    <row r="446" spans="1:10" x14ac:dyDescent="0.3">
      <c r="A446" t="s">
        <v>12</v>
      </c>
      <c r="B446" t="s">
        <v>167</v>
      </c>
      <c r="C446" t="s">
        <v>166</v>
      </c>
      <c r="D446" t="s">
        <v>2</v>
      </c>
      <c r="E446" t="s">
        <v>713</v>
      </c>
      <c r="F446" s="119">
        <v>219.30449722644269</v>
      </c>
      <c r="G446" s="119">
        <v>205.1480035993313</v>
      </c>
      <c r="H446" s="119">
        <v>203.3873478338906</v>
      </c>
      <c r="I446" s="119">
        <v>190.94509889380632</v>
      </c>
      <c r="J446" s="119">
        <v>187.06369855736091</v>
      </c>
    </row>
    <row r="447" spans="1:10" x14ac:dyDescent="0.3">
      <c r="A447" t="s">
        <v>12</v>
      </c>
      <c r="B447" t="s">
        <v>165</v>
      </c>
      <c r="C447" t="s">
        <v>163</v>
      </c>
      <c r="D447" t="s">
        <v>2</v>
      </c>
      <c r="E447" t="s">
        <v>684</v>
      </c>
      <c r="F447" s="119">
        <v>0</v>
      </c>
      <c r="G447" s="119">
        <v>0</v>
      </c>
      <c r="H447" s="119">
        <v>0</v>
      </c>
      <c r="I447" s="119">
        <v>0</v>
      </c>
      <c r="J447" s="119">
        <v>0</v>
      </c>
    </row>
    <row r="448" spans="1:10" x14ac:dyDescent="0.3">
      <c r="A448" t="s">
        <v>12</v>
      </c>
      <c r="B448" t="s">
        <v>164</v>
      </c>
      <c r="C448" t="s">
        <v>163</v>
      </c>
      <c r="D448" t="s">
        <v>2</v>
      </c>
      <c r="E448" t="s">
        <v>688</v>
      </c>
      <c r="F448" s="119">
        <v>0</v>
      </c>
      <c r="G448" s="119">
        <v>0</v>
      </c>
      <c r="H448" s="119">
        <v>0</v>
      </c>
      <c r="I448" s="119">
        <v>0</v>
      </c>
      <c r="J448" s="119">
        <v>0</v>
      </c>
    </row>
    <row r="449" spans="1:10" x14ac:dyDescent="0.3">
      <c r="A449" t="s">
        <v>12</v>
      </c>
      <c r="B449" t="s">
        <v>162</v>
      </c>
      <c r="C449" t="s">
        <v>161</v>
      </c>
      <c r="D449" t="s">
        <v>2</v>
      </c>
      <c r="E449" t="s">
        <v>689</v>
      </c>
      <c r="F449" s="119">
        <v>0</v>
      </c>
      <c r="G449" s="119">
        <v>0</v>
      </c>
      <c r="H449" s="119">
        <v>0</v>
      </c>
      <c r="I449" s="119">
        <v>0</v>
      </c>
      <c r="J449" s="119">
        <v>0</v>
      </c>
    </row>
    <row r="450" spans="1:10" x14ac:dyDescent="0.3">
      <c r="A450" t="s">
        <v>12</v>
      </c>
      <c r="B450" t="s">
        <v>160</v>
      </c>
      <c r="C450" t="s">
        <v>159</v>
      </c>
      <c r="D450" t="s">
        <v>2</v>
      </c>
      <c r="E450" t="s">
        <v>690</v>
      </c>
      <c r="F450" s="119">
        <v>0</v>
      </c>
      <c r="G450" s="119">
        <v>0</v>
      </c>
      <c r="H450" s="119">
        <v>0</v>
      </c>
      <c r="I450" s="119">
        <v>0</v>
      </c>
      <c r="J450" s="119">
        <v>0</v>
      </c>
    </row>
    <row r="451" spans="1:10" x14ac:dyDescent="0.3">
      <c r="A451" t="s">
        <v>12</v>
      </c>
      <c r="B451" t="s">
        <v>158</v>
      </c>
      <c r="C451" t="s">
        <v>156</v>
      </c>
      <c r="D451" t="s">
        <v>2</v>
      </c>
      <c r="E451" t="s">
        <v>692</v>
      </c>
      <c r="F451" s="119">
        <v>0</v>
      </c>
      <c r="G451" s="119">
        <v>0</v>
      </c>
      <c r="H451" s="119">
        <v>0</v>
      </c>
      <c r="I451" s="119">
        <v>0</v>
      </c>
      <c r="J451" s="119">
        <v>0</v>
      </c>
    </row>
    <row r="452" spans="1:10" x14ac:dyDescent="0.3">
      <c r="A452" t="s">
        <v>12</v>
      </c>
      <c r="B452" t="s">
        <v>157</v>
      </c>
      <c r="C452" t="s">
        <v>156</v>
      </c>
      <c r="D452" t="s">
        <v>2</v>
      </c>
      <c r="E452" t="s">
        <v>693</v>
      </c>
      <c r="F452" s="119">
        <v>0</v>
      </c>
      <c r="G452" s="119">
        <v>0</v>
      </c>
      <c r="H452" s="119">
        <v>0</v>
      </c>
      <c r="I452" s="119">
        <v>0</v>
      </c>
      <c r="J452" s="119">
        <v>0</v>
      </c>
    </row>
    <row r="453" spans="1:10" x14ac:dyDescent="0.3">
      <c r="A453" t="s">
        <v>12</v>
      </c>
      <c r="B453" t="s">
        <v>155</v>
      </c>
      <c r="C453" t="s">
        <v>154</v>
      </c>
      <c r="D453" t="s">
        <v>2</v>
      </c>
      <c r="E453" t="s">
        <v>694</v>
      </c>
      <c r="F453" s="119">
        <v>0</v>
      </c>
      <c r="G453" s="119">
        <v>0</v>
      </c>
      <c r="H453" s="119">
        <v>0</v>
      </c>
      <c r="I453" s="119">
        <v>0</v>
      </c>
      <c r="J453" s="119">
        <v>0</v>
      </c>
    </row>
    <row r="454" spans="1:10" x14ac:dyDescent="0.3">
      <c r="A454" t="s">
        <v>12</v>
      </c>
      <c r="B454" t="s">
        <v>153</v>
      </c>
      <c r="C454" t="s">
        <v>152</v>
      </c>
      <c r="D454" t="s">
        <v>2</v>
      </c>
      <c r="E454" t="s">
        <v>695</v>
      </c>
      <c r="F454" s="119">
        <v>0</v>
      </c>
      <c r="G454" s="119">
        <v>0</v>
      </c>
      <c r="H454" s="119">
        <v>0</v>
      </c>
      <c r="I454" s="119">
        <v>0</v>
      </c>
      <c r="J454" s="119">
        <v>0</v>
      </c>
    </row>
    <row r="455" spans="1:10" x14ac:dyDescent="0.3">
      <c r="A455" t="s">
        <v>12</v>
      </c>
      <c r="B455" t="s">
        <v>151</v>
      </c>
      <c r="C455" t="s">
        <v>149</v>
      </c>
      <c r="D455" t="s">
        <v>2</v>
      </c>
      <c r="E455" t="s">
        <v>697</v>
      </c>
      <c r="F455" s="119">
        <v>0</v>
      </c>
      <c r="G455" s="119">
        <v>0</v>
      </c>
      <c r="H455" s="119">
        <v>0</v>
      </c>
      <c r="I455" s="119">
        <v>0</v>
      </c>
      <c r="J455" s="119">
        <v>0</v>
      </c>
    </row>
    <row r="456" spans="1:10" x14ac:dyDescent="0.3">
      <c r="A456" t="s">
        <v>12</v>
      </c>
      <c r="B456" t="s">
        <v>150</v>
      </c>
      <c r="C456" t="s">
        <v>149</v>
      </c>
      <c r="D456" t="s">
        <v>2</v>
      </c>
      <c r="E456" t="s">
        <v>698</v>
      </c>
      <c r="F456" s="119">
        <v>0</v>
      </c>
      <c r="G456" s="119">
        <v>0</v>
      </c>
      <c r="H456" s="119">
        <v>0</v>
      </c>
      <c r="I456" s="119">
        <v>0</v>
      </c>
      <c r="J456" s="119">
        <v>0</v>
      </c>
    </row>
    <row r="457" spans="1:10" x14ac:dyDescent="0.3">
      <c r="A457" t="s">
        <v>12</v>
      </c>
      <c r="B457" t="s">
        <v>148</v>
      </c>
      <c r="C457" t="s">
        <v>147</v>
      </c>
      <c r="D457" t="s">
        <v>2</v>
      </c>
      <c r="E457" t="s">
        <v>699</v>
      </c>
      <c r="F457" s="119">
        <v>0</v>
      </c>
      <c r="G457" s="119">
        <v>0</v>
      </c>
      <c r="H457" s="119">
        <v>0</v>
      </c>
      <c r="I457" s="119">
        <v>0</v>
      </c>
      <c r="J457" s="119">
        <v>0</v>
      </c>
    </row>
    <row r="458" spans="1:10" x14ac:dyDescent="0.3">
      <c r="A458" t="s">
        <v>12</v>
      </c>
      <c r="B458" t="s">
        <v>146</v>
      </c>
      <c r="C458" t="s">
        <v>145</v>
      </c>
      <c r="D458" t="s">
        <v>2</v>
      </c>
      <c r="E458" t="s">
        <v>700</v>
      </c>
      <c r="F458" s="119">
        <v>0</v>
      </c>
      <c r="G458" s="119">
        <v>0</v>
      </c>
      <c r="H458" s="119">
        <v>0</v>
      </c>
      <c r="I458" s="119">
        <v>0</v>
      </c>
      <c r="J458" s="119">
        <v>0</v>
      </c>
    </row>
    <row r="459" spans="1:10" x14ac:dyDescent="0.3">
      <c r="A459" t="s">
        <v>12</v>
      </c>
      <c r="B459" t="s">
        <v>144</v>
      </c>
      <c r="C459" t="s">
        <v>142</v>
      </c>
      <c r="D459" t="s">
        <v>2</v>
      </c>
      <c r="E459" t="s">
        <v>702</v>
      </c>
      <c r="F459" s="119">
        <v>2.1222431000648498</v>
      </c>
      <c r="G459" s="119">
        <v>2.1222431000648498</v>
      </c>
      <c r="H459" s="119">
        <v>2.1222431000648498</v>
      </c>
      <c r="I459" s="119">
        <v>2.1222431000648498</v>
      </c>
      <c r="J459" s="119">
        <v>2.1222431000648498</v>
      </c>
    </row>
    <row r="460" spans="1:10" x14ac:dyDescent="0.3">
      <c r="A460" t="s">
        <v>12</v>
      </c>
      <c r="B460" t="s">
        <v>143</v>
      </c>
      <c r="C460" t="s">
        <v>142</v>
      </c>
      <c r="D460" t="s">
        <v>2</v>
      </c>
      <c r="E460" t="s">
        <v>703</v>
      </c>
      <c r="F460" s="119">
        <v>0</v>
      </c>
      <c r="G460" s="119">
        <v>0</v>
      </c>
      <c r="H460" s="119">
        <v>0</v>
      </c>
      <c r="I460" s="119">
        <v>0</v>
      </c>
      <c r="J460" s="119">
        <v>0</v>
      </c>
    </row>
    <row r="461" spans="1:10" x14ac:dyDescent="0.3">
      <c r="A461" t="s">
        <v>12</v>
      </c>
      <c r="B461" t="s">
        <v>141</v>
      </c>
      <c r="C461" t="s">
        <v>140</v>
      </c>
      <c r="D461" t="s">
        <v>2</v>
      </c>
      <c r="E461" t="s">
        <v>704</v>
      </c>
      <c r="F461" s="119">
        <v>16.172599999999999</v>
      </c>
      <c r="G461" s="119">
        <v>16.172599999999999</v>
      </c>
      <c r="H461" s="119">
        <v>16.172599999999999</v>
      </c>
      <c r="I461" s="119">
        <v>16.172599999999999</v>
      </c>
      <c r="J461" s="119">
        <v>16.172599999999999</v>
      </c>
    </row>
    <row r="462" spans="1:10" x14ac:dyDescent="0.3">
      <c r="A462" t="s">
        <v>12</v>
      </c>
      <c r="B462" t="s">
        <v>139</v>
      </c>
      <c r="C462" t="s">
        <v>138</v>
      </c>
      <c r="D462" t="s">
        <v>2</v>
      </c>
      <c r="E462" t="s">
        <v>705</v>
      </c>
      <c r="F462" s="119">
        <v>0</v>
      </c>
      <c r="G462" s="119">
        <v>0</v>
      </c>
      <c r="H462" s="119">
        <v>0</v>
      </c>
      <c r="I462" s="119">
        <v>0</v>
      </c>
      <c r="J462" s="119">
        <v>0</v>
      </c>
    </row>
    <row r="463" spans="1:10" x14ac:dyDescent="0.3">
      <c r="A463" t="s">
        <v>12</v>
      </c>
      <c r="B463" t="s">
        <v>137</v>
      </c>
      <c r="C463" t="s">
        <v>136</v>
      </c>
      <c r="D463" t="s">
        <v>2</v>
      </c>
      <c r="E463" t="s">
        <v>691</v>
      </c>
      <c r="F463" s="119">
        <v>47.9481167658953</v>
      </c>
      <c r="G463" s="119">
        <v>55.178138068208</v>
      </c>
      <c r="H463" s="119">
        <v>51.770810415266197</v>
      </c>
      <c r="I463" s="119">
        <v>52.969885829235899</v>
      </c>
      <c r="J463" s="119">
        <v>34.2483201364699</v>
      </c>
    </row>
    <row r="464" spans="1:10" x14ac:dyDescent="0.3">
      <c r="A464" t="s">
        <v>12</v>
      </c>
      <c r="B464" t="s">
        <v>135</v>
      </c>
      <c r="C464" t="s">
        <v>134</v>
      </c>
      <c r="D464" t="s">
        <v>2</v>
      </c>
      <c r="E464" t="s">
        <v>696</v>
      </c>
      <c r="F464" s="119">
        <v>14.7623631789595</v>
      </c>
      <c r="G464" s="119">
        <v>14.2103306864249</v>
      </c>
      <c r="H464" s="119">
        <v>15.343634991657</v>
      </c>
      <c r="I464" s="119">
        <v>15.516927837112201</v>
      </c>
      <c r="J464" s="119">
        <v>15.4725055396631</v>
      </c>
    </row>
    <row r="465" spans="1:10" x14ac:dyDescent="0.3">
      <c r="A465" t="s">
        <v>12</v>
      </c>
      <c r="B465" t="s">
        <v>133</v>
      </c>
      <c r="C465" t="s">
        <v>132</v>
      </c>
      <c r="D465" t="s">
        <v>2</v>
      </c>
      <c r="E465" t="s">
        <v>701</v>
      </c>
      <c r="F465" s="119">
        <v>68.877840651659596</v>
      </c>
      <c r="G465" s="119">
        <v>69.801235896811306</v>
      </c>
      <c r="H465" s="119">
        <v>54.345365931001197</v>
      </c>
      <c r="I465" s="119">
        <v>49.832729357781297</v>
      </c>
      <c r="J465" s="119">
        <v>50.3472857933724</v>
      </c>
    </row>
    <row r="466" spans="1:10" x14ac:dyDescent="0.3">
      <c r="A466" t="s">
        <v>12</v>
      </c>
      <c r="B466" t="s">
        <v>131</v>
      </c>
      <c r="C466" t="s">
        <v>130</v>
      </c>
      <c r="D466" t="s">
        <v>2</v>
      </c>
      <c r="E466" t="s">
        <v>706</v>
      </c>
      <c r="F466" s="119">
        <v>156.021653297114</v>
      </c>
      <c r="G466" s="119">
        <v>151.50182069613899</v>
      </c>
      <c r="H466" s="119">
        <v>159.931369076919</v>
      </c>
      <c r="I466" s="119">
        <v>146.14012083259399</v>
      </c>
      <c r="J466" s="119">
        <v>141.80403821201801</v>
      </c>
    </row>
    <row r="467" spans="1:10" x14ac:dyDescent="0.3">
      <c r="A467" t="s">
        <v>12</v>
      </c>
      <c r="B467" t="s">
        <v>129</v>
      </c>
      <c r="C467" t="s">
        <v>128</v>
      </c>
      <c r="D467" t="s">
        <v>3</v>
      </c>
      <c r="E467" t="s">
        <v>715</v>
      </c>
      <c r="F467" s="119">
        <v>1546735.9999999998</v>
      </c>
      <c r="G467" s="119">
        <v>1563167.0000000002</v>
      </c>
      <c r="H467" s="119">
        <v>1579609</v>
      </c>
      <c r="I467" s="119">
        <v>1596059</v>
      </c>
      <c r="J467" s="119">
        <v>1612517</v>
      </c>
    </row>
    <row r="468" spans="1:10" x14ac:dyDescent="0.3">
      <c r="A468" t="s">
        <v>12</v>
      </c>
      <c r="B468" t="s">
        <v>127</v>
      </c>
      <c r="C468" t="s">
        <v>126</v>
      </c>
      <c r="D468" t="s">
        <v>44</v>
      </c>
      <c r="E468" t="s">
        <v>716</v>
      </c>
      <c r="F468" s="119">
        <v>17060.8</v>
      </c>
      <c r="G468" s="119">
        <v>17109.8</v>
      </c>
      <c r="H468" s="119">
        <v>17161.8</v>
      </c>
      <c r="I468" s="119">
        <v>17223.8</v>
      </c>
      <c r="J468" s="119">
        <v>17273</v>
      </c>
    </row>
    <row r="469" spans="1:10" x14ac:dyDescent="0.3">
      <c r="A469" t="s">
        <v>12</v>
      </c>
      <c r="B469" t="s">
        <v>125</v>
      </c>
      <c r="C469" t="s">
        <v>124</v>
      </c>
      <c r="D469" t="s">
        <v>0</v>
      </c>
      <c r="E469" t="s">
        <v>717</v>
      </c>
      <c r="F469" s="119">
        <v>96.183255211731236</v>
      </c>
      <c r="G469" s="119">
        <v>96.225124526443395</v>
      </c>
      <c r="H469" s="119">
        <v>95.963161817172832</v>
      </c>
      <c r="I469" s="119">
        <v>96.036000803110937</v>
      </c>
      <c r="J469" s="119">
        <v>96.129596816349391</v>
      </c>
    </row>
    <row r="470" spans="1:10" x14ac:dyDescent="0.3">
      <c r="A470" t="s">
        <v>12</v>
      </c>
      <c r="B470" t="s">
        <v>123</v>
      </c>
      <c r="C470" t="s">
        <v>122</v>
      </c>
      <c r="D470" t="s">
        <v>3</v>
      </c>
      <c r="E470" t="s">
        <v>718</v>
      </c>
      <c r="F470" s="119">
        <v>5.5084412735071018</v>
      </c>
      <c r="G470" s="119">
        <v>5.5130406726155829</v>
      </c>
      <c r="H470" s="119">
        <v>5.5343515289378633</v>
      </c>
      <c r="I470" s="119">
        <v>5.5245520683253284</v>
      </c>
      <c r="J470" s="119">
        <v>5.526034879826935</v>
      </c>
    </row>
    <row r="471" spans="1:10" x14ac:dyDescent="0.3">
      <c r="A471" t="s">
        <v>12</v>
      </c>
      <c r="B471" t="s">
        <v>121</v>
      </c>
      <c r="C471" t="s">
        <v>120</v>
      </c>
      <c r="D471" t="s">
        <v>3</v>
      </c>
      <c r="E471" t="s">
        <v>719</v>
      </c>
      <c r="F471" s="119">
        <v>1.6646347181843761E-2</v>
      </c>
      <c r="G471" s="119">
        <v>1.6774012554208701E-2</v>
      </c>
      <c r="H471" s="119">
        <v>1.6781456490577912E-2</v>
      </c>
      <c r="I471" s="119">
        <v>1.6721048781337452E-2</v>
      </c>
      <c r="J471" s="119">
        <v>1.673131476871418E-2</v>
      </c>
    </row>
    <row r="472" spans="1:10" x14ac:dyDescent="0.3">
      <c r="A472" t="s">
        <v>13</v>
      </c>
      <c r="B472" t="s">
        <v>187</v>
      </c>
      <c r="C472" t="s">
        <v>186</v>
      </c>
      <c r="D472" t="s">
        <v>2</v>
      </c>
      <c r="E472" t="s">
        <v>721</v>
      </c>
      <c r="F472" s="119">
        <v>11.695</v>
      </c>
      <c r="G472" s="119">
        <v>11.683</v>
      </c>
      <c r="H472" s="119">
        <v>11.7</v>
      </c>
      <c r="I472" s="119">
        <v>11.722</v>
      </c>
      <c r="J472" s="119">
        <v>11.772</v>
      </c>
    </row>
    <row r="473" spans="1:10" x14ac:dyDescent="0.3">
      <c r="A473" t="s">
        <v>13</v>
      </c>
      <c r="B473" t="s">
        <v>185</v>
      </c>
      <c r="C473" t="s">
        <v>184</v>
      </c>
      <c r="D473" t="s">
        <v>2</v>
      </c>
      <c r="E473" t="s">
        <v>722</v>
      </c>
      <c r="F473" s="119">
        <v>0.65900000000000003</v>
      </c>
      <c r="G473" s="119">
        <v>0.65400000000000003</v>
      </c>
      <c r="H473" s="119">
        <v>0.64900000000000002</v>
      </c>
      <c r="I473" s="119">
        <v>0.64400000000000002</v>
      </c>
      <c r="J473" s="119">
        <v>0.63800000000000001</v>
      </c>
    </row>
    <row r="474" spans="1:10" x14ac:dyDescent="0.3">
      <c r="A474" t="s">
        <v>13</v>
      </c>
      <c r="B474" t="s">
        <v>183</v>
      </c>
      <c r="C474" t="s">
        <v>182</v>
      </c>
      <c r="D474" t="s">
        <v>2</v>
      </c>
      <c r="E474" t="s">
        <v>723</v>
      </c>
      <c r="F474" s="119">
        <v>1.66</v>
      </c>
      <c r="G474" s="119">
        <v>1.4119999999999999</v>
      </c>
      <c r="H474" s="119">
        <v>4.665</v>
      </c>
      <c r="I474" s="119">
        <v>1.3260000000000001</v>
      </c>
      <c r="J474" s="119">
        <v>1.2929999999999999</v>
      </c>
    </row>
    <row r="475" spans="1:10" x14ac:dyDescent="0.3">
      <c r="A475" t="s">
        <v>13</v>
      </c>
      <c r="B475" t="s">
        <v>181</v>
      </c>
      <c r="C475" t="s">
        <v>180</v>
      </c>
      <c r="D475" t="s">
        <v>2</v>
      </c>
      <c r="E475" t="s">
        <v>743</v>
      </c>
      <c r="F475" s="119">
        <v>42.361000000000004</v>
      </c>
      <c r="G475" s="119">
        <v>42.033999999999999</v>
      </c>
      <c r="H475" s="119">
        <v>42.039000000000001</v>
      </c>
      <c r="I475" s="119">
        <v>42.06</v>
      </c>
      <c r="J475" s="119">
        <v>42.271999999999998</v>
      </c>
    </row>
    <row r="476" spans="1:10" x14ac:dyDescent="0.3">
      <c r="A476" t="s">
        <v>13</v>
      </c>
      <c r="B476" t="s">
        <v>179</v>
      </c>
      <c r="C476" t="s">
        <v>178</v>
      </c>
      <c r="D476" t="s">
        <v>2</v>
      </c>
      <c r="E476" t="s">
        <v>744</v>
      </c>
      <c r="F476" s="119">
        <v>11.935</v>
      </c>
      <c r="G476" s="119">
        <v>11.984</v>
      </c>
      <c r="H476" s="119">
        <v>11.925999999999998</v>
      </c>
      <c r="I476" s="119">
        <v>11.731999999999999</v>
      </c>
      <c r="J476" s="119">
        <v>11.193</v>
      </c>
    </row>
    <row r="477" spans="1:10" x14ac:dyDescent="0.3">
      <c r="A477" t="s">
        <v>13</v>
      </c>
      <c r="B477" t="s">
        <v>177</v>
      </c>
      <c r="C477" t="s">
        <v>176</v>
      </c>
      <c r="D477" t="s">
        <v>2</v>
      </c>
      <c r="E477" t="s">
        <v>745</v>
      </c>
      <c r="F477" s="119">
        <v>12.302</v>
      </c>
      <c r="G477" s="119">
        <v>12.545999999999999</v>
      </c>
      <c r="H477" s="119">
        <v>9.2050000000000001</v>
      </c>
      <c r="I477" s="119">
        <v>12.956</v>
      </c>
      <c r="J477" s="119">
        <v>13.881</v>
      </c>
    </row>
    <row r="478" spans="1:10" x14ac:dyDescent="0.3">
      <c r="A478" t="s">
        <v>13</v>
      </c>
      <c r="B478" t="s">
        <v>175</v>
      </c>
      <c r="C478" t="s">
        <v>174</v>
      </c>
      <c r="D478" t="s">
        <v>2</v>
      </c>
      <c r="E478" t="s">
        <v>746</v>
      </c>
      <c r="F478" s="119">
        <v>9.7440000000000015</v>
      </c>
      <c r="G478" s="119">
        <v>9.4009999999999998</v>
      </c>
      <c r="H478" s="119">
        <v>12.585000000000001</v>
      </c>
      <c r="I478" s="119">
        <v>9.1810000000000009</v>
      </c>
      <c r="J478" s="119">
        <v>9.1069999999999993</v>
      </c>
    </row>
    <row r="479" spans="1:10" x14ac:dyDescent="0.3">
      <c r="A479" t="s">
        <v>13</v>
      </c>
      <c r="B479" t="s">
        <v>173</v>
      </c>
      <c r="C479" t="s">
        <v>172</v>
      </c>
      <c r="D479" t="s">
        <v>2</v>
      </c>
      <c r="E479" t="s">
        <v>747</v>
      </c>
      <c r="F479" s="119">
        <v>48.903000000000006</v>
      </c>
      <c r="G479" s="119">
        <v>48.2</v>
      </c>
      <c r="H479" s="119">
        <v>45.822999999999993</v>
      </c>
      <c r="I479" s="119">
        <v>47.266000000000005</v>
      </c>
      <c r="J479" s="119">
        <v>48.459000000000003</v>
      </c>
    </row>
    <row r="480" spans="1:10" x14ac:dyDescent="0.3">
      <c r="A480" t="s">
        <v>13</v>
      </c>
      <c r="B480" t="s">
        <v>171</v>
      </c>
      <c r="C480" t="s">
        <v>170</v>
      </c>
      <c r="D480" t="s">
        <v>2</v>
      </c>
      <c r="E480" t="s">
        <v>750</v>
      </c>
      <c r="F480" s="119">
        <v>28.868999999999971</v>
      </c>
      <c r="G480" s="119">
        <v>28.338999999999999</v>
      </c>
      <c r="H480" s="119">
        <v>30.359000000000009</v>
      </c>
      <c r="I480" s="119">
        <v>28.906999999999968</v>
      </c>
      <c r="J480" s="119">
        <v>28.037999999999982</v>
      </c>
    </row>
    <row r="481" spans="1:10" x14ac:dyDescent="0.3">
      <c r="A481" t="s">
        <v>13</v>
      </c>
      <c r="B481" t="s">
        <v>169</v>
      </c>
      <c r="C481" t="s">
        <v>168</v>
      </c>
      <c r="D481" t="s">
        <v>2</v>
      </c>
      <c r="E481" t="s">
        <v>748</v>
      </c>
      <c r="F481" s="119">
        <v>68.027999999999977</v>
      </c>
      <c r="G481" s="119">
        <v>67.138000000000005</v>
      </c>
      <c r="H481" s="119">
        <v>63.597000000000001</v>
      </c>
      <c r="I481" s="119">
        <v>66.991999999999976</v>
      </c>
      <c r="J481" s="119">
        <v>67.389999999999986</v>
      </c>
    </row>
    <row r="482" spans="1:10" x14ac:dyDescent="0.3">
      <c r="A482" t="s">
        <v>13</v>
      </c>
      <c r="B482" t="s">
        <v>167</v>
      </c>
      <c r="C482" t="s">
        <v>166</v>
      </c>
      <c r="D482" t="s">
        <v>2</v>
      </c>
      <c r="E482" t="s">
        <v>749</v>
      </c>
      <c r="F482" s="119">
        <v>77.771999999999977</v>
      </c>
      <c r="G482" s="119">
        <v>76.539000000000001</v>
      </c>
      <c r="H482" s="119">
        <v>76.182000000000002</v>
      </c>
      <c r="I482" s="119">
        <v>76.172999999999973</v>
      </c>
      <c r="J482" s="119">
        <v>76.496999999999986</v>
      </c>
    </row>
    <row r="483" spans="1:10" x14ac:dyDescent="0.3">
      <c r="A483" t="s">
        <v>13</v>
      </c>
      <c r="B483" t="s">
        <v>165</v>
      </c>
      <c r="C483" t="s">
        <v>163</v>
      </c>
      <c r="D483" t="s">
        <v>2</v>
      </c>
      <c r="E483" t="s">
        <v>720</v>
      </c>
      <c r="F483" s="119">
        <v>0.252</v>
      </c>
      <c r="G483" s="119">
        <v>0.25600000000000001</v>
      </c>
      <c r="H483" s="119">
        <v>0.26100000000000001</v>
      </c>
      <c r="I483" s="119">
        <v>0.26600000000000001</v>
      </c>
      <c r="J483" s="119">
        <v>0.27100000000000002</v>
      </c>
    </row>
    <row r="484" spans="1:10" x14ac:dyDescent="0.3">
      <c r="A484" t="s">
        <v>13</v>
      </c>
      <c r="B484" t="s">
        <v>164</v>
      </c>
      <c r="C484" t="s">
        <v>163</v>
      </c>
      <c r="D484" t="s">
        <v>2</v>
      </c>
      <c r="E484" t="s">
        <v>724</v>
      </c>
      <c r="F484" s="119">
        <v>0</v>
      </c>
      <c r="G484" s="119">
        <v>0</v>
      </c>
      <c r="H484" s="119">
        <v>0</v>
      </c>
      <c r="I484" s="119">
        <v>0</v>
      </c>
      <c r="J484" s="119">
        <v>0</v>
      </c>
    </row>
    <row r="485" spans="1:10" x14ac:dyDescent="0.3">
      <c r="A485" t="s">
        <v>13</v>
      </c>
      <c r="B485" t="s">
        <v>162</v>
      </c>
      <c r="C485" t="s">
        <v>161</v>
      </c>
      <c r="D485" t="s">
        <v>2</v>
      </c>
      <c r="E485" t="s">
        <v>725</v>
      </c>
      <c r="F485" s="119">
        <v>0</v>
      </c>
      <c r="G485" s="119">
        <v>0</v>
      </c>
      <c r="H485" s="119">
        <v>0</v>
      </c>
      <c r="I485" s="119">
        <v>0</v>
      </c>
      <c r="J485" s="119">
        <v>0</v>
      </c>
    </row>
    <row r="486" spans="1:10" x14ac:dyDescent="0.3">
      <c r="A486" t="s">
        <v>13</v>
      </c>
      <c r="B486" t="s">
        <v>160</v>
      </c>
      <c r="C486" t="s">
        <v>159</v>
      </c>
      <c r="D486" t="s">
        <v>2</v>
      </c>
      <c r="E486" t="s">
        <v>726</v>
      </c>
      <c r="F486" s="119">
        <v>0</v>
      </c>
      <c r="G486" s="119">
        <v>0</v>
      </c>
      <c r="H486" s="119">
        <v>0</v>
      </c>
      <c r="I486" s="119">
        <v>0</v>
      </c>
      <c r="J486" s="119">
        <v>0</v>
      </c>
    </row>
    <row r="487" spans="1:10" x14ac:dyDescent="0.3">
      <c r="A487" t="s">
        <v>13</v>
      </c>
      <c r="B487" t="s">
        <v>158</v>
      </c>
      <c r="C487" t="s">
        <v>156</v>
      </c>
      <c r="D487" t="s">
        <v>2</v>
      </c>
      <c r="E487" t="s">
        <v>728</v>
      </c>
      <c r="F487" s="119">
        <v>0</v>
      </c>
      <c r="G487" s="119">
        <v>0</v>
      </c>
      <c r="H487" s="119">
        <v>0</v>
      </c>
      <c r="I487" s="119">
        <v>0</v>
      </c>
      <c r="J487" s="119">
        <v>0</v>
      </c>
    </row>
    <row r="488" spans="1:10" x14ac:dyDescent="0.3">
      <c r="A488" t="s">
        <v>13</v>
      </c>
      <c r="B488" t="s">
        <v>157</v>
      </c>
      <c r="C488" t="s">
        <v>156</v>
      </c>
      <c r="D488" t="s">
        <v>2</v>
      </c>
      <c r="E488" t="s">
        <v>729</v>
      </c>
      <c r="F488" s="119">
        <v>0</v>
      </c>
      <c r="G488" s="119">
        <v>0</v>
      </c>
      <c r="H488" s="119">
        <v>0</v>
      </c>
      <c r="I488" s="119">
        <v>0</v>
      </c>
      <c r="J488" s="119">
        <v>0</v>
      </c>
    </row>
    <row r="489" spans="1:10" x14ac:dyDescent="0.3">
      <c r="A489" t="s">
        <v>13</v>
      </c>
      <c r="B489" t="s">
        <v>155</v>
      </c>
      <c r="C489" t="s">
        <v>154</v>
      </c>
      <c r="D489" t="s">
        <v>2</v>
      </c>
      <c r="E489" t="s">
        <v>730</v>
      </c>
      <c r="F489" s="119">
        <v>0</v>
      </c>
      <c r="G489" s="119">
        <v>0</v>
      </c>
      <c r="H489" s="119">
        <v>0</v>
      </c>
      <c r="I489" s="119">
        <v>0</v>
      </c>
      <c r="J489" s="119">
        <v>0</v>
      </c>
    </row>
    <row r="490" spans="1:10" x14ac:dyDescent="0.3">
      <c r="A490" t="s">
        <v>13</v>
      </c>
      <c r="B490" t="s">
        <v>153</v>
      </c>
      <c r="C490" t="s">
        <v>152</v>
      </c>
      <c r="D490" t="s">
        <v>2</v>
      </c>
      <c r="E490" t="s">
        <v>731</v>
      </c>
      <c r="F490" s="119">
        <v>0</v>
      </c>
      <c r="G490" s="119">
        <v>0</v>
      </c>
      <c r="H490" s="119">
        <v>0</v>
      </c>
      <c r="I490" s="119">
        <v>0</v>
      </c>
      <c r="J490" s="119">
        <v>0</v>
      </c>
    </row>
    <row r="491" spans="1:10" x14ac:dyDescent="0.3">
      <c r="A491" t="s">
        <v>13</v>
      </c>
      <c r="B491" t="s">
        <v>151</v>
      </c>
      <c r="C491" t="s">
        <v>149</v>
      </c>
      <c r="D491" t="s">
        <v>2</v>
      </c>
      <c r="E491" t="s">
        <v>733</v>
      </c>
      <c r="F491" s="119">
        <v>0.315</v>
      </c>
      <c r="G491" s="119">
        <v>0.32100000000000001</v>
      </c>
      <c r="H491" s="119">
        <v>0.32700000000000001</v>
      </c>
      <c r="I491" s="119">
        <v>0.33200000000000002</v>
      </c>
      <c r="J491" s="119">
        <v>0.33900000000000002</v>
      </c>
    </row>
    <row r="492" spans="1:10" x14ac:dyDescent="0.3">
      <c r="A492" t="s">
        <v>13</v>
      </c>
      <c r="B492" t="s">
        <v>150</v>
      </c>
      <c r="C492" t="s">
        <v>149</v>
      </c>
      <c r="D492" t="s">
        <v>2</v>
      </c>
      <c r="E492" t="s">
        <v>734</v>
      </c>
      <c r="F492" s="119">
        <v>0</v>
      </c>
      <c r="G492" s="119">
        <v>0</v>
      </c>
      <c r="H492" s="119">
        <v>0</v>
      </c>
      <c r="I492" s="119">
        <v>0</v>
      </c>
      <c r="J492" s="119">
        <v>0</v>
      </c>
    </row>
    <row r="493" spans="1:10" x14ac:dyDescent="0.3">
      <c r="A493" t="s">
        <v>13</v>
      </c>
      <c r="B493" t="s">
        <v>148</v>
      </c>
      <c r="C493" t="s">
        <v>147</v>
      </c>
      <c r="D493" t="s">
        <v>2</v>
      </c>
      <c r="E493" t="s">
        <v>735</v>
      </c>
      <c r="F493" s="119">
        <v>0</v>
      </c>
      <c r="G493" s="119">
        <v>0</v>
      </c>
      <c r="H493" s="119">
        <v>0</v>
      </c>
      <c r="I493" s="119">
        <v>0</v>
      </c>
      <c r="J493" s="119">
        <v>0</v>
      </c>
    </row>
    <row r="494" spans="1:10" x14ac:dyDescent="0.3">
      <c r="A494" t="s">
        <v>13</v>
      </c>
      <c r="B494" t="s">
        <v>146</v>
      </c>
      <c r="C494" t="s">
        <v>145</v>
      </c>
      <c r="D494" t="s">
        <v>2</v>
      </c>
      <c r="E494" t="s">
        <v>736</v>
      </c>
      <c r="F494" s="119">
        <v>0</v>
      </c>
      <c r="G494" s="119">
        <v>0</v>
      </c>
      <c r="H494" s="119">
        <v>0</v>
      </c>
      <c r="I494" s="119">
        <v>0</v>
      </c>
      <c r="J494" s="119">
        <v>0</v>
      </c>
    </row>
    <row r="495" spans="1:10" x14ac:dyDescent="0.3">
      <c r="A495" t="s">
        <v>13</v>
      </c>
      <c r="B495" t="s">
        <v>144</v>
      </c>
      <c r="C495" t="s">
        <v>142</v>
      </c>
      <c r="D495" t="s">
        <v>2</v>
      </c>
      <c r="E495" t="s">
        <v>738</v>
      </c>
      <c r="F495" s="119">
        <v>0.78300000000000003</v>
      </c>
      <c r="G495" s="119">
        <v>0.79700000000000004</v>
      </c>
      <c r="H495" s="119">
        <v>0.81100000000000005</v>
      </c>
      <c r="I495" s="119">
        <v>0.82599999999999996</v>
      </c>
      <c r="J495" s="119">
        <v>0.84099999999999997</v>
      </c>
    </row>
    <row r="496" spans="1:10" x14ac:dyDescent="0.3">
      <c r="A496" t="s">
        <v>13</v>
      </c>
      <c r="B496" t="s">
        <v>143</v>
      </c>
      <c r="C496" t="s">
        <v>142</v>
      </c>
      <c r="D496" t="s">
        <v>2</v>
      </c>
      <c r="E496" t="s">
        <v>739</v>
      </c>
      <c r="F496" s="119">
        <v>0</v>
      </c>
      <c r="G496" s="119">
        <v>0</v>
      </c>
      <c r="H496" s="119">
        <v>0</v>
      </c>
      <c r="I496" s="119">
        <v>0</v>
      </c>
      <c r="J496" s="119">
        <v>0</v>
      </c>
    </row>
    <row r="497" spans="1:10" x14ac:dyDescent="0.3">
      <c r="A497" t="s">
        <v>13</v>
      </c>
      <c r="B497" t="s">
        <v>141</v>
      </c>
      <c r="C497" t="s">
        <v>140</v>
      </c>
      <c r="D497" t="s">
        <v>2</v>
      </c>
      <c r="E497" t="s">
        <v>740</v>
      </c>
      <c r="F497" s="119">
        <v>2.7730000000000001</v>
      </c>
      <c r="G497" s="119">
        <v>2.6850000000000001</v>
      </c>
      <c r="H497" s="119">
        <v>2.7519999999999998</v>
      </c>
      <c r="I497" s="119">
        <v>2.8130000000000002</v>
      </c>
      <c r="J497" s="119">
        <v>2.88</v>
      </c>
    </row>
    <row r="498" spans="1:10" x14ac:dyDescent="0.3">
      <c r="A498" t="s">
        <v>13</v>
      </c>
      <c r="B498" t="s">
        <v>139</v>
      </c>
      <c r="C498" t="s">
        <v>138</v>
      </c>
      <c r="D498" t="s">
        <v>2</v>
      </c>
      <c r="E498" t="s">
        <v>741</v>
      </c>
      <c r="F498" s="119">
        <v>0</v>
      </c>
      <c r="G498" s="119">
        <v>0</v>
      </c>
      <c r="H498" s="119">
        <v>0</v>
      </c>
      <c r="I498" s="119">
        <v>0</v>
      </c>
      <c r="J498" s="119">
        <v>0</v>
      </c>
    </row>
    <row r="499" spans="1:10" x14ac:dyDescent="0.3">
      <c r="A499" t="s">
        <v>13</v>
      </c>
      <c r="B499" t="s">
        <v>137</v>
      </c>
      <c r="C499" t="s">
        <v>136</v>
      </c>
      <c r="D499" t="s">
        <v>2</v>
      </c>
      <c r="E499" t="s">
        <v>727</v>
      </c>
      <c r="F499" s="119">
        <v>15.444000000000001</v>
      </c>
      <c r="G499" s="119">
        <v>15.179</v>
      </c>
      <c r="H499" s="119">
        <v>18.443999999999999</v>
      </c>
      <c r="I499" s="119">
        <v>15.122</v>
      </c>
      <c r="J499" s="119">
        <v>15.132999999999999</v>
      </c>
    </row>
    <row r="500" spans="1:10" x14ac:dyDescent="0.3">
      <c r="A500" t="s">
        <v>13</v>
      </c>
      <c r="B500" t="s">
        <v>135</v>
      </c>
      <c r="C500" t="s">
        <v>134</v>
      </c>
      <c r="D500" t="s">
        <v>2</v>
      </c>
      <c r="E500" t="s">
        <v>732</v>
      </c>
      <c r="F500" s="119">
        <v>1.27</v>
      </c>
      <c r="G500" s="119">
        <v>1.1739999999999999</v>
      </c>
      <c r="H500" s="119">
        <v>1.129</v>
      </c>
      <c r="I500" s="119">
        <v>1.1399999999999999</v>
      </c>
      <c r="J500" s="119">
        <v>1.1319999999999999</v>
      </c>
    </row>
    <row r="501" spans="1:10" x14ac:dyDescent="0.3">
      <c r="A501" t="s">
        <v>13</v>
      </c>
      <c r="B501" t="s">
        <v>133</v>
      </c>
      <c r="C501" t="s">
        <v>132</v>
      </c>
      <c r="D501" t="s">
        <v>2</v>
      </c>
      <c r="E501" t="s">
        <v>737</v>
      </c>
      <c r="F501" s="119">
        <v>18.812999999999999</v>
      </c>
      <c r="G501" s="119">
        <v>18.739999999999998</v>
      </c>
      <c r="H501" s="119">
        <v>18.097000000000001</v>
      </c>
      <c r="I501" s="119">
        <v>19.593</v>
      </c>
      <c r="J501" s="119">
        <v>18.827000000000002</v>
      </c>
    </row>
    <row r="502" spans="1:10" x14ac:dyDescent="0.3">
      <c r="A502" t="s">
        <v>13</v>
      </c>
      <c r="B502" t="s">
        <v>131</v>
      </c>
      <c r="C502" t="s">
        <v>130</v>
      </c>
      <c r="D502" t="s">
        <v>2</v>
      </c>
      <c r="E502" t="s">
        <v>742</v>
      </c>
      <c r="F502" s="119">
        <v>55.860999999999997</v>
      </c>
      <c r="G502" s="119">
        <v>54.177</v>
      </c>
      <c r="H502" s="119">
        <v>51.804000000000002</v>
      </c>
      <c r="I502" s="119">
        <v>53.259</v>
      </c>
      <c r="J502" s="119">
        <v>54.46</v>
      </c>
    </row>
    <row r="503" spans="1:10" x14ac:dyDescent="0.3">
      <c r="A503" t="s">
        <v>13</v>
      </c>
      <c r="B503" t="s">
        <v>129</v>
      </c>
      <c r="C503" t="s">
        <v>128</v>
      </c>
      <c r="D503" t="s">
        <v>3</v>
      </c>
      <c r="E503" t="s">
        <v>751</v>
      </c>
      <c r="F503" s="119">
        <v>554743.99999999988</v>
      </c>
      <c r="G503" s="119">
        <v>560504</v>
      </c>
      <c r="H503" s="119">
        <v>566195.99999999988</v>
      </c>
      <c r="I503" s="119">
        <v>571773</v>
      </c>
      <c r="J503" s="119">
        <v>577233</v>
      </c>
    </row>
    <row r="504" spans="1:10" x14ac:dyDescent="0.3">
      <c r="A504" t="s">
        <v>13</v>
      </c>
      <c r="B504" t="s">
        <v>127</v>
      </c>
      <c r="C504" t="s">
        <v>126</v>
      </c>
      <c r="D504" t="s">
        <v>44</v>
      </c>
      <c r="E504" t="s">
        <v>752</v>
      </c>
      <c r="F504" s="119">
        <v>6906</v>
      </c>
      <c r="G504" s="119">
        <v>6932</v>
      </c>
      <c r="H504" s="119">
        <v>6958</v>
      </c>
      <c r="I504" s="119">
        <v>6984</v>
      </c>
      <c r="J504" s="119">
        <v>7010</v>
      </c>
    </row>
    <row r="505" spans="1:10" x14ac:dyDescent="0.3">
      <c r="A505" t="s">
        <v>13</v>
      </c>
      <c r="B505" t="s">
        <v>125</v>
      </c>
      <c r="C505" t="s">
        <v>124</v>
      </c>
      <c r="D505" t="s">
        <v>0</v>
      </c>
      <c r="E505" t="s">
        <v>753</v>
      </c>
      <c r="F505" s="119">
        <v>98.687364035249416</v>
      </c>
      <c r="G505" s="119">
        <v>98.685619346501753</v>
      </c>
      <c r="H505" s="119">
        <v>98.685817939510599</v>
      </c>
      <c r="I505" s="119">
        <v>98.685627297367532</v>
      </c>
      <c r="J505" s="119">
        <v>98.685533420219684</v>
      </c>
    </row>
    <row r="506" spans="1:10" x14ac:dyDescent="0.3">
      <c r="A506" t="s">
        <v>13</v>
      </c>
      <c r="B506" t="s">
        <v>123</v>
      </c>
      <c r="C506" t="s">
        <v>122</v>
      </c>
      <c r="D506" t="s">
        <v>3</v>
      </c>
      <c r="E506" t="s">
        <v>754</v>
      </c>
      <c r="F506" s="119">
        <v>5.7185575753106441</v>
      </c>
      <c r="G506" s="119">
        <v>5.7184788628392091</v>
      </c>
      <c r="H506" s="119">
        <v>5.7184688853514976</v>
      </c>
      <c r="I506" s="119">
        <v>5.7184866149333535</v>
      </c>
      <c r="J506" s="119">
        <v>5.7184509402345931</v>
      </c>
    </row>
    <row r="507" spans="1:10" x14ac:dyDescent="0.3">
      <c r="A507" t="s">
        <v>13</v>
      </c>
      <c r="B507" t="s">
        <v>121</v>
      </c>
      <c r="C507" t="s">
        <v>120</v>
      </c>
      <c r="D507" t="s">
        <v>3</v>
      </c>
      <c r="E507" t="s">
        <v>755</v>
      </c>
      <c r="F507" s="119">
        <v>1.6507384882710686E-2</v>
      </c>
      <c r="G507" s="119">
        <v>1.644547028274668E-2</v>
      </c>
      <c r="H507" s="119">
        <v>1.638401839609083E-2</v>
      </c>
      <c r="I507" s="119">
        <v>1.6323024054982819E-2</v>
      </c>
      <c r="J507" s="119">
        <v>1.6262482168330955E-2</v>
      </c>
    </row>
    <row r="508" spans="1:10" x14ac:dyDescent="0.3">
      <c r="A508" t="s">
        <v>15</v>
      </c>
      <c r="B508" t="s">
        <v>187</v>
      </c>
      <c r="C508" t="s">
        <v>186</v>
      </c>
      <c r="D508" t="s">
        <v>2</v>
      </c>
      <c r="E508" t="s">
        <v>757</v>
      </c>
      <c r="F508" s="119">
        <v>4.4279999999999999</v>
      </c>
      <c r="G508" s="119">
        <v>4.5119999999999996</v>
      </c>
      <c r="H508" s="119">
        <v>4.5460000000000003</v>
      </c>
      <c r="I508" s="119">
        <v>4.4820000000000002</v>
      </c>
      <c r="J508" s="119">
        <v>4.3879999999999999</v>
      </c>
    </row>
    <row r="509" spans="1:10" x14ac:dyDescent="0.3">
      <c r="A509" t="s">
        <v>15</v>
      </c>
      <c r="B509" t="s">
        <v>185</v>
      </c>
      <c r="C509" t="s">
        <v>184</v>
      </c>
      <c r="D509" t="s">
        <v>2</v>
      </c>
      <c r="E509" t="s">
        <v>758</v>
      </c>
      <c r="F509" s="119">
        <v>0</v>
      </c>
      <c r="G509" s="119">
        <v>0</v>
      </c>
      <c r="H509" s="119">
        <v>0</v>
      </c>
      <c r="I509" s="119">
        <v>0</v>
      </c>
      <c r="J509" s="119">
        <v>0</v>
      </c>
    </row>
    <row r="510" spans="1:10" x14ac:dyDescent="0.3">
      <c r="A510" t="s">
        <v>15</v>
      </c>
      <c r="B510" t="s">
        <v>183</v>
      </c>
      <c r="C510" t="s">
        <v>182</v>
      </c>
      <c r="D510" t="s">
        <v>2</v>
      </c>
      <c r="E510" t="s">
        <v>759</v>
      </c>
      <c r="F510" s="119">
        <v>0.184</v>
      </c>
      <c r="G510" s="119">
        <v>0.38700000000000001</v>
      </c>
      <c r="H510" s="119">
        <v>8.5000000000000006E-2</v>
      </c>
      <c r="I510" s="119">
        <v>0.29599999999999999</v>
      </c>
      <c r="J510" s="119">
        <v>0.30599999999999999</v>
      </c>
    </row>
    <row r="511" spans="1:10" x14ac:dyDescent="0.3">
      <c r="A511" t="s">
        <v>15</v>
      </c>
      <c r="B511" t="s">
        <v>181</v>
      </c>
      <c r="C511" t="s">
        <v>180</v>
      </c>
      <c r="D511" t="s">
        <v>2</v>
      </c>
      <c r="E511" t="s">
        <v>779</v>
      </c>
      <c r="F511" s="119">
        <v>17.614999999999998</v>
      </c>
      <c r="G511" s="119">
        <v>17.707000000000001</v>
      </c>
      <c r="H511" s="119">
        <v>17.658000000000001</v>
      </c>
      <c r="I511" s="119">
        <v>17.527999999999999</v>
      </c>
      <c r="J511" s="119">
        <v>17.373999999999999</v>
      </c>
    </row>
    <row r="512" spans="1:10" x14ac:dyDescent="0.3">
      <c r="A512" t="s">
        <v>15</v>
      </c>
      <c r="B512" t="s">
        <v>179</v>
      </c>
      <c r="C512" t="s">
        <v>178</v>
      </c>
      <c r="D512" t="s">
        <v>2</v>
      </c>
      <c r="E512" t="s">
        <v>780</v>
      </c>
      <c r="F512" s="119">
        <v>1.198</v>
      </c>
      <c r="G512" s="119">
        <v>1.175</v>
      </c>
      <c r="H512" s="119">
        <v>1.458</v>
      </c>
      <c r="I512" s="119">
        <v>1.4359999999999999</v>
      </c>
      <c r="J512" s="119">
        <v>1.202</v>
      </c>
    </row>
    <row r="513" spans="1:10" x14ac:dyDescent="0.3">
      <c r="A513" t="s">
        <v>15</v>
      </c>
      <c r="B513" t="s">
        <v>177</v>
      </c>
      <c r="C513" t="s">
        <v>176</v>
      </c>
      <c r="D513" t="s">
        <v>2</v>
      </c>
      <c r="E513" t="s">
        <v>781</v>
      </c>
      <c r="F513" s="119">
        <v>3.3609999999999998</v>
      </c>
      <c r="G513" s="119">
        <v>5.2160000000000002</v>
      </c>
      <c r="H513" s="119">
        <v>6.2620000000000005</v>
      </c>
      <c r="I513" s="119">
        <v>3.6360000000000001</v>
      </c>
      <c r="J513" s="119">
        <v>4.75</v>
      </c>
    </row>
    <row r="514" spans="1:10" x14ac:dyDescent="0.3">
      <c r="A514" t="s">
        <v>15</v>
      </c>
      <c r="B514" t="s">
        <v>175</v>
      </c>
      <c r="C514" t="s">
        <v>174</v>
      </c>
      <c r="D514" t="s">
        <v>2</v>
      </c>
      <c r="E514" t="s">
        <v>782</v>
      </c>
      <c r="F514" s="119">
        <v>2.907</v>
      </c>
      <c r="G514" s="119">
        <v>3.1949999999999998</v>
      </c>
      <c r="H514" s="119">
        <v>2.927</v>
      </c>
      <c r="I514" s="119">
        <v>3.0739999999999998</v>
      </c>
      <c r="J514" s="119">
        <v>2.9889999999999999</v>
      </c>
    </row>
    <row r="515" spans="1:10" x14ac:dyDescent="0.3">
      <c r="A515" t="s">
        <v>15</v>
      </c>
      <c r="B515" t="s">
        <v>173</v>
      </c>
      <c r="C515" t="s">
        <v>172</v>
      </c>
      <c r="D515" t="s">
        <v>2</v>
      </c>
      <c r="E515" t="s">
        <v>783</v>
      </c>
      <c r="F515" s="119">
        <v>16.578000000000003</v>
      </c>
      <c r="G515" s="119">
        <v>17.459000000000003</v>
      </c>
      <c r="H515" s="119">
        <v>18.250999999999998</v>
      </c>
      <c r="I515" s="119">
        <v>16.77</v>
      </c>
      <c r="J515" s="119">
        <v>17.905999999999999</v>
      </c>
    </row>
    <row r="516" spans="1:10" x14ac:dyDescent="0.3">
      <c r="A516" t="s">
        <v>15</v>
      </c>
      <c r="B516" t="s">
        <v>171</v>
      </c>
      <c r="C516" t="s">
        <v>170</v>
      </c>
      <c r="D516" t="s">
        <v>2</v>
      </c>
      <c r="E516" t="s">
        <v>786</v>
      </c>
      <c r="F516" s="119">
        <v>7.3500000000000014</v>
      </c>
      <c r="G516" s="119">
        <v>8.6069999999999922</v>
      </c>
      <c r="H516" s="119">
        <v>8.8270000000000053</v>
      </c>
      <c r="I516" s="119">
        <v>7.6770000000000032</v>
      </c>
      <c r="J516" s="119">
        <v>7.1820000000000022</v>
      </c>
    </row>
    <row r="517" spans="1:10" x14ac:dyDescent="0.3">
      <c r="A517" t="s">
        <v>15</v>
      </c>
      <c r="B517" t="s">
        <v>169</v>
      </c>
      <c r="C517" t="s">
        <v>168</v>
      </c>
      <c r="D517" t="s">
        <v>2</v>
      </c>
      <c r="E517" t="s">
        <v>784</v>
      </c>
      <c r="F517" s="119">
        <v>21.021000000000004</v>
      </c>
      <c r="G517" s="119">
        <v>22.870999999999995</v>
      </c>
      <c r="H517" s="119">
        <v>24.151000000000003</v>
      </c>
      <c r="I517" s="119">
        <v>21.373000000000005</v>
      </c>
      <c r="J517" s="119">
        <v>22.099</v>
      </c>
    </row>
    <row r="518" spans="1:10" x14ac:dyDescent="0.3">
      <c r="A518" t="s">
        <v>15</v>
      </c>
      <c r="B518" t="s">
        <v>167</v>
      </c>
      <c r="C518" t="s">
        <v>166</v>
      </c>
      <c r="D518" t="s">
        <v>2</v>
      </c>
      <c r="E518" t="s">
        <v>785</v>
      </c>
      <c r="F518" s="119">
        <v>23.928000000000004</v>
      </c>
      <c r="G518" s="119">
        <v>26.065999999999995</v>
      </c>
      <c r="H518" s="119">
        <v>27.078000000000003</v>
      </c>
      <c r="I518" s="119">
        <v>24.447000000000003</v>
      </c>
      <c r="J518" s="119">
        <v>25.088000000000001</v>
      </c>
    </row>
    <row r="519" spans="1:10" x14ac:dyDescent="0.3">
      <c r="A519" t="s">
        <v>15</v>
      </c>
      <c r="B519" t="s">
        <v>165</v>
      </c>
      <c r="C519" t="s">
        <v>163</v>
      </c>
      <c r="D519" t="s">
        <v>2</v>
      </c>
      <c r="E519" t="s">
        <v>756</v>
      </c>
      <c r="F519" s="119">
        <v>0</v>
      </c>
      <c r="G519" s="119">
        <v>0</v>
      </c>
      <c r="H519" s="119">
        <v>0</v>
      </c>
      <c r="I519" s="119">
        <v>0</v>
      </c>
      <c r="J519" s="119">
        <v>0</v>
      </c>
    </row>
    <row r="520" spans="1:10" x14ac:dyDescent="0.3">
      <c r="A520" t="s">
        <v>15</v>
      </c>
      <c r="B520" t="s">
        <v>164</v>
      </c>
      <c r="C520" t="s">
        <v>163</v>
      </c>
      <c r="D520" t="s">
        <v>2</v>
      </c>
      <c r="E520" t="s">
        <v>760</v>
      </c>
      <c r="F520" s="119">
        <v>0</v>
      </c>
      <c r="G520" s="119">
        <v>0</v>
      </c>
      <c r="H520" s="119">
        <v>0</v>
      </c>
      <c r="I520" s="119">
        <v>0</v>
      </c>
      <c r="J520" s="119">
        <v>0</v>
      </c>
    </row>
    <row r="521" spans="1:10" x14ac:dyDescent="0.3">
      <c r="A521" t="s">
        <v>15</v>
      </c>
      <c r="B521" t="s">
        <v>162</v>
      </c>
      <c r="C521" t="s">
        <v>161</v>
      </c>
      <c r="D521" t="s">
        <v>2</v>
      </c>
      <c r="E521" t="s">
        <v>761</v>
      </c>
      <c r="F521" s="119">
        <v>0</v>
      </c>
      <c r="G521" s="119">
        <v>0</v>
      </c>
      <c r="H521" s="119">
        <v>0</v>
      </c>
      <c r="I521" s="119">
        <v>0</v>
      </c>
      <c r="J521" s="119">
        <v>0</v>
      </c>
    </row>
    <row r="522" spans="1:10" x14ac:dyDescent="0.3">
      <c r="A522" t="s">
        <v>15</v>
      </c>
      <c r="B522" t="s">
        <v>160</v>
      </c>
      <c r="C522" t="s">
        <v>159</v>
      </c>
      <c r="D522" t="s">
        <v>2</v>
      </c>
      <c r="E522" t="s">
        <v>762</v>
      </c>
      <c r="F522" s="119">
        <v>0</v>
      </c>
      <c r="G522" s="119">
        <v>0</v>
      </c>
      <c r="H522" s="119">
        <v>0</v>
      </c>
      <c r="I522" s="119">
        <v>0</v>
      </c>
      <c r="J522" s="119">
        <v>0</v>
      </c>
    </row>
    <row r="523" spans="1:10" x14ac:dyDescent="0.3">
      <c r="A523" t="s">
        <v>15</v>
      </c>
      <c r="B523" t="s">
        <v>158</v>
      </c>
      <c r="C523" t="s">
        <v>156</v>
      </c>
      <c r="D523" t="s">
        <v>2</v>
      </c>
      <c r="E523" t="s">
        <v>764</v>
      </c>
      <c r="F523" s="119">
        <v>0</v>
      </c>
      <c r="G523" s="119">
        <v>0</v>
      </c>
      <c r="H523" s="119">
        <v>0</v>
      </c>
      <c r="I523" s="119">
        <v>0</v>
      </c>
      <c r="J523" s="119">
        <v>0</v>
      </c>
    </row>
    <row r="524" spans="1:10" x14ac:dyDescent="0.3">
      <c r="A524" t="s">
        <v>15</v>
      </c>
      <c r="B524" t="s">
        <v>157</v>
      </c>
      <c r="C524" t="s">
        <v>156</v>
      </c>
      <c r="D524" t="s">
        <v>2</v>
      </c>
      <c r="E524" t="s">
        <v>765</v>
      </c>
      <c r="F524" s="119">
        <v>0</v>
      </c>
      <c r="G524" s="119">
        <v>0</v>
      </c>
      <c r="H524" s="119">
        <v>0</v>
      </c>
      <c r="I524" s="119">
        <v>0</v>
      </c>
      <c r="J524" s="119">
        <v>0</v>
      </c>
    </row>
    <row r="525" spans="1:10" x14ac:dyDescent="0.3">
      <c r="A525" t="s">
        <v>15</v>
      </c>
      <c r="B525" t="s">
        <v>155</v>
      </c>
      <c r="C525" t="s">
        <v>154</v>
      </c>
      <c r="D525" t="s">
        <v>2</v>
      </c>
      <c r="E525" t="s">
        <v>766</v>
      </c>
      <c r="F525" s="119">
        <v>0</v>
      </c>
      <c r="G525" s="119">
        <v>0</v>
      </c>
      <c r="H525" s="119">
        <v>0</v>
      </c>
      <c r="I525" s="119">
        <v>0</v>
      </c>
      <c r="J525" s="119">
        <v>0</v>
      </c>
    </row>
    <row r="526" spans="1:10" x14ac:dyDescent="0.3">
      <c r="A526" t="s">
        <v>15</v>
      </c>
      <c r="B526" t="s">
        <v>153</v>
      </c>
      <c r="C526" t="s">
        <v>152</v>
      </c>
      <c r="D526" t="s">
        <v>2</v>
      </c>
      <c r="E526" t="s">
        <v>767</v>
      </c>
      <c r="F526" s="119">
        <v>0</v>
      </c>
      <c r="G526" s="119">
        <v>0</v>
      </c>
      <c r="H526" s="119">
        <v>0</v>
      </c>
      <c r="I526" s="119">
        <v>0</v>
      </c>
      <c r="J526" s="119">
        <v>0</v>
      </c>
    </row>
    <row r="527" spans="1:10" x14ac:dyDescent="0.3">
      <c r="A527" t="s">
        <v>15</v>
      </c>
      <c r="B527" t="s">
        <v>151</v>
      </c>
      <c r="C527" t="s">
        <v>149</v>
      </c>
      <c r="D527" t="s">
        <v>2</v>
      </c>
      <c r="E527" t="s">
        <v>769</v>
      </c>
      <c r="F527" s="119">
        <v>0</v>
      </c>
      <c r="G527" s="119">
        <v>0</v>
      </c>
      <c r="H527" s="119">
        <v>0</v>
      </c>
      <c r="I527" s="119">
        <v>0</v>
      </c>
      <c r="J527" s="119">
        <v>0</v>
      </c>
    </row>
    <row r="528" spans="1:10" x14ac:dyDescent="0.3">
      <c r="A528" t="s">
        <v>15</v>
      </c>
      <c r="B528" t="s">
        <v>150</v>
      </c>
      <c r="C528" t="s">
        <v>149</v>
      </c>
      <c r="D528" t="s">
        <v>2</v>
      </c>
      <c r="E528" t="s">
        <v>770</v>
      </c>
      <c r="F528" s="119">
        <v>0</v>
      </c>
      <c r="G528" s="119">
        <v>0</v>
      </c>
      <c r="H528" s="119">
        <v>0</v>
      </c>
      <c r="I528" s="119">
        <v>0</v>
      </c>
      <c r="J528" s="119">
        <v>0</v>
      </c>
    </row>
    <row r="529" spans="1:10" x14ac:dyDescent="0.3">
      <c r="A529" t="s">
        <v>15</v>
      </c>
      <c r="B529" t="s">
        <v>148</v>
      </c>
      <c r="C529" t="s">
        <v>147</v>
      </c>
      <c r="D529" t="s">
        <v>2</v>
      </c>
      <c r="E529" t="s">
        <v>771</v>
      </c>
      <c r="F529" s="119">
        <v>0</v>
      </c>
      <c r="G529" s="119">
        <v>0</v>
      </c>
      <c r="H529" s="119">
        <v>0</v>
      </c>
      <c r="I529" s="119">
        <v>0</v>
      </c>
      <c r="J529" s="119">
        <v>0</v>
      </c>
    </row>
    <row r="530" spans="1:10" x14ac:dyDescent="0.3">
      <c r="A530" t="s">
        <v>15</v>
      </c>
      <c r="B530" t="s">
        <v>146</v>
      </c>
      <c r="C530" t="s">
        <v>145</v>
      </c>
      <c r="D530" t="s">
        <v>2</v>
      </c>
      <c r="E530" t="s">
        <v>772</v>
      </c>
      <c r="F530" s="119">
        <v>0</v>
      </c>
      <c r="G530" s="119">
        <v>0</v>
      </c>
      <c r="H530" s="119">
        <v>0</v>
      </c>
      <c r="I530" s="119">
        <v>0</v>
      </c>
      <c r="J530" s="119">
        <v>0</v>
      </c>
    </row>
    <row r="531" spans="1:10" x14ac:dyDescent="0.3">
      <c r="A531" t="s">
        <v>15</v>
      </c>
      <c r="B531" t="s">
        <v>144</v>
      </c>
      <c r="C531" t="s">
        <v>142</v>
      </c>
      <c r="D531" t="s">
        <v>2</v>
      </c>
      <c r="E531" t="s">
        <v>774</v>
      </c>
      <c r="F531" s="119">
        <v>0.249</v>
      </c>
      <c r="G531" s="119">
        <v>0.249</v>
      </c>
      <c r="H531" s="119">
        <v>0.249</v>
      </c>
      <c r="I531" s="119">
        <v>0.249</v>
      </c>
      <c r="J531" s="119">
        <v>0.249</v>
      </c>
    </row>
    <row r="532" spans="1:10" x14ac:dyDescent="0.3">
      <c r="A532" t="s">
        <v>15</v>
      </c>
      <c r="B532" t="s">
        <v>143</v>
      </c>
      <c r="C532" t="s">
        <v>142</v>
      </c>
      <c r="D532" t="s">
        <v>2</v>
      </c>
      <c r="E532" t="s">
        <v>775</v>
      </c>
      <c r="F532" s="119">
        <v>0</v>
      </c>
      <c r="G532" s="119">
        <v>0</v>
      </c>
      <c r="H532" s="119">
        <v>0</v>
      </c>
      <c r="I532" s="119">
        <v>0</v>
      </c>
      <c r="J532" s="119">
        <v>0</v>
      </c>
    </row>
    <row r="533" spans="1:10" x14ac:dyDescent="0.3">
      <c r="A533" t="s">
        <v>15</v>
      </c>
      <c r="B533" t="s">
        <v>141</v>
      </c>
      <c r="C533" t="s">
        <v>140</v>
      </c>
      <c r="D533" t="s">
        <v>2</v>
      </c>
      <c r="E533" t="s">
        <v>776</v>
      </c>
      <c r="F533" s="119">
        <v>0.88300000000000001</v>
      </c>
      <c r="G533" s="119">
        <v>0.88100000000000001</v>
      </c>
      <c r="H533" s="119">
        <v>0.88200000000000001</v>
      </c>
      <c r="I533" s="119">
        <v>0.88300000000000001</v>
      </c>
      <c r="J533" s="119">
        <v>0.88600000000000001</v>
      </c>
    </row>
    <row r="534" spans="1:10" x14ac:dyDescent="0.3">
      <c r="A534" t="s">
        <v>15</v>
      </c>
      <c r="B534" t="s">
        <v>139</v>
      </c>
      <c r="C534" t="s">
        <v>138</v>
      </c>
      <c r="D534" t="s">
        <v>2</v>
      </c>
      <c r="E534" t="s">
        <v>777</v>
      </c>
      <c r="F534" s="119">
        <v>0</v>
      </c>
      <c r="G534" s="119">
        <v>0</v>
      </c>
      <c r="H534" s="119">
        <v>0</v>
      </c>
      <c r="I534" s="119">
        <v>0</v>
      </c>
      <c r="J534" s="119">
        <v>0</v>
      </c>
    </row>
    <row r="535" spans="1:10" x14ac:dyDescent="0.3">
      <c r="A535" t="s">
        <v>15</v>
      </c>
      <c r="B535" t="s">
        <v>137</v>
      </c>
      <c r="C535" t="s">
        <v>136</v>
      </c>
      <c r="D535" t="s">
        <v>2</v>
      </c>
      <c r="E535" t="s">
        <v>763</v>
      </c>
      <c r="F535" s="119">
        <v>17.736999999999998</v>
      </c>
      <c r="G535" s="119">
        <v>11.494999999999999</v>
      </c>
      <c r="H535" s="119">
        <v>12.287000000000001</v>
      </c>
      <c r="I535" s="119">
        <v>25.126999999999999</v>
      </c>
      <c r="J535" s="119">
        <v>27.806999999999999</v>
      </c>
    </row>
    <row r="536" spans="1:10" x14ac:dyDescent="0.3">
      <c r="A536" t="s">
        <v>15</v>
      </c>
      <c r="B536" t="s">
        <v>135</v>
      </c>
      <c r="C536" t="s">
        <v>134</v>
      </c>
      <c r="D536" t="s">
        <v>2</v>
      </c>
      <c r="E536" t="s">
        <v>768</v>
      </c>
      <c r="F536" s="119">
        <v>7.8E-2</v>
      </c>
      <c r="G536" s="119">
        <v>0.27600000000000002</v>
      </c>
      <c r="H536" s="119">
        <v>0.08</v>
      </c>
      <c r="I536" s="119">
        <v>7.9000000000000001E-2</v>
      </c>
      <c r="J536" s="119">
        <v>7.8E-2</v>
      </c>
    </row>
    <row r="537" spans="1:10" x14ac:dyDescent="0.3">
      <c r="A537" t="s">
        <v>15</v>
      </c>
      <c r="B537" t="s">
        <v>133</v>
      </c>
      <c r="C537" t="s">
        <v>132</v>
      </c>
      <c r="D537" t="s">
        <v>2</v>
      </c>
      <c r="E537" t="s">
        <v>773</v>
      </c>
      <c r="F537" s="119">
        <v>8.3109999999999999</v>
      </c>
      <c r="G537" s="119">
        <v>7.3949999999999996</v>
      </c>
      <c r="H537" s="119">
        <v>7.0780000000000003</v>
      </c>
      <c r="I537" s="119">
        <v>7.2409999999999997</v>
      </c>
      <c r="J537" s="119">
        <v>5.4459999999999997</v>
      </c>
    </row>
    <row r="538" spans="1:10" x14ac:dyDescent="0.3">
      <c r="A538" t="s">
        <v>15</v>
      </c>
      <c r="B538" t="s">
        <v>131</v>
      </c>
      <c r="C538" t="s">
        <v>130</v>
      </c>
      <c r="D538" t="s">
        <v>2</v>
      </c>
      <c r="E538" t="s">
        <v>778</v>
      </c>
      <c r="F538" s="119">
        <v>19.013999999999999</v>
      </c>
      <c r="G538" s="119">
        <v>19.199000000000002</v>
      </c>
      <c r="H538" s="119">
        <v>19.603000000000002</v>
      </c>
      <c r="I538" s="119">
        <v>19.207000000000001</v>
      </c>
      <c r="J538" s="119">
        <v>20.591999999999999</v>
      </c>
    </row>
    <row r="539" spans="1:10" x14ac:dyDescent="0.3">
      <c r="A539" t="s">
        <v>15</v>
      </c>
      <c r="B539" t="s">
        <v>129</v>
      </c>
      <c r="C539" t="s">
        <v>128</v>
      </c>
      <c r="D539" t="s">
        <v>3</v>
      </c>
      <c r="E539" t="s">
        <v>787</v>
      </c>
      <c r="F539" s="119">
        <v>326787.00000000006</v>
      </c>
      <c r="G539" s="119">
        <v>328671.00000000006</v>
      </c>
      <c r="H539" s="119">
        <v>330568</v>
      </c>
      <c r="I539" s="119">
        <v>332501.99999999994</v>
      </c>
      <c r="J539" s="119">
        <v>334500</v>
      </c>
    </row>
    <row r="540" spans="1:10" x14ac:dyDescent="0.3">
      <c r="A540" t="s">
        <v>15</v>
      </c>
      <c r="B540" t="s">
        <v>127</v>
      </c>
      <c r="C540" t="s">
        <v>126</v>
      </c>
      <c r="D540" t="s">
        <v>44</v>
      </c>
      <c r="E540" t="s">
        <v>788</v>
      </c>
      <c r="F540" s="119">
        <v>3369</v>
      </c>
      <c r="G540" s="119">
        <v>3380</v>
      </c>
      <c r="H540" s="119">
        <v>3392</v>
      </c>
      <c r="I540" s="119">
        <v>3404</v>
      </c>
      <c r="J540" s="119">
        <v>3416</v>
      </c>
    </row>
    <row r="541" spans="1:10" x14ac:dyDescent="0.3">
      <c r="A541" t="s">
        <v>15</v>
      </c>
      <c r="B541" t="s">
        <v>125</v>
      </c>
      <c r="C541" t="s">
        <v>124</v>
      </c>
      <c r="D541" t="s">
        <v>0</v>
      </c>
      <c r="E541" t="s">
        <v>789</v>
      </c>
      <c r="F541" s="119">
        <v>56.798850574712645</v>
      </c>
      <c r="G541" s="119">
        <v>59.410944579993028</v>
      </c>
      <c r="H541" s="119">
        <v>59.80677453148644</v>
      </c>
      <c r="I541" s="119">
        <v>59.837752042795834</v>
      </c>
      <c r="J541" s="119">
        <v>59.86584352368515</v>
      </c>
    </row>
    <row r="542" spans="1:10" x14ac:dyDescent="0.3">
      <c r="A542" t="s">
        <v>15</v>
      </c>
      <c r="B542" t="s">
        <v>123</v>
      </c>
      <c r="C542" t="s">
        <v>122</v>
      </c>
      <c r="D542" t="s">
        <v>3</v>
      </c>
      <c r="E542" t="s">
        <v>790</v>
      </c>
      <c r="F542" s="119">
        <v>3.5366666666666666</v>
      </c>
      <c r="G542" s="119">
        <v>3.6411060764494021</v>
      </c>
      <c r="H542" s="119">
        <v>3.6546385752531725</v>
      </c>
      <c r="I542" s="119">
        <v>3.6558109458585624</v>
      </c>
      <c r="J542" s="119">
        <v>3.6569512050338364</v>
      </c>
    </row>
    <row r="543" spans="1:10" x14ac:dyDescent="0.3">
      <c r="A543" t="s">
        <v>15</v>
      </c>
      <c r="B543" t="s">
        <v>121</v>
      </c>
      <c r="C543" t="s">
        <v>120</v>
      </c>
      <c r="D543" t="s">
        <v>3</v>
      </c>
      <c r="E543" t="s">
        <v>791</v>
      </c>
      <c r="F543" s="119">
        <v>1.2169783318492134E-2</v>
      </c>
      <c r="G543" s="119">
        <v>1.21301775147929E-2</v>
      </c>
      <c r="H543" s="119">
        <v>1.2087264150943397E-2</v>
      </c>
      <c r="I543" s="119">
        <v>1.2044653349001176E-2</v>
      </c>
      <c r="J543" s="119">
        <v>1.2002341920374707E-2</v>
      </c>
    </row>
    <row r="544" spans="1:10" x14ac:dyDescent="0.3">
      <c r="A544" t="s">
        <v>17</v>
      </c>
      <c r="B544" t="s">
        <v>187</v>
      </c>
      <c r="C544" t="s">
        <v>186</v>
      </c>
      <c r="D544" t="s">
        <v>2</v>
      </c>
      <c r="E544" t="s">
        <v>829</v>
      </c>
      <c r="F544" s="119">
        <v>13.497</v>
      </c>
      <c r="G544" s="119">
        <v>13.611000000000001</v>
      </c>
      <c r="H544" s="119">
        <v>13.715</v>
      </c>
      <c r="I544" s="119">
        <v>13.984</v>
      </c>
      <c r="J544" s="119">
        <v>14.109</v>
      </c>
    </row>
    <row r="545" spans="1:10" x14ac:dyDescent="0.3">
      <c r="A545" t="s">
        <v>17</v>
      </c>
      <c r="B545" t="s">
        <v>185</v>
      </c>
      <c r="C545" t="s">
        <v>184</v>
      </c>
      <c r="D545" t="s">
        <v>2</v>
      </c>
      <c r="E545" t="s">
        <v>830</v>
      </c>
      <c r="F545" s="119">
        <v>0.98599999999999999</v>
      </c>
      <c r="G545" s="119">
        <v>1.006</v>
      </c>
      <c r="H545" s="119">
        <v>1.0249999999999999</v>
      </c>
      <c r="I545" s="119">
        <v>0.95599999999999996</v>
      </c>
      <c r="J545" s="119">
        <v>0.89</v>
      </c>
    </row>
    <row r="546" spans="1:10" x14ac:dyDescent="0.3">
      <c r="A546" t="s">
        <v>17</v>
      </c>
      <c r="B546" t="s">
        <v>183</v>
      </c>
      <c r="C546" t="s">
        <v>182</v>
      </c>
      <c r="D546" t="s">
        <v>2</v>
      </c>
      <c r="E546" t="s">
        <v>831</v>
      </c>
      <c r="F546" s="119">
        <v>2.391</v>
      </c>
      <c r="G546" s="119">
        <v>2.3860000000000001</v>
      </c>
      <c r="H546" s="119">
        <v>2.3740000000000001</v>
      </c>
      <c r="I546" s="119">
        <v>2.3530000000000002</v>
      </c>
      <c r="J546" s="119">
        <v>2.0019999999999998</v>
      </c>
    </row>
    <row r="547" spans="1:10" x14ac:dyDescent="0.3">
      <c r="A547" t="s">
        <v>17</v>
      </c>
      <c r="B547" t="s">
        <v>181</v>
      </c>
      <c r="C547" t="s">
        <v>180</v>
      </c>
      <c r="D547" t="s">
        <v>2</v>
      </c>
      <c r="E547" t="s">
        <v>851</v>
      </c>
      <c r="F547" s="119">
        <v>77.355999999999995</v>
      </c>
      <c r="G547" s="119">
        <v>79.557999999999993</v>
      </c>
      <c r="H547" s="119">
        <v>80.534000000000006</v>
      </c>
      <c r="I547" s="119">
        <v>82.085999999999999</v>
      </c>
      <c r="J547" s="119">
        <v>83.864000000000004</v>
      </c>
    </row>
    <row r="548" spans="1:10" x14ac:dyDescent="0.3">
      <c r="A548" t="s">
        <v>17</v>
      </c>
      <c r="B548" t="s">
        <v>179</v>
      </c>
      <c r="C548" t="s">
        <v>178</v>
      </c>
      <c r="D548" t="s">
        <v>2</v>
      </c>
      <c r="E548" t="s">
        <v>852</v>
      </c>
      <c r="F548" s="119">
        <v>15.757</v>
      </c>
      <c r="G548" s="119">
        <v>15.631</v>
      </c>
      <c r="H548" s="119">
        <v>15.411</v>
      </c>
      <c r="I548" s="119">
        <v>14.807</v>
      </c>
      <c r="J548" s="119">
        <v>14.292999999999999</v>
      </c>
    </row>
    <row r="549" spans="1:10" x14ac:dyDescent="0.3">
      <c r="A549" t="s">
        <v>17</v>
      </c>
      <c r="B549" t="s">
        <v>177</v>
      </c>
      <c r="C549" t="s">
        <v>176</v>
      </c>
      <c r="D549" t="s">
        <v>2</v>
      </c>
      <c r="E549" t="s">
        <v>853</v>
      </c>
      <c r="F549" s="119">
        <v>25.262999999999998</v>
      </c>
      <c r="G549" s="119">
        <v>24.864999999999998</v>
      </c>
      <c r="H549" s="119">
        <v>24.355000000000004</v>
      </c>
      <c r="I549" s="119">
        <v>23.533000000000001</v>
      </c>
      <c r="J549" s="119">
        <v>22.491999999999997</v>
      </c>
    </row>
    <row r="550" spans="1:10" x14ac:dyDescent="0.3">
      <c r="A550" t="s">
        <v>17</v>
      </c>
      <c r="B550" t="s">
        <v>175</v>
      </c>
      <c r="C550" t="s">
        <v>174</v>
      </c>
      <c r="D550" t="s">
        <v>2</v>
      </c>
      <c r="E550" t="s">
        <v>854</v>
      </c>
      <c r="F550" s="119">
        <v>13.135942796505766</v>
      </c>
      <c r="G550" s="119">
        <v>13.1145561881945</v>
      </c>
      <c r="H550" s="119">
        <v>13.226178600395386</v>
      </c>
      <c r="I550" s="119">
        <v>13.321809818581666</v>
      </c>
      <c r="J550" s="119">
        <v>13.029449633407658</v>
      </c>
    </row>
    <row r="551" spans="1:10" x14ac:dyDescent="0.3">
      <c r="A551" t="s">
        <v>17</v>
      </c>
      <c r="B551" t="s">
        <v>173</v>
      </c>
      <c r="C551" t="s">
        <v>172</v>
      </c>
      <c r="D551" t="s">
        <v>2</v>
      </c>
      <c r="E551" t="s">
        <v>855</v>
      </c>
      <c r="F551" s="119">
        <v>80.334735924841965</v>
      </c>
      <c r="G551" s="119">
        <v>80.12055588223167</v>
      </c>
      <c r="H551" s="119">
        <v>80.623497634011855</v>
      </c>
      <c r="I551" s="119">
        <v>80.872685146204262</v>
      </c>
      <c r="J551" s="119">
        <v>81.830887024861383</v>
      </c>
    </row>
    <row r="552" spans="1:10" x14ac:dyDescent="0.3">
      <c r="A552" t="s">
        <v>17</v>
      </c>
      <c r="B552" t="s">
        <v>171</v>
      </c>
      <c r="C552" t="s">
        <v>170</v>
      </c>
      <c r="D552" t="s">
        <v>2</v>
      </c>
      <c r="E552" t="s">
        <v>858</v>
      </c>
      <c r="F552" s="119">
        <v>49.322632766974891</v>
      </c>
      <c r="G552" s="119">
        <v>48.627811659182001</v>
      </c>
      <c r="H552" s="119">
        <v>48.291056374694918</v>
      </c>
      <c r="I552" s="119">
        <v>48.122365348096977</v>
      </c>
      <c r="J552" s="119">
        <v>46.859737051778168</v>
      </c>
    </row>
    <row r="553" spans="1:10" x14ac:dyDescent="0.3">
      <c r="A553" t="s">
        <v>17</v>
      </c>
      <c r="B553" t="s">
        <v>169</v>
      </c>
      <c r="C553" t="s">
        <v>168</v>
      </c>
      <c r="D553" t="s">
        <v>2</v>
      </c>
      <c r="E553" t="s">
        <v>856</v>
      </c>
      <c r="F553" s="119">
        <v>116.5214258953111</v>
      </c>
      <c r="G553" s="119">
        <v>115.63381135321917</v>
      </c>
      <c r="H553" s="119">
        <v>115.68837540831139</v>
      </c>
      <c r="I553" s="119">
        <v>115.67324067571957</v>
      </c>
      <c r="J553" s="119">
        <v>115.66117444323189</v>
      </c>
    </row>
    <row r="554" spans="1:10" x14ac:dyDescent="0.3">
      <c r="A554" t="s">
        <v>17</v>
      </c>
      <c r="B554" t="s">
        <v>167</v>
      </c>
      <c r="C554" t="s">
        <v>166</v>
      </c>
      <c r="D554" t="s">
        <v>2</v>
      </c>
      <c r="E554" t="s">
        <v>857</v>
      </c>
      <c r="F554" s="119">
        <v>129.65736869181686</v>
      </c>
      <c r="G554" s="119">
        <v>128.74836754141367</v>
      </c>
      <c r="H554" s="119">
        <v>128.91455400870677</v>
      </c>
      <c r="I554" s="119">
        <v>128.99505049430124</v>
      </c>
      <c r="J554" s="119">
        <v>128.69062407663955</v>
      </c>
    </row>
    <row r="555" spans="1:10" x14ac:dyDescent="0.3">
      <c r="A555" t="s">
        <v>17</v>
      </c>
      <c r="B555" t="s">
        <v>165</v>
      </c>
      <c r="C555" t="s">
        <v>163</v>
      </c>
      <c r="D555" t="s">
        <v>2</v>
      </c>
      <c r="E555" t="s">
        <v>828</v>
      </c>
      <c r="F555" s="119">
        <v>0</v>
      </c>
      <c r="G555" s="119">
        <v>0</v>
      </c>
      <c r="H555" s="119">
        <v>0</v>
      </c>
      <c r="I555" s="119">
        <v>0</v>
      </c>
      <c r="J555" s="119">
        <v>0</v>
      </c>
    </row>
    <row r="556" spans="1:10" x14ac:dyDescent="0.3">
      <c r="A556" t="s">
        <v>17</v>
      </c>
      <c r="B556" t="s">
        <v>164</v>
      </c>
      <c r="C556" t="s">
        <v>163</v>
      </c>
      <c r="D556" t="s">
        <v>2</v>
      </c>
      <c r="E556" t="s">
        <v>832</v>
      </c>
      <c r="F556" s="119">
        <v>0</v>
      </c>
      <c r="G556" s="119">
        <v>0</v>
      </c>
      <c r="H556" s="119">
        <v>0</v>
      </c>
      <c r="I556" s="119">
        <v>0</v>
      </c>
      <c r="J556" s="119">
        <v>0</v>
      </c>
    </row>
    <row r="557" spans="1:10" x14ac:dyDescent="0.3">
      <c r="A557" t="s">
        <v>17</v>
      </c>
      <c r="B557" t="s">
        <v>162</v>
      </c>
      <c r="C557" t="s">
        <v>161</v>
      </c>
      <c r="D557" t="s">
        <v>2</v>
      </c>
      <c r="E557" t="s">
        <v>833</v>
      </c>
      <c r="F557" s="119">
        <v>0</v>
      </c>
      <c r="G557" s="119">
        <v>0</v>
      </c>
      <c r="H557" s="119">
        <v>0</v>
      </c>
      <c r="I557" s="119">
        <v>0</v>
      </c>
      <c r="J557" s="119">
        <v>0</v>
      </c>
    </row>
    <row r="558" spans="1:10" x14ac:dyDescent="0.3">
      <c r="A558" t="s">
        <v>17</v>
      </c>
      <c r="B558" t="s">
        <v>160</v>
      </c>
      <c r="C558" t="s">
        <v>159</v>
      </c>
      <c r="D558" t="s">
        <v>2</v>
      </c>
      <c r="E558" t="s">
        <v>834</v>
      </c>
      <c r="F558" s="119">
        <v>0.46500000000000002</v>
      </c>
      <c r="G558" s="119">
        <v>0.46500000000000002</v>
      </c>
      <c r="H558" s="119">
        <v>0.46500000000000002</v>
      </c>
      <c r="I558" s="119">
        <v>0.46500000000000002</v>
      </c>
      <c r="J558" s="119">
        <v>0.46500000000000002</v>
      </c>
    </row>
    <row r="559" spans="1:10" x14ac:dyDescent="0.3">
      <c r="A559" t="s">
        <v>17</v>
      </c>
      <c r="B559" t="s">
        <v>158</v>
      </c>
      <c r="C559" t="s">
        <v>156</v>
      </c>
      <c r="D559" t="s">
        <v>2</v>
      </c>
      <c r="E559" t="s">
        <v>836</v>
      </c>
      <c r="F559" s="119">
        <v>0</v>
      </c>
      <c r="G559" s="119">
        <v>0</v>
      </c>
      <c r="H559" s="119">
        <v>0</v>
      </c>
      <c r="I559" s="119">
        <v>0</v>
      </c>
      <c r="J559" s="119">
        <v>0</v>
      </c>
    </row>
    <row r="560" spans="1:10" x14ac:dyDescent="0.3">
      <c r="A560" t="s">
        <v>17</v>
      </c>
      <c r="B560" t="s">
        <v>157</v>
      </c>
      <c r="C560" t="s">
        <v>156</v>
      </c>
      <c r="D560" t="s">
        <v>2</v>
      </c>
      <c r="E560" t="s">
        <v>837</v>
      </c>
      <c r="F560" s="119">
        <v>0</v>
      </c>
      <c r="G560" s="119">
        <v>0</v>
      </c>
      <c r="H560" s="119">
        <v>0</v>
      </c>
      <c r="I560" s="119">
        <v>0</v>
      </c>
      <c r="J560" s="119">
        <v>0</v>
      </c>
    </row>
    <row r="561" spans="1:10" x14ac:dyDescent="0.3">
      <c r="A561" t="s">
        <v>17</v>
      </c>
      <c r="B561" t="s">
        <v>155</v>
      </c>
      <c r="C561" t="s">
        <v>154</v>
      </c>
      <c r="D561" t="s">
        <v>2</v>
      </c>
      <c r="E561" t="s">
        <v>838</v>
      </c>
      <c r="F561" s="119">
        <v>0</v>
      </c>
      <c r="G561" s="119">
        <v>0</v>
      </c>
      <c r="H561" s="119">
        <v>0</v>
      </c>
      <c r="I561" s="119">
        <v>0</v>
      </c>
      <c r="J561" s="119">
        <v>0</v>
      </c>
    </row>
    <row r="562" spans="1:10" x14ac:dyDescent="0.3">
      <c r="A562" t="s">
        <v>17</v>
      </c>
      <c r="B562" t="s">
        <v>153</v>
      </c>
      <c r="C562" t="s">
        <v>152</v>
      </c>
      <c r="D562" t="s">
        <v>2</v>
      </c>
      <c r="E562" t="s">
        <v>839</v>
      </c>
      <c r="F562" s="119">
        <v>1.2999999999999999E-2</v>
      </c>
      <c r="G562" s="119">
        <v>1.2999999999999999E-2</v>
      </c>
      <c r="H562" s="119">
        <v>1.2999999999999999E-2</v>
      </c>
      <c r="I562" s="119">
        <v>1.2999999999999999E-2</v>
      </c>
      <c r="J562" s="119">
        <v>1.2999999999999999E-2</v>
      </c>
    </row>
    <row r="563" spans="1:10" x14ac:dyDescent="0.3">
      <c r="A563" t="s">
        <v>17</v>
      </c>
      <c r="B563" t="s">
        <v>151</v>
      </c>
      <c r="C563" t="s">
        <v>149</v>
      </c>
      <c r="D563" t="s">
        <v>2</v>
      </c>
      <c r="E563" t="s">
        <v>841</v>
      </c>
      <c r="F563" s="119">
        <v>0</v>
      </c>
      <c r="G563" s="119">
        <v>0</v>
      </c>
      <c r="H563" s="119">
        <v>0</v>
      </c>
      <c r="I563" s="119">
        <v>0</v>
      </c>
      <c r="J563" s="119">
        <v>0</v>
      </c>
    </row>
    <row r="564" spans="1:10" x14ac:dyDescent="0.3">
      <c r="A564" t="s">
        <v>17</v>
      </c>
      <c r="B564" t="s">
        <v>150</v>
      </c>
      <c r="C564" t="s">
        <v>149</v>
      </c>
      <c r="D564" t="s">
        <v>2</v>
      </c>
      <c r="E564" t="s">
        <v>842</v>
      </c>
      <c r="F564" s="119">
        <v>0</v>
      </c>
      <c r="G564" s="119">
        <v>0</v>
      </c>
      <c r="H564" s="119">
        <v>0</v>
      </c>
      <c r="I564" s="119">
        <v>0</v>
      </c>
      <c r="J564" s="119">
        <v>0</v>
      </c>
    </row>
    <row r="565" spans="1:10" x14ac:dyDescent="0.3">
      <c r="A565" t="s">
        <v>17</v>
      </c>
      <c r="B565" t="s">
        <v>148</v>
      </c>
      <c r="C565" t="s">
        <v>147</v>
      </c>
      <c r="D565" t="s">
        <v>2</v>
      </c>
      <c r="E565" t="s">
        <v>843</v>
      </c>
      <c r="F565" s="119">
        <v>0</v>
      </c>
      <c r="G565" s="119">
        <v>0</v>
      </c>
      <c r="H565" s="119">
        <v>0</v>
      </c>
      <c r="I565" s="119">
        <v>0</v>
      </c>
      <c r="J565" s="119">
        <v>0</v>
      </c>
    </row>
    <row r="566" spans="1:10" x14ac:dyDescent="0.3">
      <c r="A566" t="s">
        <v>17</v>
      </c>
      <c r="B566" t="s">
        <v>146</v>
      </c>
      <c r="C566" t="s">
        <v>145</v>
      </c>
      <c r="D566" t="s">
        <v>2</v>
      </c>
      <c r="E566" t="s">
        <v>844</v>
      </c>
      <c r="F566" s="119">
        <v>1.1719999999999999</v>
      </c>
      <c r="G566" s="119">
        <v>1.1719999999999999</v>
      </c>
      <c r="H566" s="119">
        <v>1.1719999999999999</v>
      </c>
      <c r="I566" s="119">
        <v>1.1719999999999999</v>
      </c>
      <c r="J566" s="119">
        <v>1.1719999999999999</v>
      </c>
    </row>
    <row r="567" spans="1:10" x14ac:dyDescent="0.3">
      <c r="A567" t="s">
        <v>17</v>
      </c>
      <c r="B567" t="s">
        <v>144</v>
      </c>
      <c r="C567" t="s">
        <v>142</v>
      </c>
      <c r="D567" t="s">
        <v>2</v>
      </c>
      <c r="E567" t="s">
        <v>846</v>
      </c>
      <c r="F567" s="119">
        <v>0.443</v>
      </c>
      <c r="G567" s="119">
        <v>0.443</v>
      </c>
      <c r="H567" s="119">
        <v>0.443</v>
      </c>
      <c r="I567" s="119">
        <v>0.443</v>
      </c>
      <c r="J567" s="119">
        <v>0.443</v>
      </c>
    </row>
    <row r="568" spans="1:10" x14ac:dyDescent="0.3">
      <c r="A568" t="s">
        <v>17</v>
      </c>
      <c r="B568" t="s">
        <v>143</v>
      </c>
      <c r="C568" t="s">
        <v>142</v>
      </c>
      <c r="D568" t="s">
        <v>2</v>
      </c>
      <c r="E568" t="s">
        <v>847</v>
      </c>
      <c r="F568" s="119">
        <v>0</v>
      </c>
      <c r="G568" s="119">
        <v>0</v>
      </c>
      <c r="H568" s="119">
        <v>0</v>
      </c>
      <c r="I568" s="119">
        <v>0</v>
      </c>
      <c r="J568" s="119">
        <v>0</v>
      </c>
    </row>
    <row r="569" spans="1:10" x14ac:dyDescent="0.3">
      <c r="A569" t="s">
        <v>17</v>
      </c>
      <c r="B569" t="s">
        <v>141</v>
      </c>
      <c r="C569" t="s">
        <v>140</v>
      </c>
      <c r="D569" t="s">
        <v>2</v>
      </c>
      <c r="E569" t="s">
        <v>848</v>
      </c>
      <c r="F569" s="119">
        <v>12.819000000000001</v>
      </c>
      <c r="G569" s="119">
        <v>12.682</v>
      </c>
      <c r="H569" s="119">
        <v>12.547000000000001</v>
      </c>
      <c r="I569" s="119">
        <v>12.413</v>
      </c>
      <c r="J569" s="119">
        <v>12.28</v>
      </c>
    </row>
    <row r="570" spans="1:10" x14ac:dyDescent="0.3">
      <c r="A570" t="s">
        <v>17</v>
      </c>
      <c r="B570" t="s">
        <v>139</v>
      </c>
      <c r="C570" t="s">
        <v>138</v>
      </c>
      <c r="D570" t="s">
        <v>2</v>
      </c>
      <c r="E570" t="s">
        <v>849</v>
      </c>
      <c r="F570" s="119">
        <v>1.6220000000000001</v>
      </c>
      <c r="G570" s="119">
        <v>1.6220000000000001</v>
      </c>
      <c r="H570" s="119">
        <v>1.6220000000000001</v>
      </c>
      <c r="I570" s="119">
        <v>1.6220000000000001</v>
      </c>
      <c r="J570" s="119">
        <v>1.6220000000000001</v>
      </c>
    </row>
    <row r="571" spans="1:10" x14ac:dyDescent="0.3">
      <c r="A571" t="s">
        <v>17</v>
      </c>
      <c r="B571" t="s">
        <v>137</v>
      </c>
      <c r="C571" t="s">
        <v>136</v>
      </c>
      <c r="D571" t="s">
        <v>2</v>
      </c>
      <c r="E571" t="s">
        <v>835</v>
      </c>
      <c r="F571" s="119">
        <v>28.501000000000001</v>
      </c>
      <c r="G571" s="119">
        <v>26.747</v>
      </c>
      <c r="H571" s="119">
        <v>26.292000000000002</v>
      </c>
      <c r="I571" s="119">
        <v>24.25</v>
      </c>
      <c r="J571" s="119">
        <v>24.167000000000002</v>
      </c>
    </row>
    <row r="572" spans="1:10" x14ac:dyDescent="0.3">
      <c r="A572" t="s">
        <v>17</v>
      </c>
      <c r="B572" t="s">
        <v>135</v>
      </c>
      <c r="C572" t="s">
        <v>134</v>
      </c>
      <c r="D572" t="s">
        <v>2</v>
      </c>
      <c r="E572" t="s">
        <v>840</v>
      </c>
      <c r="F572" s="119">
        <v>2.46</v>
      </c>
      <c r="G572" s="119">
        <v>3.08</v>
      </c>
      <c r="H572" s="119">
        <v>3.0720000000000001</v>
      </c>
      <c r="I572" s="119">
        <v>2.4089999999999998</v>
      </c>
      <c r="J572" s="119">
        <v>2.1709999999999998</v>
      </c>
    </row>
    <row r="573" spans="1:10" x14ac:dyDescent="0.3">
      <c r="A573" t="s">
        <v>17</v>
      </c>
      <c r="B573" t="s">
        <v>133</v>
      </c>
      <c r="C573" t="s">
        <v>132</v>
      </c>
      <c r="D573" t="s">
        <v>2</v>
      </c>
      <c r="E573" t="s">
        <v>845</v>
      </c>
      <c r="F573" s="119">
        <v>45.752000000000002</v>
      </c>
      <c r="G573" s="119">
        <v>54.637</v>
      </c>
      <c r="H573" s="119">
        <v>58.756</v>
      </c>
      <c r="I573" s="119">
        <v>46.281999999999996</v>
      </c>
      <c r="J573" s="119">
        <v>46.984000000000002</v>
      </c>
    </row>
    <row r="574" spans="1:10" x14ac:dyDescent="0.3">
      <c r="A574" t="s">
        <v>17</v>
      </c>
      <c r="B574" t="s">
        <v>131</v>
      </c>
      <c r="C574" t="s">
        <v>130</v>
      </c>
      <c r="D574" t="s">
        <v>2</v>
      </c>
      <c r="E574" t="s">
        <v>850</v>
      </c>
      <c r="F574" s="119">
        <v>95.36</v>
      </c>
      <c r="G574" s="119">
        <v>115.15</v>
      </c>
      <c r="H574" s="119">
        <v>120.084</v>
      </c>
      <c r="I574" s="119">
        <v>113.254</v>
      </c>
      <c r="J574" s="119">
        <v>121.26600000000001</v>
      </c>
    </row>
    <row r="575" spans="1:10" x14ac:dyDescent="0.3">
      <c r="A575" t="s">
        <v>17</v>
      </c>
      <c r="B575" t="s">
        <v>129</v>
      </c>
      <c r="C575" t="s">
        <v>128</v>
      </c>
      <c r="D575" t="s">
        <v>3</v>
      </c>
      <c r="E575" t="s">
        <v>859</v>
      </c>
      <c r="F575" s="119">
        <v>1037273.0990629182</v>
      </c>
      <c r="G575" s="119">
        <v>1047474.4511378846</v>
      </c>
      <c r="H575" s="119">
        <v>1057828.7751004021</v>
      </c>
      <c r="I575" s="119">
        <v>1068338.3868808611</v>
      </c>
      <c r="J575" s="119">
        <v>1079005.4149933043</v>
      </c>
    </row>
    <row r="576" spans="1:10" x14ac:dyDescent="0.3">
      <c r="A576" t="s">
        <v>17</v>
      </c>
      <c r="B576" t="s">
        <v>127</v>
      </c>
      <c r="C576" t="s">
        <v>126</v>
      </c>
      <c r="D576" t="s">
        <v>44</v>
      </c>
      <c r="E576" t="s">
        <v>860</v>
      </c>
      <c r="F576" s="119">
        <v>14942.896551138299</v>
      </c>
      <c r="G576" s="119">
        <v>15033.1834129903</v>
      </c>
      <c r="H576" s="119">
        <v>15129.099786786201</v>
      </c>
      <c r="I576" s="119">
        <v>15217.215672525899</v>
      </c>
      <c r="J576" s="119">
        <v>15383.7868570254</v>
      </c>
    </row>
    <row r="577" spans="1:10" x14ac:dyDescent="0.3">
      <c r="A577" t="s">
        <v>17</v>
      </c>
      <c r="B577" t="s">
        <v>125</v>
      </c>
      <c r="C577" t="s">
        <v>124</v>
      </c>
      <c r="D577" t="s">
        <v>0</v>
      </c>
      <c r="E577" t="s">
        <v>861</v>
      </c>
      <c r="F577" s="119">
        <v>87.06212620529719</v>
      </c>
      <c r="G577" s="119">
        <v>87.533495736906204</v>
      </c>
      <c r="H577" s="119">
        <v>87.499999999999972</v>
      </c>
      <c r="I577" s="119">
        <v>89.05222204395956</v>
      </c>
      <c r="J577" s="119">
        <v>88.907298149195839</v>
      </c>
    </row>
    <row r="578" spans="1:10" x14ac:dyDescent="0.3">
      <c r="A578" t="s">
        <v>17</v>
      </c>
      <c r="B578" t="s">
        <v>123</v>
      </c>
      <c r="C578" t="s">
        <v>122</v>
      </c>
      <c r="D578" t="s">
        <v>3</v>
      </c>
      <c r="E578" t="s">
        <v>862</v>
      </c>
      <c r="F578" s="119">
        <v>4.62270637536108</v>
      </c>
      <c r="G578" s="119">
        <v>4.641676816889972</v>
      </c>
      <c r="H578" s="119">
        <v>4.6403970826580228</v>
      </c>
      <c r="I578" s="119">
        <v>4.7383282528477455</v>
      </c>
      <c r="J578" s="119">
        <v>4.7249050351571977</v>
      </c>
    </row>
    <row r="579" spans="1:10" x14ac:dyDescent="0.3">
      <c r="A579" t="s">
        <v>17</v>
      </c>
      <c r="B579" t="s">
        <v>121</v>
      </c>
      <c r="C579" t="s">
        <v>120</v>
      </c>
      <c r="D579" t="s">
        <v>3</v>
      </c>
      <c r="E579" t="s">
        <v>863</v>
      </c>
      <c r="F579" s="119">
        <v>1.6328828829469004E-2</v>
      </c>
      <c r="G579" s="119">
        <v>1.6230760531342786E-2</v>
      </c>
      <c r="H579" s="119">
        <v>1.6193957568710313E-2</v>
      </c>
      <c r="I579" s="119">
        <v>1.6100185820612251E-2</v>
      </c>
      <c r="J579" s="119">
        <v>1.5925857675811107E-2</v>
      </c>
    </row>
    <row r="580" spans="1:10" x14ac:dyDescent="0.3">
      <c r="A580" t="s">
        <v>18</v>
      </c>
      <c r="B580" t="s">
        <v>187</v>
      </c>
      <c r="C580" t="s">
        <v>186</v>
      </c>
      <c r="D580" t="s">
        <v>2</v>
      </c>
      <c r="E580" t="s">
        <v>865</v>
      </c>
      <c r="F580" s="119">
        <v>6.9520892527402998</v>
      </c>
      <c r="G580" s="119">
        <v>6.9543993590561204</v>
      </c>
      <c r="H580" s="119">
        <v>7.2980334838987204</v>
      </c>
      <c r="I580" s="119">
        <v>7.2963765427521396</v>
      </c>
      <c r="J580" s="119">
        <v>7.2966937984380102</v>
      </c>
    </row>
    <row r="581" spans="1:10" x14ac:dyDescent="0.3">
      <c r="A581" t="s">
        <v>18</v>
      </c>
      <c r="B581" t="s">
        <v>185</v>
      </c>
      <c r="C581" t="s">
        <v>184</v>
      </c>
      <c r="D581" t="s">
        <v>2</v>
      </c>
      <c r="E581" t="s">
        <v>866</v>
      </c>
      <c r="F581" s="119">
        <v>0</v>
      </c>
      <c r="G581" s="119">
        <v>0</v>
      </c>
      <c r="H581" s="119">
        <v>0</v>
      </c>
      <c r="I581" s="119">
        <v>0</v>
      </c>
      <c r="J581" s="119">
        <v>0</v>
      </c>
    </row>
    <row r="582" spans="1:10" x14ac:dyDescent="0.3">
      <c r="A582" t="s">
        <v>18</v>
      </c>
      <c r="B582" t="s">
        <v>183</v>
      </c>
      <c r="C582" t="s">
        <v>182</v>
      </c>
      <c r="D582" t="s">
        <v>2</v>
      </c>
      <c r="E582" t="s">
        <v>867</v>
      </c>
      <c r="F582" s="119">
        <v>1.28735879298814</v>
      </c>
      <c r="G582" s="119">
        <v>2.3589704997205501</v>
      </c>
      <c r="H582" s="119">
        <v>1.5061589040493599</v>
      </c>
      <c r="I582" s="119">
        <v>1.8847339799320399</v>
      </c>
      <c r="J582" s="119">
        <v>2.57268223610594</v>
      </c>
    </row>
    <row r="583" spans="1:10" x14ac:dyDescent="0.3">
      <c r="A583" t="s">
        <v>18</v>
      </c>
      <c r="B583" t="s">
        <v>181</v>
      </c>
      <c r="C583" t="s">
        <v>180</v>
      </c>
      <c r="D583" t="s">
        <v>2</v>
      </c>
      <c r="E583" t="s">
        <v>887</v>
      </c>
      <c r="F583" s="119">
        <v>61.701341695540677</v>
      </c>
      <c r="G583" s="119">
        <v>60.385946847233441</v>
      </c>
      <c r="H583" s="119">
        <v>58.299407876804622</v>
      </c>
      <c r="I583" s="119">
        <v>55.30310875445673</v>
      </c>
      <c r="J583" s="119">
        <v>55.266181470889421</v>
      </c>
    </row>
    <row r="584" spans="1:10" x14ac:dyDescent="0.3">
      <c r="A584" t="s">
        <v>18</v>
      </c>
      <c r="B584" t="s">
        <v>179</v>
      </c>
      <c r="C584" t="s">
        <v>178</v>
      </c>
      <c r="D584" t="s">
        <v>2</v>
      </c>
      <c r="E584" t="s">
        <v>888</v>
      </c>
      <c r="F584" s="119">
        <v>0</v>
      </c>
      <c r="G584" s="119">
        <v>0</v>
      </c>
      <c r="H584" s="119">
        <v>0</v>
      </c>
      <c r="I584" s="119">
        <v>0</v>
      </c>
      <c r="J584" s="119">
        <v>0</v>
      </c>
    </row>
    <row r="585" spans="1:10" x14ac:dyDescent="0.3">
      <c r="A585" t="s">
        <v>18</v>
      </c>
      <c r="B585" t="s">
        <v>177</v>
      </c>
      <c r="C585" t="s">
        <v>176</v>
      </c>
      <c r="D585" t="s">
        <v>2</v>
      </c>
      <c r="E585" t="s">
        <v>889</v>
      </c>
      <c r="F585" s="119">
        <v>12.970267048722363</v>
      </c>
      <c r="G585" s="119">
        <v>16.535200021552718</v>
      </c>
      <c r="H585" s="119">
        <v>17.651554075562274</v>
      </c>
      <c r="I585" s="119">
        <v>15.431005041959803</v>
      </c>
      <c r="J585" s="119">
        <v>13.564589210860772</v>
      </c>
    </row>
    <row r="586" spans="1:10" x14ac:dyDescent="0.3">
      <c r="A586" t="s">
        <v>18</v>
      </c>
      <c r="B586" t="s">
        <v>175</v>
      </c>
      <c r="C586" t="s">
        <v>174</v>
      </c>
      <c r="D586" t="s">
        <v>2</v>
      </c>
      <c r="E586" t="s">
        <v>890</v>
      </c>
      <c r="F586" s="119">
        <v>4.9553427188544426</v>
      </c>
      <c r="G586" s="119">
        <v>6.0292822068378307</v>
      </c>
      <c r="H586" s="119">
        <v>5.520104736009241</v>
      </c>
      <c r="I586" s="119">
        <v>5.8970051958101735</v>
      </c>
      <c r="J586" s="119">
        <v>6.5852883826051105</v>
      </c>
    </row>
    <row r="587" spans="1:10" x14ac:dyDescent="0.3">
      <c r="A587" t="s">
        <v>18</v>
      </c>
      <c r="B587" t="s">
        <v>173</v>
      </c>
      <c r="C587" t="s">
        <v>172</v>
      </c>
      <c r="D587" t="s">
        <v>2</v>
      </c>
      <c r="E587" t="s">
        <v>891</v>
      </c>
      <c r="F587" s="119">
        <v>70.936544214697903</v>
      </c>
      <c r="G587" s="119">
        <v>71.619723040437492</v>
      </c>
      <c r="H587" s="119">
        <v>69.359175724334378</v>
      </c>
      <c r="I587" s="119">
        <v>62.742908654474256</v>
      </c>
      <c r="J587" s="119">
        <v>60.613460602209564</v>
      </c>
    </row>
    <row r="588" spans="1:10" x14ac:dyDescent="0.3">
      <c r="A588" t="s">
        <v>18</v>
      </c>
      <c r="B588" t="s">
        <v>171</v>
      </c>
      <c r="C588" t="s">
        <v>170</v>
      </c>
      <c r="D588" t="s">
        <v>2</v>
      </c>
      <c r="E588" t="s">
        <v>894</v>
      </c>
      <c r="F588" s="119">
        <v>15.804287153792643</v>
      </c>
      <c r="G588" s="119">
        <v>17.675479312216098</v>
      </c>
      <c r="H588" s="119">
        <v>17.758534839019475</v>
      </c>
      <c r="I588" s="119">
        <v>19.152491948889427</v>
      </c>
      <c r="J588" s="119">
        <v>19.734100369482597</v>
      </c>
    </row>
    <row r="589" spans="1:10" x14ac:dyDescent="0.3">
      <c r="A589" t="s">
        <v>18</v>
      </c>
      <c r="B589" t="s">
        <v>169</v>
      </c>
      <c r="C589" t="s">
        <v>168</v>
      </c>
      <c r="D589" t="s">
        <v>2</v>
      </c>
      <c r="E589" t="s">
        <v>892</v>
      </c>
      <c r="F589" s="119">
        <v>81.785488649636108</v>
      </c>
      <c r="G589" s="119">
        <v>83.265920145815755</v>
      </c>
      <c r="H589" s="119">
        <v>81.597605827344609</v>
      </c>
      <c r="I589" s="119">
        <v>75.998395407553517</v>
      </c>
      <c r="J589" s="119">
        <v>73.762272589087047</v>
      </c>
    </row>
    <row r="590" spans="1:10" x14ac:dyDescent="0.3">
      <c r="A590" t="s">
        <v>18</v>
      </c>
      <c r="B590" t="s">
        <v>167</v>
      </c>
      <c r="C590" t="s">
        <v>166</v>
      </c>
      <c r="D590" t="s">
        <v>2</v>
      </c>
      <c r="E590" t="s">
        <v>893</v>
      </c>
      <c r="F590" s="119">
        <v>86.740831368490547</v>
      </c>
      <c r="G590" s="119">
        <v>89.29520235265359</v>
      </c>
      <c r="H590" s="119">
        <v>87.117710563353853</v>
      </c>
      <c r="I590" s="119">
        <v>81.895400603363683</v>
      </c>
      <c r="J590" s="119">
        <v>80.347560971692161</v>
      </c>
    </row>
    <row r="591" spans="1:10" x14ac:dyDescent="0.3">
      <c r="A591" t="s">
        <v>18</v>
      </c>
      <c r="B591" t="s">
        <v>165</v>
      </c>
      <c r="C591" t="s">
        <v>163</v>
      </c>
      <c r="D591" t="s">
        <v>2</v>
      </c>
      <c r="E591" t="s">
        <v>864</v>
      </c>
      <c r="F591" s="119">
        <v>6.2710698512684097E-3</v>
      </c>
      <c r="G591" s="119">
        <v>6.2710698512684097E-3</v>
      </c>
      <c r="H591" s="119">
        <v>6.2710698512684097E-3</v>
      </c>
      <c r="I591" s="119">
        <v>6.2710698512684097E-3</v>
      </c>
      <c r="J591" s="119">
        <v>6.2710698512684097E-3</v>
      </c>
    </row>
    <row r="592" spans="1:10" x14ac:dyDescent="0.3">
      <c r="A592" t="s">
        <v>18</v>
      </c>
      <c r="B592" t="s">
        <v>164</v>
      </c>
      <c r="C592" t="s">
        <v>163</v>
      </c>
      <c r="D592" t="s">
        <v>2</v>
      </c>
      <c r="E592" t="s">
        <v>868</v>
      </c>
      <c r="F592" s="119">
        <v>0</v>
      </c>
      <c r="G592" s="119">
        <v>0</v>
      </c>
      <c r="H592" s="119">
        <v>0</v>
      </c>
      <c r="I592" s="119">
        <v>0</v>
      </c>
      <c r="J592" s="119">
        <v>0</v>
      </c>
    </row>
    <row r="593" spans="1:10" x14ac:dyDescent="0.3">
      <c r="A593" t="s">
        <v>18</v>
      </c>
      <c r="B593" t="s">
        <v>162</v>
      </c>
      <c r="C593" t="s">
        <v>161</v>
      </c>
      <c r="D593" t="s">
        <v>2</v>
      </c>
      <c r="E593" t="s">
        <v>869</v>
      </c>
      <c r="F593" s="119">
        <v>0</v>
      </c>
      <c r="G593" s="119">
        <v>0</v>
      </c>
      <c r="H593" s="119">
        <v>0</v>
      </c>
      <c r="I593" s="119">
        <v>0</v>
      </c>
      <c r="J593" s="119">
        <v>0</v>
      </c>
    </row>
    <row r="594" spans="1:10" x14ac:dyDescent="0.3">
      <c r="A594" t="s">
        <v>18</v>
      </c>
      <c r="B594" t="s">
        <v>160</v>
      </c>
      <c r="C594" t="s">
        <v>159</v>
      </c>
      <c r="D594" t="s">
        <v>2</v>
      </c>
      <c r="E594" t="s">
        <v>870</v>
      </c>
      <c r="F594" s="119">
        <v>0</v>
      </c>
      <c r="G594" s="119">
        <v>0</v>
      </c>
      <c r="H594" s="119">
        <v>0</v>
      </c>
      <c r="I594" s="119">
        <v>0</v>
      </c>
      <c r="J594" s="119">
        <v>0</v>
      </c>
    </row>
    <row r="595" spans="1:10" x14ac:dyDescent="0.3">
      <c r="A595" t="s">
        <v>18</v>
      </c>
      <c r="B595" t="s">
        <v>158</v>
      </c>
      <c r="C595" t="s">
        <v>156</v>
      </c>
      <c r="D595" t="s">
        <v>2</v>
      </c>
      <c r="E595" t="s">
        <v>872</v>
      </c>
      <c r="F595" s="119">
        <v>2.44761853994778E-3</v>
      </c>
      <c r="G595" s="119">
        <v>2.44761853994778E-3</v>
      </c>
      <c r="H595" s="119">
        <v>2.44761853994778E-3</v>
      </c>
      <c r="I595" s="119">
        <v>2.44761853994778E-3</v>
      </c>
      <c r="J595" s="119">
        <v>2.44761853994778E-3</v>
      </c>
    </row>
    <row r="596" spans="1:10" x14ac:dyDescent="0.3">
      <c r="A596" t="s">
        <v>18</v>
      </c>
      <c r="B596" t="s">
        <v>157</v>
      </c>
      <c r="C596" t="s">
        <v>156</v>
      </c>
      <c r="D596" t="s">
        <v>2</v>
      </c>
      <c r="E596" t="s">
        <v>873</v>
      </c>
      <c r="F596" s="119">
        <v>0</v>
      </c>
      <c r="G596" s="119">
        <v>0</v>
      </c>
      <c r="H596" s="119">
        <v>0</v>
      </c>
      <c r="I596" s="119">
        <v>0</v>
      </c>
      <c r="J596" s="119">
        <v>0</v>
      </c>
    </row>
    <row r="597" spans="1:10" x14ac:dyDescent="0.3">
      <c r="A597" t="s">
        <v>18</v>
      </c>
      <c r="B597" t="s">
        <v>155</v>
      </c>
      <c r="C597" t="s">
        <v>154</v>
      </c>
      <c r="D597" t="s">
        <v>2</v>
      </c>
      <c r="E597" t="s">
        <v>874</v>
      </c>
      <c r="F597" s="119">
        <v>1.32297741571903E-2</v>
      </c>
      <c r="G597" s="119">
        <v>1.32297741571903E-2</v>
      </c>
      <c r="H597" s="119">
        <v>1.32297741571903E-2</v>
      </c>
      <c r="I597" s="119">
        <v>1.32297741571903E-2</v>
      </c>
      <c r="J597" s="119">
        <v>1.32297741571903E-2</v>
      </c>
    </row>
    <row r="598" spans="1:10" x14ac:dyDescent="0.3">
      <c r="A598" t="s">
        <v>18</v>
      </c>
      <c r="B598" t="s">
        <v>153</v>
      </c>
      <c r="C598" t="s">
        <v>152</v>
      </c>
      <c r="D598" t="s">
        <v>2</v>
      </c>
      <c r="E598" t="s">
        <v>875</v>
      </c>
      <c r="F598" s="119">
        <v>0</v>
      </c>
      <c r="G598" s="119">
        <v>0</v>
      </c>
      <c r="H598" s="119">
        <v>0</v>
      </c>
      <c r="I598" s="119">
        <v>0</v>
      </c>
      <c r="J598" s="119">
        <v>0</v>
      </c>
    </row>
    <row r="599" spans="1:10" x14ac:dyDescent="0.3">
      <c r="A599" t="s">
        <v>18</v>
      </c>
      <c r="B599" t="s">
        <v>151</v>
      </c>
      <c r="C599" t="s">
        <v>149</v>
      </c>
      <c r="D599" t="s">
        <v>2</v>
      </c>
      <c r="E599" t="s">
        <v>877</v>
      </c>
      <c r="F599" s="119">
        <v>0.54357853523389399</v>
      </c>
      <c r="G599" s="119">
        <v>0.54357853523389399</v>
      </c>
      <c r="H599" s="119">
        <v>0.54357853523389399</v>
      </c>
      <c r="I599" s="119">
        <v>0.54357853523389399</v>
      </c>
      <c r="J599" s="119">
        <v>0.54357853523389399</v>
      </c>
    </row>
    <row r="600" spans="1:10" x14ac:dyDescent="0.3">
      <c r="A600" t="s">
        <v>18</v>
      </c>
      <c r="B600" t="s">
        <v>150</v>
      </c>
      <c r="C600" t="s">
        <v>149</v>
      </c>
      <c r="D600" t="s">
        <v>2</v>
      </c>
      <c r="E600" t="s">
        <v>878</v>
      </c>
      <c r="F600" s="119">
        <v>0</v>
      </c>
      <c r="G600" s="119">
        <v>0</v>
      </c>
      <c r="H600" s="119">
        <v>0</v>
      </c>
      <c r="I600" s="119">
        <v>0</v>
      </c>
      <c r="J600" s="119">
        <v>0</v>
      </c>
    </row>
    <row r="601" spans="1:10" x14ac:dyDescent="0.3">
      <c r="A601" t="s">
        <v>18</v>
      </c>
      <c r="B601" t="s">
        <v>148</v>
      </c>
      <c r="C601" t="s">
        <v>147</v>
      </c>
      <c r="D601" t="s">
        <v>2</v>
      </c>
      <c r="E601" t="s">
        <v>879</v>
      </c>
      <c r="F601" s="119">
        <v>3.7063721138836301</v>
      </c>
      <c r="G601" s="119">
        <v>3.7063721138836301</v>
      </c>
      <c r="H601" s="119">
        <v>3.7063721138836301</v>
      </c>
      <c r="I601" s="119">
        <v>0.14450984079392501</v>
      </c>
      <c r="J601" s="119">
        <v>0.14450984079392501</v>
      </c>
    </row>
    <row r="602" spans="1:10" x14ac:dyDescent="0.3">
      <c r="A602" t="s">
        <v>18</v>
      </c>
      <c r="B602" t="s">
        <v>146</v>
      </c>
      <c r="C602" t="s">
        <v>145</v>
      </c>
      <c r="D602" t="s">
        <v>2</v>
      </c>
      <c r="E602" t="s">
        <v>880</v>
      </c>
      <c r="F602" s="119">
        <v>0</v>
      </c>
      <c r="G602" s="119">
        <v>0</v>
      </c>
      <c r="H602" s="119">
        <v>0</v>
      </c>
      <c r="I602" s="119">
        <v>0</v>
      </c>
      <c r="J602" s="119">
        <v>0</v>
      </c>
    </row>
    <row r="603" spans="1:10" x14ac:dyDescent="0.3">
      <c r="A603" t="s">
        <v>18</v>
      </c>
      <c r="B603" t="s">
        <v>144</v>
      </c>
      <c r="C603" t="s">
        <v>142</v>
      </c>
      <c r="D603" t="s">
        <v>2</v>
      </c>
      <c r="E603" t="s">
        <v>882</v>
      </c>
      <c r="F603" s="119">
        <v>0.85120724472786202</v>
      </c>
      <c r="G603" s="119">
        <v>0.85120724472786202</v>
      </c>
      <c r="H603" s="119">
        <v>0.85120724472786202</v>
      </c>
      <c r="I603" s="119">
        <v>0.85120724472786202</v>
      </c>
      <c r="J603" s="119">
        <v>0.85120724472786202</v>
      </c>
    </row>
    <row r="604" spans="1:10" x14ac:dyDescent="0.3">
      <c r="A604" t="s">
        <v>18</v>
      </c>
      <c r="B604" t="s">
        <v>143</v>
      </c>
      <c r="C604" t="s">
        <v>142</v>
      </c>
      <c r="D604" t="s">
        <v>2</v>
      </c>
      <c r="E604" t="s">
        <v>883</v>
      </c>
      <c r="F604" s="119">
        <v>0</v>
      </c>
      <c r="G604" s="119">
        <v>0</v>
      </c>
      <c r="H604" s="119">
        <v>0</v>
      </c>
      <c r="I604" s="119">
        <v>0</v>
      </c>
      <c r="J604" s="119">
        <v>0</v>
      </c>
    </row>
    <row r="605" spans="1:10" x14ac:dyDescent="0.3">
      <c r="A605" t="s">
        <v>18</v>
      </c>
      <c r="B605" t="s">
        <v>141</v>
      </c>
      <c r="C605" t="s">
        <v>140</v>
      </c>
      <c r="D605" t="s">
        <v>2</v>
      </c>
      <c r="E605" t="s">
        <v>884</v>
      </c>
      <c r="F605" s="119">
        <v>11.8874609177031</v>
      </c>
      <c r="G605" s="119">
        <v>13.7559120986725</v>
      </c>
      <c r="H605" s="119">
        <v>11.602511935855899</v>
      </c>
      <c r="I605" s="119">
        <v>10.4942639314574</v>
      </c>
      <c r="J605" s="119">
        <v>10.1645372524629</v>
      </c>
    </row>
    <row r="606" spans="1:10" x14ac:dyDescent="0.3">
      <c r="A606" t="s">
        <v>18</v>
      </c>
      <c r="B606" t="s">
        <v>139</v>
      </c>
      <c r="C606" t="s">
        <v>138</v>
      </c>
      <c r="D606" t="s">
        <v>2</v>
      </c>
      <c r="E606" t="s">
        <v>885</v>
      </c>
      <c r="F606" s="119">
        <v>0</v>
      </c>
      <c r="G606" s="119">
        <v>0</v>
      </c>
      <c r="H606" s="119">
        <v>0</v>
      </c>
      <c r="I606" s="119">
        <v>0</v>
      </c>
      <c r="J606" s="119">
        <v>0</v>
      </c>
    </row>
    <row r="607" spans="1:10" x14ac:dyDescent="0.3">
      <c r="A607" t="s">
        <v>18</v>
      </c>
      <c r="B607" t="s">
        <v>137</v>
      </c>
      <c r="C607" t="s">
        <v>136</v>
      </c>
      <c r="D607" t="s">
        <v>2</v>
      </c>
      <c r="E607" t="s">
        <v>871</v>
      </c>
      <c r="F607" s="119">
        <v>12.5513367460373</v>
      </c>
      <c r="G607" s="119">
        <v>10.753379892040099</v>
      </c>
      <c r="H607" s="119">
        <v>10.249290795887299</v>
      </c>
      <c r="I607" s="119">
        <v>10.3280301746191</v>
      </c>
      <c r="J607" s="119">
        <v>10.796477900482399</v>
      </c>
    </row>
    <row r="608" spans="1:10" x14ac:dyDescent="0.3">
      <c r="A608" t="s">
        <v>18</v>
      </c>
      <c r="B608" t="s">
        <v>135</v>
      </c>
      <c r="C608" t="s">
        <v>134</v>
      </c>
      <c r="D608" t="s">
        <v>2</v>
      </c>
      <c r="E608" t="s">
        <v>876</v>
      </c>
      <c r="F608" s="119">
        <v>1.41801466506395</v>
      </c>
      <c r="G608" s="119">
        <v>1.7484320006027001</v>
      </c>
      <c r="H608" s="119">
        <v>1.4968284620088801</v>
      </c>
      <c r="I608" s="119">
        <v>1.5006366736011201</v>
      </c>
      <c r="J608" s="119">
        <v>1.5048138734326999</v>
      </c>
    </row>
    <row r="609" spans="1:10" x14ac:dyDescent="0.3">
      <c r="A609" t="s">
        <v>18</v>
      </c>
      <c r="B609" t="s">
        <v>133</v>
      </c>
      <c r="C609" t="s">
        <v>132</v>
      </c>
      <c r="D609" t="s">
        <v>2</v>
      </c>
      <c r="E609" t="s">
        <v>881</v>
      </c>
      <c r="F609" s="119">
        <v>29.639286684505201</v>
      </c>
      <c r="G609" s="119">
        <v>32.8034496714208</v>
      </c>
      <c r="H609" s="119">
        <v>34.6650211428151</v>
      </c>
      <c r="I609" s="119">
        <v>16.465522155181102</v>
      </c>
      <c r="J609" s="119">
        <v>20.249312166037601</v>
      </c>
    </row>
    <row r="610" spans="1:10" x14ac:dyDescent="0.3">
      <c r="A610" t="s">
        <v>18</v>
      </c>
      <c r="B610" t="s">
        <v>131</v>
      </c>
      <c r="C610" t="s">
        <v>130</v>
      </c>
      <c r="D610" t="s">
        <v>2</v>
      </c>
      <c r="E610" t="s">
        <v>886</v>
      </c>
      <c r="F610" s="119">
        <v>69.649485261109305</v>
      </c>
      <c r="G610" s="119">
        <v>70.177232800241697</v>
      </c>
      <c r="H610" s="119">
        <v>69.975386274510598</v>
      </c>
      <c r="I610" s="119">
        <v>65.619154048941894</v>
      </c>
      <c r="J610" s="119">
        <v>64.253979872988793</v>
      </c>
    </row>
    <row r="611" spans="1:10" x14ac:dyDescent="0.3">
      <c r="A611" t="s">
        <v>18</v>
      </c>
      <c r="B611" t="s">
        <v>129</v>
      </c>
      <c r="C611" t="s">
        <v>128</v>
      </c>
      <c r="D611" t="s">
        <v>3</v>
      </c>
      <c r="E611" t="s">
        <v>895</v>
      </c>
      <c r="F611" s="119">
        <v>762857.4651025089</v>
      </c>
      <c r="G611" s="119">
        <v>771295.84427752485</v>
      </c>
      <c r="H611" s="119">
        <v>779349.54073983186</v>
      </c>
      <c r="I611" s="119">
        <v>787170.09956133773</v>
      </c>
      <c r="J611" s="119">
        <v>794791.73704289563</v>
      </c>
    </row>
    <row r="612" spans="1:10" x14ac:dyDescent="0.3">
      <c r="A612" t="s">
        <v>18</v>
      </c>
      <c r="B612" t="s">
        <v>127</v>
      </c>
      <c r="C612" t="s">
        <v>126</v>
      </c>
      <c r="D612" t="s">
        <v>44</v>
      </c>
      <c r="E612" t="s">
        <v>896</v>
      </c>
      <c r="F612" s="119">
        <v>8731.07</v>
      </c>
      <c r="G612" s="119">
        <v>8805.8799999999992</v>
      </c>
      <c r="H612" s="119">
        <v>8878.17</v>
      </c>
      <c r="I612" s="119">
        <v>8948.23</v>
      </c>
      <c r="J612" s="119">
        <v>9016.2000000000007</v>
      </c>
    </row>
    <row r="613" spans="1:10" x14ac:dyDescent="0.3">
      <c r="A613" t="s">
        <v>18</v>
      </c>
      <c r="B613" t="s">
        <v>125</v>
      </c>
      <c r="C613" t="s">
        <v>124</v>
      </c>
      <c r="D613" t="s">
        <v>0</v>
      </c>
      <c r="E613" t="s">
        <v>897</v>
      </c>
      <c r="F613" s="119">
        <v>75.661287691455797</v>
      </c>
      <c r="G613" s="119">
        <v>75.661287691455797</v>
      </c>
      <c r="H613" s="119">
        <v>80.235708666174915</v>
      </c>
      <c r="I613" s="119">
        <v>80.235708666174816</v>
      </c>
      <c r="J613" s="119">
        <v>84.861818013489625</v>
      </c>
    </row>
    <row r="614" spans="1:10" x14ac:dyDescent="0.3">
      <c r="A614" t="s">
        <v>18</v>
      </c>
      <c r="B614" t="s">
        <v>123</v>
      </c>
      <c r="C614" t="s">
        <v>122</v>
      </c>
      <c r="D614" t="s">
        <v>3</v>
      </c>
      <c r="E614" t="s">
        <v>898</v>
      </c>
      <c r="F614" s="119">
        <v>4.8783444760723933</v>
      </c>
      <c r="G614" s="119">
        <v>4.8783444760723942</v>
      </c>
      <c r="H614" s="119">
        <v>4.9698328955667765</v>
      </c>
      <c r="I614" s="119">
        <v>4.9698328955667739</v>
      </c>
      <c r="J614" s="119">
        <v>5.0623550825130703</v>
      </c>
    </row>
    <row r="615" spans="1:10" x14ac:dyDescent="0.3">
      <c r="A615" t="s">
        <v>18</v>
      </c>
      <c r="B615" t="s">
        <v>121</v>
      </c>
      <c r="C615" t="s">
        <v>120</v>
      </c>
      <c r="D615" t="s">
        <v>3</v>
      </c>
      <c r="E615" t="s">
        <v>899</v>
      </c>
      <c r="F615" s="119">
        <v>1.3056818923682894E-2</v>
      </c>
      <c r="G615" s="119">
        <v>1.3059455727309481E-2</v>
      </c>
      <c r="H615" s="119">
        <v>1.317839149284143E-2</v>
      </c>
      <c r="I615" s="119">
        <v>1.3186965466913569E-2</v>
      </c>
      <c r="J615" s="119">
        <v>1.3087553514784498E-2</v>
      </c>
    </row>
    <row r="616" spans="1:10" x14ac:dyDescent="0.3">
      <c r="A616" t="s">
        <v>16</v>
      </c>
      <c r="B616" t="s">
        <v>187</v>
      </c>
      <c r="C616" t="s">
        <v>186</v>
      </c>
      <c r="D616" t="s">
        <v>2</v>
      </c>
      <c r="E616" t="s">
        <v>793</v>
      </c>
      <c r="F616" s="119">
        <v>4.0389999999999997</v>
      </c>
      <c r="G616" s="119">
        <v>3.9609999999999999</v>
      </c>
      <c r="H616" s="119">
        <v>3.887</v>
      </c>
      <c r="I616" s="119">
        <v>3.6960000000000002</v>
      </c>
      <c r="J616" s="119">
        <v>3.5920000000000001</v>
      </c>
    </row>
    <row r="617" spans="1:10" x14ac:dyDescent="0.3">
      <c r="A617" t="s">
        <v>16</v>
      </c>
      <c r="B617" t="s">
        <v>185</v>
      </c>
      <c r="C617" t="s">
        <v>184</v>
      </c>
      <c r="D617" t="s">
        <v>2</v>
      </c>
      <c r="E617" t="s">
        <v>794</v>
      </c>
      <c r="F617" s="119">
        <v>7.0000000000000001E-3</v>
      </c>
      <c r="G617" s="119">
        <v>0.14299999999999999</v>
      </c>
      <c r="H617" s="119">
        <v>7.0000000000000001E-3</v>
      </c>
      <c r="I617" s="119">
        <v>7.0000000000000001E-3</v>
      </c>
      <c r="J617" s="119">
        <v>7.0000000000000001E-3</v>
      </c>
    </row>
    <row r="618" spans="1:10" x14ac:dyDescent="0.3">
      <c r="A618" t="s">
        <v>16</v>
      </c>
      <c r="B618" t="s">
        <v>183</v>
      </c>
      <c r="C618" t="s">
        <v>182</v>
      </c>
      <c r="D618" t="s">
        <v>2</v>
      </c>
      <c r="E618" t="s">
        <v>795</v>
      </c>
      <c r="F618" s="119">
        <v>0.91700000000000004</v>
      </c>
      <c r="G618" s="119">
        <v>0.91700000000000004</v>
      </c>
      <c r="H618" s="119">
        <v>0.87</v>
      </c>
      <c r="I618" s="119">
        <v>0.83599999999999997</v>
      </c>
      <c r="J618" s="119">
        <v>0.86</v>
      </c>
    </row>
    <row r="619" spans="1:10" x14ac:dyDescent="0.3">
      <c r="A619" t="s">
        <v>16</v>
      </c>
      <c r="B619" t="s">
        <v>181</v>
      </c>
      <c r="C619" t="s">
        <v>180</v>
      </c>
      <c r="D619" t="s">
        <v>2</v>
      </c>
      <c r="E619" t="s">
        <v>815</v>
      </c>
      <c r="F619" s="119">
        <v>24.076999999999998</v>
      </c>
      <c r="G619" s="119">
        <v>23.706000000000003</v>
      </c>
      <c r="H619" s="119">
        <v>23.39</v>
      </c>
      <c r="I619" s="119">
        <v>22.707000000000001</v>
      </c>
      <c r="J619" s="119">
        <v>22.202999999999999</v>
      </c>
    </row>
    <row r="620" spans="1:10" x14ac:dyDescent="0.3">
      <c r="A620" t="s">
        <v>16</v>
      </c>
      <c r="B620" t="s">
        <v>179</v>
      </c>
      <c r="C620" t="s">
        <v>178</v>
      </c>
      <c r="D620" t="s">
        <v>2</v>
      </c>
      <c r="E620" t="s">
        <v>816</v>
      </c>
      <c r="F620" s="119">
        <v>6.7469999999999999</v>
      </c>
      <c r="G620" s="119">
        <v>7.1989999999999998</v>
      </c>
      <c r="H620" s="119">
        <v>7.024</v>
      </c>
      <c r="I620" s="119">
        <v>5.9769999999999994</v>
      </c>
      <c r="J620" s="119">
        <v>6.0629999999999997</v>
      </c>
    </row>
    <row r="621" spans="1:10" x14ac:dyDescent="0.3">
      <c r="A621" t="s">
        <v>16</v>
      </c>
      <c r="B621" t="s">
        <v>177</v>
      </c>
      <c r="C621" t="s">
        <v>176</v>
      </c>
      <c r="D621" t="s">
        <v>2</v>
      </c>
      <c r="E621" t="s">
        <v>817</v>
      </c>
      <c r="F621" s="119">
        <v>8.722999999999999</v>
      </c>
      <c r="G621" s="119">
        <v>10.387</v>
      </c>
      <c r="H621" s="119">
        <v>8.9660000000000011</v>
      </c>
      <c r="I621" s="119">
        <v>6.2160000000000002</v>
      </c>
      <c r="J621" s="119">
        <v>5.7249999999999996</v>
      </c>
    </row>
    <row r="622" spans="1:10" x14ac:dyDescent="0.3">
      <c r="A622" t="s">
        <v>16</v>
      </c>
      <c r="B622" t="s">
        <v>175</v>
      </c>
      <c r="C622" t="s">
        <v>174</v>
      </c>
      <c r="D622" t="s">
        <v>2</v>
      </c>
      <c r="E622" t="s">
        <v>818</v>
      </c>
      <c r="F622" s="119">
        <v>3.9039999999999999</v>
      </c>
      <c r="G622" s="119">
        <v>3.9619999999999997</v>
      </c>
      <c r="H622" s="119">
        <v>3.7050000000000001</v>
      </c>
      <c r="I622" s="119">
        <v>3.48</v>
      </c>
      <c r="J622" s="119">
        <v>3.4000000000000004</v>
      </c>
    </row>
    <row r="623" spans="1:10" x14ac:dyDescent="0.3">
      <c r="A623" t="s">
        <v>16</v>
      </c>
      <c r="B623" t="s">
        <v>173</v>
      </c>
      <c r="C623" t="s">
        <v>172</v>
      </c>
      <c r="D623" t="s">
        <v>2</v>
      </c>
      <c r="E623" t="s">
        <v>819</v>
      </c>
      <c r="F623" s="119">
        <v>20.703000000000003</v>
      </c>
      <c r="G623" s="119">
        <v>21.271999999999998</v>
      </c>
      <c r="H623" s="119">
        <v>20.949000000000002</v>
      </c>
      <c r="I623" s="119">
        <v>19.915999999999997</v>
      </c>
      <c r="J623" s="119">
        <v>18.870999999999999</v>
      </c>
    </row>
    <row r="624" spans="1:10" x14ac:dyDescent="0.3">
      <c r="A624" t="s">
        <v>16</v>
      </c>
      <c r="B624" t="s">
        <v>171</v>
      </c>
      <c r="C624" t="s">
        <v>170</v>
      </c>
      <c r="D624" t="s">
        <v>2</v>
      </c>
      <c r="E624" t="s">
        <v>822</v>
      </c>
      <c r="F624" s="119">
        <v>17.737999999999992</v>
      </c>
      <c r="G624" s="119">
        <v>18.725999999999999</v>
      </c>
      <c r="H624" s="119">
        <v>16.847999999999995</v>
      </c>
      <c r="I624" s="119">
        <v>13.161000000000001</v>
      </c>
      <c r="J624" s="119">
        <v>13.232000000000003</v>
      </c>
    </row>
    <row r="625" spans="1:10" x14ac:dyDescent="0.3">
      <c r="A625" t="s">
        <v>16</v>
      </c>
      <c r="B625" t="s">
        <v>169</v>
      </c>
      <c r="C625" t="s">
        <v>168</v>
      </c>
      <c r="D625" t="s">
        <v>2</v>
      </c>
      <c r="E625" t="s">
        <v>820</v>
      </c>
      <c r="F625" s="119">
        <v>34.536999999999992</v>
      </c>
      <c r="G625" s="119">
        <v>36.036000000000001</v>
      </c>
      <c r="H625" s="119">
        <v>34.091999999999999</v>
      </c>
      <c r="I625" s="119">
        <v>29.596999999999998</v>
      </c>
      <c r="J625" s="119">
        <v>28.703000000000003</v>
      </c>
    </row>
    <row r="626" spans="1:10" x14ac:dyDescent="0.3">
      <c r="A626" t="s">
        <v>16</v>
      </c>
      <c r="B626" t="s">
        <v>167</v>
      </c>
      <c r="C626" t="s">
        <v>166</v>
      </c>
      <c r="D626" t="s">
        <v>2</v>
      </c>
      <c r="E626" t="s">
        <v>821</v>
      </c>
      <c r="F626" s="119">
        <v>38.440999999999995</v>
      </c>
      <c r="G626" s="119">
        <v>39.997999999999998</v>
      </c>
      <c r="H626" s="119">
        <v>37.796999999999997</v>
      </c>
      <c r="I626" s="119">
        <v>33.076999999999998</v>
      </c>
      <c r="J626" s="119">
        <v>32.103000000000002</v>
      </c>
    </row>
    <row r="627" spans="1:10" x14ac:dyDescent="0.3">
      <c r="A627" t="s">
        <v>16</v>
      </c>
      <c r="B627" t="s">
        <v>165</v>
      </c>
      <c r="C627" t="s">
        <v>163</v>
      </c>
      <c r="D627" t="s">
        <v>2</v>
      </c>
      <c r="E627" t="s">
        <v>792</v>
      </c>
      <c r="F627" s="119">
        <v>0</v>
      </c>
      <c r="G627" s="119">
        <v>0</v>
      </c>
      <c r="H627" s="119">
        <v>0</v>
      </c>
      <c r="I627" s="119">
        <v>0</v>
      </c>
      <c r="J627" s="119">
        <v>0</v>
      </c>
    </row>
    <row r="628" spans="1:10" x14ac:dyDescent="0.3">
      <c r="A628" t="s">
        <v>16</v>
      </c>
      <c r="B628" t="s">
        <v>164</v>
      </c>
      <c r="C628" t="s">
        <v>163</v>
      </c>
      <c r="D628" t="s">
        <v>2</v>
      </c>
      <c r="E628" t="s">
        <v>796</v>
      </c>
      <c r="F628" s="119">
        <v>0</v>
      </c>
      <c r="G628" s="119">
        <v>0</v>
      </c>
      <c r="H628" s="119">
        <v>0</v>
      </c>
      <c r="I628" s="119">
        <v>0</v>
      </c>
      <c r="J628" s="119">
        <v>0</v>
      </c>
    </row>
    <row r="629" spans="1:10" x14ac:dyDescent="0.3">
      <c r="A629" t="s">
        <v>16</v>
      </c>
      <c r="B629" t="s">
        <v>162</v>
      </c>
      <c r="C629" t="s">
        <v>161</v>
      </c>
      <c r="D629" t="s">
        <v>2</v>
      </c>
      <c r="E629" t="s">
        <v>797</v>
      </c>
      <c r="F629" s="119">
        <v>0</v>
      </c>
      <c r="G629" s="119">
        <v>0</v>
      </c>
      <c r="H629" s="119">
        <v>0</v>
      </c>
      <c r="I629" s="119">
        <v>0</v>
      </c>
      <c r="J629" s="119">
        <v>0</v>
      </c>
    </row>
    <row r="630" spans="1:10" x14ac:dyDescent="0.3">
      <c r="A630" t="s">
        <v>16</v>
      </c>
      <c r="B630" t="s">
        <v>160</v>
      </c>
      <c r="C630" t="s">
        <v>159</v>
      </c>
      <c r="D630" t="s">
        <v>2</v>
      </c>
      <c r="E630" t="s">
        <v>798</v>
      </c>
      <c r="F630" s="119">
        <v>0</v>
      </c>
      <c r="G630" s="119">
        <v>0</v>
      </c>
      <c r="H630" s="119">
        <v>0</v>
      </c>
      <c r="I630" s="119">
        <v>0</v>
      </c>
      <c r="J630" s="119">
        <v>0</v>
      </c>
    </row>
    <row r="631" spans="1:10" x14ac:dyDescent="0.3">
      <c r="A631" t="s">
        <v>16</v>
      </c>
      <c r="B631" t="s">
        <v>158</v>
      </c>
      <c r="C631" t="s">
        <v>156</v>
      </c>
      <c r="D631" t="s">
        <v>2</v>
      </c>
      <c r="E631" t="s">
        <v>800</v>
      </c>
      <c r="F631" s="119">
        <v>0</v>
      </c>
      <c r="G631" s="119">
        <v>0</v>
      </c>
      <c r="H631" s="119">
        <v>0</v>
      </c>
      <c r="I631" s="119">
        <v>0</v>
      </c>
      <c r="J631" s="119">
        <v>0</v>
      </c>
    </row>
    <row r="632" spans="1:10" x14ac:dyDescent="0.3">
      <c r="A632" t="s">
        <v>16</v>
      </c>
      <c r="B632" t="s">
        <v>157</v>
      </c>
      <c r="C632" t="s">
        <v>156</v>
      </c>
      <c r="D632" t="s">
        <v>2</v>
      </c>
      <c r="E632" t="s">
        <v>801</v>
      </c>
      <c r="F632" s="119">
        <v>0</v>
      </c>
      <c r="G632" s="119">
        <v>0</v>
      </c>
      <c r="H632" s="119">
        <v>0</v>
      </c>
      <c r="I632" s="119">
        <v>0</v>
      </c>
      <c r="J632" s="119">
        <v>0</v>
      </c>
    </row>
    <row r="633" spans="1:10" x14ac:dyDescent="0.3">
      <c r="A633" t="s">
        <v>16</v>
      </c>
      <c r="B633" t="s">
        <v>155</v>
      </c>
      <c r="C633" t="s">
        <v>154</v>
      </c>
      <c r="D633" t="s">
        <v>2</v>
      </c>
      <c r="E633" t="s">
        <v>802</v>
      </c>
      <c r="F633" s="119">
        <v>0</v>
      </c>
      <c r="G633" s="119">
        <v>0</v>
      </c>
      <c r="H633" s="119">
        <v>0</v>
      </c>
      <c r="I633" s="119">
        <v>0</v>
      </c>
      <c r="J633" s="119">
        <v>0</v>
      </c>
    </row>
    <row r="634" spans="1:10" x14ac:dyDescent="0.3">
      <c r="A634" t="s">
        <v>16</v>
      </c>
      <c r="B634" t="s">
        <v>153</v>
      </c>
      <c r="C634" t="s">
        <v>152</v>
      </c>
      <c r="D634" t="s">
        <v>2</v>
      </c>
      <c r="E634" t="s">
        <v>803</v>
      </c>
      <c r="F634" s="119">
        <v>0</v>
      </c>
      <c r="G634" s="119">
        <v>0</v>
      </c>
      <c r="H634" s="119">
        <v>0</v>
      </c>
      <c r="I634" s="119">
        <v>0</v>
      </c>
      <c r="J634" s="119">
        <v>0</v>
      </c>
    </row>
    <row r="635" spans="1:10" x14ac:dyDescent="0.3">
      <c r="A635" t="s">
        <v>16</v>
      </c>
      <c r="B635" t="s">
        <v>151</v>
      </c>
      <c r="C635" t="s">
        <v>149</v>
      </c>
      <c r="D635" t="s">
        <v>2</v>
      </c>
      <c r="E635" t="s">
        <v>805</v>
      </c>
      <c r="F635" s="119">
        <v>0</v>
      </c>
      <c r="G635" s="119">
        <v>0</v>
      </c>
      <c r="H635" s="119">
        <v>0</v>
      </c>
      <c r="I635" s="119">
        <v>0</v>
      </c>
      <c r="J635" s="119">
        <v>0</v>
      </c>
    </row>
    <row r="636" spans="1:10" x14ac:dyDescent="0.3">
      <c r="A636" t="s">
        <v>16</v>
      </c>
      <c r="B636" t="s">
        <v>150</v>
      </c>
      <c r="C636" t="s">
        <v>149</v>
      </c>
      <c r="D636" t="s">
        <v>2</v>
      </c>
      <c r="E636" t="s">
        <v>806</v>
      </c>
      <c r="F636" s="119">
        <v>0</v>
      </c>
      <c r="G636" s="119">
        <v>0</v>
      </c>
      <c r="H636" s="119">
        <v>0</v>
      </c>
      <c r="I636" s="119">
        <v>0</v>
      </c>
      <c r="J636" s="119">
        <v>0</v>
      </c>
    </row>
    <row r="637" spans="1:10" x14ac:dyDescent="0.3">
      <c r="A637" t="s">
        <v>16</v>
      </c>
      <c r="B637" t="s">
        <v>148</v>
      </c>
      <c r="C637" t="s">
        <v>147</v>
      </c>
      <c r="D637" t="s">
        <v>2</v>
      </c>
      <c r="E637" t="s">
        <v>807</v>
      </c>
      <c r="F637" s="119">
        <v>0</v>
      </c>
      <c r="G637" s="119">
        <v>0</v>
      </c>
      <c r="H637" s="119">
        <v>0</v>
      </c>
      <c r="I637" s="119">
        <v>0</v>
      </c>
      <c r="J637" s="119">
        <v>0</v>
      </c>
    </row>
    <row r="638" spans="1:10" x14ac:dyDescent="0.3">
      <c r="A638" t="s">
        <v>16</v>
      </c>
      <c r="B638" t="s">
        <v>146</v>
      </c>
      <c r="C638" t="s">
        <v>145</v>
      </c>
      <c r="D638" t="s">
        <v>2</v>
      </c>
      <c r="E638" t="s">
        <v>808</v>
      </c>
      <c r="F638" s="119">
        <v>0</v>
      </c>
      <c r="G638" s="119">
        <v>0</v>
      </c>
      <c r="H638" s="119">
        <v>0</v>
      </c>
      <c r="I638" s="119">
        <v>0</v>
      </c>
      <c r="J638" s="119">
        <v>0</v>
      </c>
    </row>
    <row r="639" spans="1:10" x14ac:dyDescent="0.3">
      <c r="A639" t="s">
        <v>16</v>
      </c>
      <c r="B639" t="s">
        <v>144</v>
      </c>
      <c r="C639" t="s">
        <v>142</v>
      </c>
      <c r="D639" t="s">
        <v>2</v>
      </c>
      <c r="E639" t="s">
        <v>810</v>
      </c>
      <c r="F639" s="119">
        <v>1.738</v>
      </c>
      <c r="G639" s="119">
        <v>1.766</v>
      </c>
      <c r="H639" s="119">
        <v>1.827</v>
      </c>
      <c r="I639" s="119">
        <v>1.88</v>
      </c>
      <c r="J639" s="119">
        <v>1.875</v>
      </c>
    </row>
    <row r="640" spans="1:10" x14ac:dyDescent="0.3">
      <c r="A640" t="s">
        <v>16</v>
      </c>
      <c r="B640" t="s">
        <v>143</v>
      </c>
      <c r="C640" t="s">
        <v>142</v>
      </c>
      <c r="D640" t="s">
        <v>2</v>
      </c>
      <c r="E640" t="s">
        <v>811</v>
      </c>
      <c r="F640" s="119">
        <v>0.2</v>
      </c>
      <c r="G640" s="119">
        <v>0.2</v>
      </c>
      <c r="H640" s="119">
        <v>0.2</v>
      </c>
      <c r="I640" s="119">
        <v>0.2</v>
      </c>
      <c r="J640" s="119">
        <v>0.2</v>
      </c>
    </row>
    <row r="641" spans="1:10" x14ac:dyDescent="0.3">
      <c r="A641" t="s">
        <v>16</v>
      </c>
      <c r="B641" t="s">
        <v>141</v>
      </c>
      <c r="C641" t="s">
        <v>140</v>
      </c>
      <c r="D641" t="s">
        <v>2</v>
      </c>
      <c r="E641" t="s">
        <v>812</v>
      </c>
      <c r="F641" s="119">
        <v>1.181</v>
      </c>
      <c r="G641" s="119">
        <v>1.2649999999999999</v>
      </c>
      <c r="H641" s="119">
        <v>1.198</v>
      </c>
      <c r="I641" s="119">
        <v>1.2090000000000001</v>
      </c>
      <c r="J641" s="119">
        <v>1.097</v>
      </c>
    </row>
    <row r="642" spans="1:10" x14ac:dyDescent="0.3">
      <c r="A642" t="s">
        <v>16</v>
      </c>
      <c r="B642" t="s">
        <v>139</v>
      </c>
      <c r="C642" t="s">
        <v>138</v>
      </c>
      <c r="D642" t="s">
        <v>2</v>
      </c>
      <c r="E642" t="s">
        <v>813</v>
      </c>
      <c r="F642" s="119">
        <v>0</v>
      </c>
      <c r="G642" s="119">
        <v>0</v>
      </c>
      <c r="H642" s="119">
        <v>0</v>
      </c>
      <c r="I642" s="119">
        <v>0</v>
      </c>
      <c r="J642" s="119">
        <v>0</v>
      </c>
    </row>
    <row r="643" spans="1:10" x14ac:dyDescent="0.3">
      <c r="A643" t="s">
        <v>16</v>
      </c>
      <c r="B643" t="s">
        <v>137</v>
      </c>
      <c r="C643" t="s">
        <v>136</v>
      </c>
      <c r="D643" t="s">
        <v>2</v>
      </c>
      <c r="E643" t="s">
        <v>799</v>
      </c>
      <c r="F643" s="119">
        <v>4.9630000000000001</v>
      </c>
      <c r="G643" s="119">
        <v>5.0209999999999999</v>
      </c>
      <c r="H643" s="119">
        <v>4.7640000000000002</v>
      </c>
      <c r="I643" s="119">
        <v>4.5389999999999997</v>
      </c>
      <c r="J643" s="119">
        <v>4.4589999999999996</v>
      </c>
    </row>
    <row r="644" spans="1:10" x14ac:dyDescent="0.3">
      <c r="A644" t="s">
        <v>16</v>
      </c>
      <c r="B644" t="s">
        <v>135</v>
      </c>
      <c r="C644" t="s">
        <v>134</v>
      </c>
      <c r="D644" t="s">
        <v>2</v>
      </c>
      <c r="E644" t="s">
        <v>804</v>
      </c>
      <c r="F644" s="119">
        <v>0.79800000000000004</v>
      </c>
      <c r="G644" s="119">
        <v>0.79300000000000004</v>
      </c>
      <c r="H644" s="119">
        <v>0.84299999999999997</v>
      </c>
      <c r="I644" s="119">
        <v>0.75700000000000001</v>
      </c>
      <c r="J644" s="119">
        <v>0.71199999999999997</v>
      </c>
    </row>
    <row r="645" spans="1:10" x14ac:dyDescent="0.3">
      <c r="A645" t="s">
        <v>16</v>
      </c>
      <c r="B645" t="s">
        <v>133</v>
      </c>
      <c r="C645" t="s">
        <v>132</v>
      </c>
      <c r="D645" t="s">
        <v>2</v>
      </c>
      <c r="E645" t="s">
        <v>809</v>
      </c>
      <c r="F645" s="119">
        <v>16.974</v>
      </c>
      <c r="G645" s="119">
        <v>17.898</v>
      </c>
      <c r="H645" s="119">
        <v>14.653</v>
      </c>
      <c r="I645" s="119">
        <v>11.24</v>
      </c>
      <c r="J645" s="119">
        <v>11.427</v>
      </c>
    </row>
    <row r="646" spans="1:10" x14ac:dyDescent="0.3">
      <c r="A646" t="s">
        <v>16</v>
      </c>
      <c r="B646" t="s">
        <v>131</v>
      </c>
      <c r="C646" t="s">
        <v>130</v>
      </c>
      <c r="D646" t="s">
        <v>2</v>
      </c>
      <c r="E646" t="s">
        <v>814</v>
      </c>
      <c r="F646" s="119">
        <v>30.042000000000002</v>
      </c>
      <c r="G646" s="119">
        <v>33.832000000000001</v>
      </c>
      <c r="H646" s="119">
        <v>31.870999999999999</v>
      </c>
      <c r="I646" s="119">
        <v>29.835000000000001</v>
      </c>
      <c r="J646" s="119">
        <v>28.748000000000001</v>
      </c>
    </row>
    <row r="647" spans="1:10" x14ac:dyDescent="0.3">
      <c r="A647" t="s">
        <v>16</v>
      </c>
      <c r="B647" t="s">
        <v>129</v>
      </c>
      <c r="C647" t="s">
        <v>128</v>
      </c>
      <c r="D647" t="s">
        <v>3</v>
      </c>
      <c r="E647" t="s">
        <v>823</v>
      </c>
      <c r="F647" s="119">
        <v>299073.99999999994</v>
      </c>
      <c r="G647" s="119">
        <v>301150.49999999994</v>
      </c>
      <c r="H647" s="119">
        <v>303337.5</v>
      </c>
      <c r="I647" s="119">
        <v>305583.49999999994</v>
      </c>
      <c r="J647" s="119">
        <v>308044.5</v>
      </c>
    </row>
    <row r="648" spans="1:10" x14ac:dyDescent="0.3">
      <c r="A648" t="s">
        <v>16</v>
      </c>
      <c r="B648" t="s">
        <v>127</v>
      </c>
      <c r="C648" t="s">
        <v>126</v>
      </c>
      <c r="D648" t="s">
        <v>44</v>
      </c>
      <c r="E648" t="s">
        <v>824</v>
      </c>
      <c r="F648" s="119">
        <v>3514</v>
      </c>
      <c r="G648" s="119">
        <v>3521</v>
      </c>
      <c r="H648" s="119">
        <v>3531</v>
      </c>
      <c r="I648" s="119">
        <v>3539</v>
      </c>
      <c r="J648" s="119">
        <v>3547</v>
      </c>
    </row>
    <row r="649" spans="1:10" x14ac:dyDescent="0.3">
      <c r="A649" t="s">
        <v>16</v>
      </c>
      <c r="B649" t="s">
        <v>125</v>
      </c>
      <c r="C649" t="s">
        <v>124</v>
      </c>
      <c r="D649" t="s">
        <v>0</v>
      </c>
      <c r="E649" t="s">
        <v>825</v>
      </c>
      <c r="F649" s="119">
        <v>100</v>
      </c>
      <c r="G649" s="119">
        <v>100</v>
      </c>
      <c r="H649" s="119">
        <v>100</v>
      </c>
      <c r="I649" s="119">
        <v>100</v>
      </c>
      <c r="J649" s="119">
        <v>100.00000000000003</v>
      </c>
    </row>
    <row r="650" spans="1:10" x14ac:dyDescent="0.3">
      <c r="A650" t="s">
        <v>16</v>
      </c>
      <c r="B650" t="s">
        <v>123</v>
      </c>
      <c r="C650" t="s">
        <v>122</v>
      </c>
      <c r="D650" t="s">
        <v>3</v>
      </c>
      <c r="E650" t="s">
        <v>826</v>
      </c>
      <c r="F650" s="119">
        <v>5.082984744094488</v>
      </c>
      <c r="G650" s="119">
        <v>5.082944143470951</v>
      </c>
      <c r="H650" s="119">
        <v>5.0829815386554085</v>
      </c>
      <c r="I650" s="119">
        <v>5.0829563555272381</v>
      </c>
      <c r="J650" s="119">
        <v>5.0829843437922815</v>
      </c>
    </row>
    <row r="651" spans="1:10" x14ac:dyDescent="0.3">
      <c r="A651" t="s">
        <v>16</v>
      </c>
      <c r="B651" t="s">
        <v>121</v>
      </c>
      <c r="C651" t="s">
        <v>120</v>
      </c>
      <c r="D651" t="s">
        <v>3</v>
      </c>
      <c r="E651" t="s">
        <v>827</v>
      </c>
      <c r="F651" s="119">
        <v>9.6755833807626642E-3</v>
      </c>
      <c r="G651" s="119">
        <v>9.6563476285146266E-3</v>
      </c>
      <c r="H651" s="119">
        <v>9.6290002832058914E-3</v>
      </c>
      <c r="I651" s="119">
        <v>9.6072336818310254E-3</v>
      </c>
      <c r="J651" s="119">
        <v>9.5855652664223294E-3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5"/>
  <sheetViews>
    <sheetView showGridLines="0" zoomScale="90" zoomScaleNormal="90" workbookViewId="0">
      <pane xSplit="3" ySplit="5" topLeftCell="D6" activePane="bottomRight" state="frozen"/>
      <selection pane="topRight" activeCell="D1" sqref="D1"/>
      <selection pane="bottomLeft" activeCell="A6" sqref="A6"/>
      <selection pane="bottomRight"/>
    </sheetView>
  </sheetViews>
  <sheetFormatPr defaultColWidth="9" defaultRowHeight="12.5" x14ac:dyDescent="0.25"/>
  <cols>
    <col min="1" max="3" width="9" style="81"/>
    <col min="4" max="4" width="13.08203125" style="81" customWidth="1"/>
    <col min="5" max="5" width="14.08203125" style="81" customWidth="1"/>
    <col min="6" max="6" width="13" style="81" customWidth="1"/>
    <col min="7" max="7" width="13.08203125" style="81" customWidth="1"/>
    <col min="8" max="8" width="12.58203125" style="81" customWidth="1"/>
    <col min="9" max="10" width="10.58203125" style="81" customWidth="1"/>
    <col min="11" max="11" width="11.5" style="81" customWidth="1"/>
    <col min="12" max="12" width="12.5" style="81" customWidth="1"/>
    <col min="13" max="13" width="11.58203125" style="81" customWidth="1"/>
    <col min="14" max="14" width="11.08203125" style="81" customWidth="1"/>
    <col min="15" max="15" width="12.08203125" style="81" customWidth="1"/>
    <col min="16" max="16" width="11.5" style="81" customWidth="1"/>
    <col min="17" max="16384" width="9" style="81"/>
  </cols>
  <sheetData>
    <row r="1" spans="1:16" ht="13" x14ac:dyDescent="0.3">
      <c r="A1" s="18"/>
      <c r="D1" s="82" t="s">
        <v>56</v>
      </c>
      <c r="E1" s="82"/>
      <c r="F1" s="82"/>
      <c r="G1" s="82"/>
      <c r="H1" s="82"/>
      <c r="I1" s="52"/>
      <c r="J1" s="52"/>
      <c r="K1" s="82" t="s">
        <v>55</v>
      </c>
      <c r="L1" s="82"/>
      <c r="M1" s="82"/>
      <c r="N1" s="82"/>
      <c r="O1" s="82"/>
      <c r="P1" s="82"/>
    </row>
    <row r="2" spans="1:16" ht="13" x14ac:dyDescent="0.25">
      <c r="A2" s="83"/>
      <c r="B2" s="83"/>
      <c r="C2" s="83"/>
      <c r="D2" s="84"/>
      <c r="E2" s="84"/>
      <c r="F2" s="84"/>
      <c r="G2" s="84"/>
      <c r="H2" s="84"/>
      <c r="I2" s="84"/>
      <c r="J2" s="84"/>
      <c r="K2" s="83"/>
      <c r="L2" s="83"/>
      <c r="M2" s="83"/>
      <c r="N2" s="83"/>
      <c r="O2" s="83"/>
      <c r="P2" s="83"/>
    </row>
    <row r="3" spans="1:16" ht="26" x14ac:dyDescent="0.25">
      <c r="A3" s="83"/>
      <c r="B3" s="83"/>
      <c r="C3" s="85"/>
      <c r="D3" s="84"/>
      <c r="E3" s="84"/>
      <c r="F3" s="84"/>
      <c r="G3" s="84"/>
      <c r="H3" s="84"/>
      <c r="I3" s="84"/>
      <c r="J3" s="84"/>
      <c r="K3" s="83" t="s">
        <v>129</v>
      </c>
      <c r="L3" s="83" t="s">
        <v>127</v>
      </c>
      <c r="M3" s="83" t="s">
        <v>125</v>
      </c>
      <c r="N3" s="83" t="s">
        <v>123</v>
      </c>
      <c r="O3" s="83" t="s">
        <v>121</v>
      </c>
      <c r="P3" s="83" t="s">
        <v>188</v>
      </c>
    </row>
    <row r="4" spans="1:16" ht="65" x14ac:dyDescent="0.25">
      <c r="A4" s="83"/>
      <c r="B4" s="83"/>
      <c r="C4" s="85"/>
      <c r="D4" s="30" t="s">
        <v>52</v>
      </c>
      <c r="E4" s="30" t="s">
        <v>46</v>
      </c>
      <c r="F4" s="86" t="s">
        <v>47</v>
      </c>
      <c r="G4" s="86" t="s">
        <v>76</v>
      </c>
      <c r="H4" s="86" t="s">
        <v>48</v>
      </c>
      <c r="I4" s="30" t="s">
        <v>49</v>
      </c>
      <c r="J4" s="30" t="s">
        <v>50</v>
      </c>
      <c r="K4" s="83" t="s">
        <v>41</v>
      </c>
      <c r="L4" s="83" t="s">
        <v>42</v>
      </c>
      <c r="M4" s="83" t="s">
        <v>37</v>
      </c>
      <c r="N4" s="83" t="s">
        <v>73</v>
      </c>
      <c r="O4" s="83" t="s">
        <v>59</v>
      </c>
      <c r="P4" s="83" t="s">
        <v>43</v>
      </c>
    </row>
    <row r="5" spans="1:16" ht="13" x14ac:dyDescent="0.25">
      <c r="A5" s="83" t="s">
        <v>20</v>
      </c>
      <c r="B5" s="83" t="s">
        <v>97</v>
      </c>
      <c r="C5" s="83" t="s">
        <v>103</v>
      </c>
      <c r="D5" s="84" t="s">
        <v>51</v>
      </c>
      <c r="E5" s="84" t="s">
        <v>51</v>
      </c>
      <c r="F5" s="84" t="s">
        <v>60</v>
      </c>
      <c r="G5" s="84" t="s">
        <v>51</v>
      </c>
      <c r="H5" s="84" t="s">
        <v>51</v>
      </c>
      <c r="I5" s="84" t="s">
        <v>51</v>
      </c>
      <c r="J5" s="84" t="s">
        <v>51</v>
      </c>
      <c r="K5" s="83" t="s">
        <v>1</v>
      </c>
      <c r="L5" s="83" t="s">
        <v>44</v>
      </c>
      <c r="M5" s="83" t="s">
        <v>60</v>
      </c>
      <c r="N5" s="83" t="s">
        <v>58</v>
      </c>
      <c r="O5" s="83" t="s">
        <v>45</v>
      </c>
      <c r="P5" s="83" t="s">
        <v>32</v>
      </c>
    </row>
    <row r="6" spans="1:16" ht="13" x14ac:dyDescent="0.25">
      <c r="A6" s="14" t="s">
        <v>4</v>
      </c>
      <c r="B6" s="14">
        <v>2021</v>
      </c>
      <c r="C6" s="14" t="str">
        <f>A6&amp;RIGHT(B6,2)</f>
        <v>ANH21</v>
      </c>
      <c r="D6" s="87">
        <f>LN(K6)</f>
        <v>14.62913610748028</v>
      </c>
      <c r="E6" s="87">
        <f>LN(L6)</f>
        <v>10.585279003666756</v>
      </c>
      <c r="F6" s="88">
        <f>M6</f>
        <v>79.832669250716037</v>
      </c>
      <c r="G6" s="88">
        <f>LN(N6)</f>
        <v>1.6137977869215052</v>
      </c>
      <c r="H6" s="88">
        <f>LN(O6)</f>
        <v>-4.4513597203170594</v>
      </c>
      <c r="I6" s="88">
        <f>LN(P6)</f>
        <v>6.5583934647541655</v>
      </c>
      <c r="J6" s="88">
        <f>(LN(P6))^2</f>
        <v>43.012524838530148</v>
      </c>
      <c r="K6" s="89">
        <v>2256072.6801964389</v>
      </c>
      <c r="L6" s="89">
        <v>39548.340139958338</v>
      </c>
      <c r="M6" s="90">
        <v>79.832669250716037</v>
      </c>
      <c r="N6" s="90">
        <v>5.0218469628384792</v>
      </c>
      <c r="O6" s="91">
        <v>1.166269817661722E-2</v>
      </c>
      <c r="P6" s="92">
        <v>705.13795516488506</v>
      </c>
    </row>
    <row r="7" spans="1:16" ht="13" x14ac:dyDescent="0.25">
      <c r="A7" s="14" t="s">
        <v>4</v>
      </c>
      <c r="B7" s="14">
        <v>2022</v>
      </c>
      <c r="C7" s="14" t="str">
        <f t="shared" ref="C7:C70" si="0">A7&amp;RIGHT(B7,2)</f>
        <v>ANH22</v>
      </c>
      <c r="D7" s="87">
        <f t="shared" ref="D7:D70" si="1">LN(K7)</f>
        <v>14.636844240098931</v>
      </c>
      <c r="E7" s="87">
        <f t="shared" ref="E7:E70" si="2">LN(L7)</f>
        <v>10.589988464182754</v>
      </c>
      <c r="F7" s="88">
        <f t="shared" ref="F7:F70" si="3">M7</f>
        <v>79.833227589957389</v>
      </c>
      <c r="G7" s="88">
        <f t="shared" ref="G7:G70" si="4">LN(N7)</f>
        <v>1.6138043287684511</v>
      </c>
      <c r="H7" s="88">
        <f t="shared" ref="H7:H70" si="5">LN(O7)</f>
        <v>-4.4470809469769481</v>
      </c>
      <c r="I7" s="88">
        <f t="shared" ref="I7:I70" si="6">LN(P7)</f>
        <v>6.5636138822706389</v>
      </c>
      <c r="J7" s="88">
        <f t="shared" ref="J7:J70" si="7">(LN(P7))^2</f>
        <v>43.081027195535846</v>
      </c>
      <c r="K7" s="89">
        <v>2273529.9827786069</v>
      </c>
      <c r="L7" s="89">
        <v>39735.030747291668</v>
      </c>
      <c r="M7" s="90">
        <v>79.833227589957389</v>
      </c>
      <c r="N7" s="90">
        <v>5.0218798151001529</v>
      </c>
      <c r="O7" s="91">
        <v>1.171270713084259E-2</v>
      </c>
      <c r="P7" s="92">
        <v>708.82869491688314</v>
      </c>
    </row>
    <row r="8" spans="1:16" ht="13" x14ac:dyDescent="0.25">
      <c r="A8" s="14" t="s">
        <v>4</v>
      </c>
      <c r="B8" s="14">
        <v>2023</v>
      </c>
      <c r="C8" s="14" t="str">
        <f t="shared" si="0"/>
        <v>ANH23</v>
      </c>
      <c r="D8" s="87">
        <f t="shared" si="1"/>
        <v>14.64565383671636</v>
      </c>
      <c r="E8" s="87">
        <f t="shared" si="2"/>
        <v>10.5943877443723</v>
      </c>
      <c r="F8" s="88">
        <f t="shared" si="3"/>
        <v>80.235888948502719</v>
      </c>
      <c r="G8" s="88">
        <f t="shared" si="4"/>
        <v>1.6183732926552212</v>
      </c>
      <c r="H8" s="88">
        <f t="shared" si="5"/>
        <v>-4.4428575162546675</v>
      </c>
      <c r="I8" s="88">
        <f t="shared" si="6"/>
        <v>6.5689476042815311</v>
      </c>
      <c r="J8" s="88">
        <f t="shared" si="7"/>
        <v>43.151072627796069</v>
      </c>
      <c r="K8" s="89">
        <v>2293647.3476520889</v>
      </c>
      <c r="L8" s="89">
        <v>39910.221354624999</v>
      </c>
      <c r="M8" s="90">
        <v>80.235888948502719</v>
      </c>
      <c r="N8" s="90">
        <v>5.0448770994934842</v>
      </c>
      <c r="O8" s="91">
        <v>1.1762279547126256E-2</v>
      </c>
      <c r="P8" s="92">
        <v>712.61949066738464</v>
      </c>
    </row>
    <row r="9" spans="1:16" ht="13" x14ac:dyDescent="0.25">
      <c r="A9" s="14" t="s">
        <v>4</v>
      </c>
      <c r="B9" s="14">
        <v>2024</v>
      </c>
      <c r="C9" s="14" t="str">
        <f t="shared" si="0"/>
        <v>ANH24</v>
      </c>
      <c r="D9" s="87">
        <f t="shared" si="1"/>
        <v>14.6540312551724</v>
      </c>
      <c r="E9" s="87">
        <f t="shared" si="2"/>
        <v>10.598917424820748</v>
      </c>
      <c r="F9" s="88">
        <f t="shared" si="3"/>
        <v>80.235412199461649</v>
      </c>
      <c r="G9" s="88">
        <f t="shared" si="4"/>
        <v>1.6183709310412955</v>
      </c>
      <c r="H9" s="88">
        <f t="shared" si="5"/>
        <v>-4.4386883243807675</v>
      </c>
      <c r="I9" s="88">
        <f t="shared" si="6"/>
        <v>6.5737249805751174</v>
      </c>
      <c r="J9" s="88">
        <f t="shared" si="7"/>
        <v>43.213860120237328</v>
      </c>
      <c r="K9" s="89">
        <v>2312942.9018915244</v>
      </c>
      <c r="L9" s="89">
        <v>40091.411961958336</v>
      </c>
      <c r="M9" s="90">
        <v>80.235412199461649</v>
      </c>
      <c r="N9" s="90">
        <v>5.0448651854555404</v>
      </c>
      <c r="O9" s="91">
        <v>1.1811421116566466E-2</v>
      </c>
      <c r="P9" s="92">
        <v>716.03208726692969</v>
      </c>
    </row>
    <row r="10" spans="1:16" ht="13" x14ac:dyDescent="0.25">
      <c r="A10" s="14" t="s">
        <v>4</v>
      </c>
      <c r="B10" s="14">
        <v>2025</v>
      </c>
      <c r="C10" s="14" t="str">
        <f t="shared" si="0"/>
        <v>ANH25</v>
      </c>
      <c r="D10" s="87">
        <f t="shared" si="1"/>
        <v>14.662254106316338</v>
      </c>
      <c r="E10" s="87">
        <f t="shared" si="2"/>
        <v>10.607799736067262</v>
      </c>
      <c r="F10" s="88">
        <f t="shared" si="3"/>
        <v>80.235931508479084</v>
      </c>
      <c r="G10" s="88">
        <f t="shared" si="4"/>
        <v>1.6199508708552159</v>
      </c>
      <c r="H10" s="88">
        <f t="shared" si="5"/>
        <v>-4.4345722976412603</v>
      </c>
      <c r="I10" s="88">
        <f t="shared" si="6"/>
        <v>6.5789391326570703</v>
      </c>
      <c r="J10" s="88">
        <f t="shared" si="7"/>
        <v>43.282440111206562</v>
      </c>
      <c r="K10" s="89">
        <v>2332040.2969905837</v>
      </c>
      <c r="L10" s="89">
        <v>40449.102569291666</v>
      </c>
      <c r="M10" s="90">
        <v>80.235931508479084</v>
      </c>
      <c r="N10" s="90">
        <v>5.0528420686562514</v>
      </c>
      <c r="O10" s="91">
        <v>1.1860137431763847E-2</v>
      </c>
      <c r="P10" s="92">
        <v>719.77533792383917</v>
      </c>
    </row>
    <row r="11" spans="1:16" ht="13" x14ac:dyDescent="0.25">
      <c r="A11" s="14" t="s">
        <v>5</v>
      </c>
      <c r="B11" s="14">
        <v>2021</v>
      </c>
      <c r="C11" s="14" t="str">
        <f t="shared" si="0"/>
        <v>NES21</v>
      </c>
      <c r="D11" s="87">
        <f t="shared" si="1"/>
        <v>14.5348257101953</v>
      </c>
      <c r="E11" s="87">
        <f t="shared" si="2"/>
        <v>10.184750315235725</v>
      </c>
      <c r="F11" s="88">
        <f t="shared" si="3"/>
        <v>98.245723728283693</v>
      </c>
      <c r="G11" s="88">
        <f t="shared" si="4"/>
        <v>1.6664057553647171</v>
      </c>
      <c r="H11" s="88">
        <f t="shared" si="5"/>
        <v>-4.4296166598940658</v>
      </c>
      <c r="I11" s="88">
        <f t="shared" si="6"/>
        <v>7.4376222010188595</v>
      </c>
      <c r="J11" s="88">
        <f t="shared" si="7"/>
        <v>55.318224005088624</v>
      </c>
      <c r="K11" s="89">
        <v>2053026.7183146097</v>
      </c>
      <c r="L11" s="89">
        <v>26496.033333333333</v>
      </c>
      <c r="M11" s="90">
        <v>98.245723728283693</v>
      </c>
      <c r="N11" s="90">
        <v>5.2931088383725609</v>
      </c>
      <c r="O11" s="91">
        <v>1.1919057850049798E-2</v>
      </c>
      <c r="P11" s="92">
        <v>1698.7062332103351</v>
      </c>
    </row>
    <row r="12" spans="1:16" ht="13" x14ac:dyDescent="0.25">
      <c r="A12" s="14" t="s">
        <v>5</v>
      </c>
      <c r="B12" s="14">
        <v>2022</v>
      </c>
      <c r="C12" s="14" t="str">
        <f t="shared" si="0"/>
        <v>NES22</v>
      </c>
      <c r="D12" s="87">
        <f t="shared" si="1"/>
        <v>14.540070715405287</v>
      </c>
      <c r="E12" s="87">
        <f t="shared" si="2"/>
        <v>10.190240130641849</v>
      </c>
      <c r="F12" s="88">
        <f t="shared" si="3"/>
        <v>98.24545634314272</v>
      </c>
      <c r="G12" s="88">
        <f t="shared" si="4"/>
        <v>1.6665084354344151</v>
      </c>
      <c r="H12" s="88">
        <f t="shared" si="5"/>
        <v>-4.4323809627823465</v>
      </c>
      <c r="I12" s="88">
        <f t="shared" si="6"/>
        <v>7.446949265680046</v>
      </c>
      <c r="J12" s="88">
        <f t="shared" si="7"/>
        <v>55.457053365612573</v>
      </c>
      <c r="K12" s="89">
        <v>2063823.1430495433</v>
      </c>
      <c r="L12" s="89">
        <v>26641.891666666666</v>
      </c>
      <c r="M12" s="90">
        <v>98.24545634314272</v>
      </c>
      <c r="N12" s="90">
        <v>5.2936523630611028</v>
      </c>
      <c r="O12" s="91">
        <v>1.1886155461045411E-2</v>
      </c>
      <c r="P12" s="92">
        <v>1714.6242950860437</v>
      </c>
    </row>
    <row r="13" spans="1:16" ht="13" x14ac:dyDescent="0.25">
      <c r="A13" s="14" t="s">
        <v>5</v>
      </c>
      <c r="B13" s="14">
        <v>2023</v>
      </c>
      <c r="C13" s="14" t="str">
        <f t="shared" si="0"/>
        <v>NES23</v>
      </c>
      <c r="D13" s="87">
        <f t="shared" si="1"/>
        <v>14.546360253028578</v>
      </c>
      <c r="E13" s="87">
        <f t="shared" si="2"/>
        <v>10.195550639314936</v>
      </c>
      <c r="F13" s="88">
        <f t="shared" si="3"/>
        <v>98.245328413017106</v>
      </c>
      <c r="G13" s="88">
        <f t="shared" si="4"/>
        <v>1.6666164254029532</v>
      </c>
      <c r="H13" s="88">
        <f t="shared" si="5"/>
        <v>-4.4351236545092112</v>
      </c>
      <c r="I13" s="88">
        <f t="shared" si="6"/>
        <v>7.4557225100415305</v>
      </c>
      <c r="J13" s="88">
        <f t="shared" si="7"/>
        <v>55.587798146739978</v>
      </c>
      <c r="K13" s="89">
        <v>2076844.5427218187</v>
      </c>
      <c r="L13" s="89">
        <v>26783.75</v>
      </c>
      <c r="M13" s="90">
        <v>98.245328413017106</v>
      </c>
      <c r="N13" s="90">
        <v>5.2942240552811981</v>
      </c>
      <c r="O13" s="91">
        <v>1.1853600065912394E-2</v>
      </c>
      <c r="P13" s="92">
        <v>1729.7332935715785</v>
      </c>
    </row>
    <row r="14" spans="1:16" ht="13" x14ac:dyDescent="0.25">
      <c r="A14" s="14" t="s">
        <v>5</v>
      </c>
      <c r="B14" s="14">
        <v>2024</v>
      </c>
      <c r="C14" s="14" t="str">
        <f t="shared" si="0"/>
        <v>NES24</v>
      </c>
      <c r="D14" s="87">
        <f t="shared" si="1"/>
        <v>14.552291766461238</v>
      </c>
      <c r="E14" s="87">
        <f t="shared" si="2"/>
        <v>10.201037341042429</v>
      </c>
      <c r="F14" s="88">
        <f t="shared" si="3"/>
        <v>98.244751552229573</v>
      </c>
      <c r="G14" s="88">
        <f t="shared" si="4"/>
        <v>1.666696970829175</v>
      </c>
      <c r="H14" s="88">
        <f t="shared" si="5"/>
        <v>-4.4378449977160059</v>
      </c>
      <c r="I14" s="88">
        <f t="shared" si="6"/>
        <v>7.4640992238662696</v>
      </c>
      <c r="J14" s="88">
        <f t="shared" si="7"/>
        <v>55.712777223721048</v>
      </c>
      <c r="K14" s="89">
        <v>2089199.9810237086</v>
      </c>
      <c r="L14" s="89">
        <v>26931.108333333334</v>
      </c>
      <c r="M14" s="90">
        <v>98.244751552229573</v>
      </c>
      <c r="N14" s="90">
        <v>5.2946504979880196</v>
      </c>
      <c r="O14" s="91">
        <v>1.1821386204264281E-2</v>
      </c>
      <c r="P14" s="92">
        <v>1744.2836312903189</v>
      </c>
    </row>
    <row r="15" spans="1:16" ht="13" x14ac:dyDescent="0.25">
      <c r="A15" s="14" t="s">
        <v>5</v>
      </c>
      <c r="B15" s="14">
        <v>2025</v>
      </c>
      <c r="C15" s="14" t="str">
        <f t="shared" si="0"/>
        <v>NES25</v>
      </c>
      <c r="D15" s="87">
        <f t="shared" si="1"/>
        <v>14.55818362147971</v>
      </c>
      <c r="E15" s="87">
        <f t="shared" si="2"/>
        <v>10.206604886071647</v>
      </c>
      <c r="F15" s="88">
        <f t="shared" si="3"/>
        <v>98.244730067700644</v>
      </c>
      <c r="G15" s="88">
        <f t="shared" si="4"/>
        <v>1.6667987664575592</v>
      </c>
      <c r="H15" s="88">
        <f t="shared" si="5"/>
        <v>-4.4405452506549921</v>
      </c>
      <c r="I15" s="88">
        <f t="shared" si="6"/>
        <v>7.4722256615840852</v>
      </c>
      <c r="J15" s="88">
        <f t="shared" si="7"/>
        <v>55.834156337635719</v>
      </c>
      <c r="K15" s="89">
        <v>2101545.5779363667</v>
      </c>
      <c r="L15" s="89">
        <v>27081.466666666667</v>
      </c>
      <c r="M15" s="90">
        <v>98.244730067700644</v>
      </c>
      <c r="N15" s="90">
        <v>5.2951894976959784</v>
      </c>
      <c r="O15" s="91">
        <v>1.1789508529684873E-2</v>
      </c>
      <c r="P15" s="92">
        <v>1758.5161952793567</v>
      </c>
    </row>
    <row r="16" spans="1:16" ht="13" x14ac:dyDescent="0.25">
      <c r="A16" s="14" t="s">
        <v>6</v>
      </c>
      <c r="B16" s="14">
        <v>2021</v>
      </c>
      <c r="C16" s="14" t="str">
        <f t="shared" si="0"/>
        <v>NWT21</v>
      </c>
      <c r="D16" s="87">
        <f t="shared" si="1"/>
        <v>15.032625286842869</v>
      </c>
      <c r="E16" s="87">
        <f t="shared" si="2"/>
        <v>10.678446982967785</v>
      </c>
      <c r="F16" s="88">
        <f t="shared" si="3"/>
        <v>98.669969478535251</v>
      </c>
      <c r="G16" s="88">
        <f t="shared" si="4"/>
        <v>1.6101325902511758</v>
      </c>
      <c r="H16" s="88">
        <f t="shared" si="5"/>
        <v>-4.380376421058803</v>
      </c>
      <c r="I16" s="88">
        <f t="shared" si="6"/>
        <v>7.5236370700674797</v>
      </c>
      <c r="J16" s="88">
        <f t="shared" si="7"/>
        <v>56.605114762093571</v>
      </c>
      <c r="K16" s="89">
        <v>3377428.8639332266</v>
      </c>
      <c r="L16" s="89">
        <v>43410.081379680916</v>
      </c>
      <c r="M16" s="90">
        <v>98.669969478535251</v>
      </c>
      <c r="N16" s="90">
        <v>5.0034745958079627</v>
      </c>
      <c r="O16" s="91">
        <v>1.2520644699585672E-2</v>
      </c>
      <c r="P16" s="92">
        <v>1851.2883295755237</v>
      </c>
    </row>
    <row r="17" spans="1:16" ht="13" x14ac:dyDescent="0.25">
      <c r="A17" s="14" t="s">
        <v>6</v>
      </c>
      <c r="B17" s="14">
        <v>2022</v>
      </c>
      <c r="C17" s="14" t="str">
        <f t="shared" si="0"/>
        <v>NWT22</v>
      </c>
      <c r="D17" s="87">
        <f t="shared" si="1"/>
        <v>15.037050949565996</v>
      </c>
      <c r="E17" s="87">
        <f t="shared" si="2"/>
        <v>10.681850641998849</v>
      </c>
      <c r="F17" s="88">
        <f t="shared" si="3"/>
        <v>98.669969478535251</v>
      </c>
      <c r="G17" s="88">
        <f t="shared" si="4"/>
        <v>1.6045760641213351</v>
      </c>
      <c r="H17" s="88">
        <f t="shared" si="5"/>
        <v>-4.3723783209973615</v>
      </c>
      <c r="I17" s="88">
        <f t="shared" si="6"/>
        <v>7.5288900205978706</v>
      </c>
      <c r="J17" s="88">
        <f t="shared" si="7"/>
        <v>56.684184942258206</v>
      </c>
      <c r="K17" s="89">
        <v>3392409.3497940223</v>
      </c>
      <c r="L17" s="89">
        <v>43558.08623134809</v>
      </c>
      <c r="M17" s="90">
        <v>98.669969478535251</v>
      </c>
      <c r="N17" s="90">
        <v>4.9757497567064419</v>
      </c>
      <c r="O17" s="91">
        <v>1.26211876088776E-2</v>
      </c>
      <c r="P17" s="92">
        <v>1861.0386421225892</v>
      </c>
    </row>
    <row r="18" spans="1:16" ht="13" x14ac:dyDescent="0.25">
      <c r="A18" s="14" t="s">
        <v>6</v>
      </c>
      <c r="B18" s="14">
        <v>2023</v>
      </c>
      <c r="C18" s="14" t="str">
        <f t="shared" si="0"/>
        <v>NWT23</v>
      </c>
      <c r="D18" s="87">
        <f t="shared" si="1"/>
        <v>15.041861838200763</v>
      </c>
      <c r="E18" s="87">
        <f t="shared" si="2"/>
        <v>10.685528389947667</v>
      </c>
      <c r="F18" s="88">
        <f t="shared" si="3"/>
        <v>98.669969478535265</v>
      </c>
      <c r="G18" s="88">
        <f t="shared" si="4"/>
        <v>1.6045760641213351</v>
      </c>
      <c r="H18" s="88">
        <f t="shared" si="5"/>
        <v>-4.3645242931880235</v>
      </c>
      <c r="I18" s="88">
        <f t="shared" si="6"/>
        <v>7.5340851718411805</v>
      </c>
      <c r="J18" s="88">
        <f t="shared" si="7"/>
        <v>56.762439376557154</v>
      </c>
      <c r="K18" s="89">
        <v>3408769.1744732046</v>
      </c>
      <c r="L18" s="89">
        <v>43718.576834736246</v>
      </c>
      <c r="M18" s="90">
        <v>98.669969478535265</v>
      </c>
      <c r="N18" s="90">
        <v>4.9757497567064419</v>
      </c>
      <c r="O18" s="91">
        <v>1.2720705062200664E-2</v>
      </c>
      <c r="P18" s="92">
        <v>1870.7321772264927</v>
      </c>
    </row>
    <row r="19" spans="1:16" ht="13" x14ac:dyDescent="0.25">
      <c r="A19" s="14" t="s">
        <v>6</v>
      </c>
      <c r="B19" s="14">
        <v>2024</v>
      </c>
      <c r="C19" s="14" t="str">
        <f t="shared" si="0"/>
        <v>NWT24</v>
      </c>
      <c r="D19" s="87">
        <f t="shared" si="1"/>
        <v>15.046244575494823</v>
      </c>
      <c r="E19" s="87">
        <f t="shared" si="2"/>
        <v>10.689193801108601</v>
      </c>
      <c r="F19" s="88">
        <f t="shared" si="3"/>
        <v>98.669969478535279</v>
      </c>
      <c r="G19" s="88">
        <f t="shared" si="4"/>
        <v>1.6045760641213354</v>
      </c>
      <c r="H19" s="88">
        <f t="shared" si="5"/>
        <v>-4.3568102437138103</v>
      </c>
      <c r="I19" s="88">
        <f t="shared" si="6"/>
        <v>7.5389444376194055</v>
      </c>
      <c r="J19" s="88">
        <f t="shared" si="7"/>
        <v>56.835683233512576</v>
      </c>
      <c r="K19" s="89">
        <v>3423741.7006188757</v>
      </c>
      <c r="L19" s="89">
        <v>43879.11743812442</v>
      </c>
      <c r="M19" s="90">
        <v>98.669969478535279</v>
      </c>
      <c r="N19" s="90">
        <v>4.9757497567064437</v>
      </c>
      <c r="O19" s="91">
        <v>1.2819212668183515E-2</v>
      </c>
      <c r="P19" s="92">
        <v>1879.8446841914174</v>
      </c>
    </row>
    <row r="20" spans="1:16" ht="13" x14ac:dyDescent="0.25">
      <c r="A20" s="14" t="s">
        <v>6</v>
      </c>
      <c r="B20" s="14">
        <v>2025</v>
      </c>
      <c r="C20" s="14" t="str">
        <f t="shared" si="0"/>
        <v>NWT25</v>
      </c>
      <c r="D20" s="87">
        <f t="shared" si="1"/>
        <v>15.050519123350597</v>
      </c>
      <c r="E20" s="87">
        <f t="shared" si="2"/>
        <v>10.692845826081507</v>
      </c>
      <c r="F20" s="88">
        <f t="shared" si="3"/>
        <v>98.669969478535265</v>
      </c>
      <c r="G20" s="88">
        <f t="shared" si="4"/>
        <v>1.6045760641213349</v>
      </c>
      <c r="H20" s="88">
        <f t="shared" si="5"/>
        <v>-4.3492322399687966</v>
      </c>
      <c r="I20" s="88">
        <f t="shared" si="6"/>
        <v>7.5439170526627022</v>
      </c>
      <c r="J20" s="88">
        <f t="shared" si="7"/>
        <v>56.910684497455108</v>
      </c>
      <c r="K20" s="89">
        <v>3438407.9718716075</v>
      </c>
      <c r="L20" s="89">
        <v>44039.658041512579</v>
      </c>
      <c r="M20" s="90">
        <v>98.669969478535265</v>
      </c>
      <c r="N20" s="90">
        <v>4.975749756706441</v>
      </c>
      <c r="O20" s="91">
        <v>1.2916725720278703E-2</v>
      </c>
      <c r="P20" s="92">
        <v>1889.2157080845902</v>
      </c>
    </row>
    <row r="21" spans="1:16" ht="13" x14ac:dyDescent="0.25">
      <c r="A21" s="14" t="s">
        <v>7</v>
      </c>
      <c r="B21" s="14">
        <v>2021</v>
      </c>
      <c r="C21" s="14" t="str">
        <f t="shared" si="0"/>
        <v>SRN21</v>
      </c>
      <c r="D21" s="87">
        <f t="shared" si="1"/>
        <v>13.947705430311558</v>
      </c>
      <c r="E21" s="87">
        <f t="shared" si="2"/>
        <v>9.5486704147145929</v>
      </c>
      <c r="F21" s="88">
        <f t="shared" si="3"/>
        <v>89.178223102712579</v>
      </c>
      <c r="G21" s="88">
        <f t="shared" si="4"/>
        <v>1.5837957292112568</v>
      </c>
      <c r="H21" s="88">
        <f t="shared" si="5"/>
        <v>-4.0648930579351426</v>
      </c>
      <c r="I21" s="88">
        <f t="shared" si="6"/>
        <v>7.5594072070172276</v>
      </c>
      <c r="J21" s="88">
        <f t="shared" si="7"/>
        <v>57.144637321504</v>
      </c>
      <c r="K21" s="89">
        <v>1141330.7113922492</v>
      </c>
      <c r="L21" s="89">
        <v>14026.033460714287</v>
      </c>
      <c r="M21" s="90">
        <v>89.178223102712579</v>
      </c>
      <c r="N21" s="90">
        <v>4.8734189271563544</v>
      </c>
      <c r="O21" s="91">
        <v>1.7164824817261372E-2</v>
      </c>
      <c r="P21" s="92">
        <v>1918.7077796788169</v>
      </c>
    </row>
    <row r="22" spans="1:16" ht="13" x14ac:dyDescent="0.25">
      <c r="A22" s="14" t="s">
        <v>7</v>
      </c>
      <c r="B22" s="14">
        <v>2022</v>
      </c>
      <c r="C22" s="14" t="str">
        <f t="shared" si="0"/>
        <v>SRN22</v>
      </c>
      <c r="D22" s="87">
        <f t="shared" si="1"/>
        <v>13.955092017002251</v>
      </c>
      <c r="E22" s="87">
        <f t="shared" si="2"/>
        <v>9.5513310460360117</v>
      </c>
      <c r="F22" s="88">
        <f t="shared" si="3"/>
        <v>89.179671714742042</v>
      </c>
      <c r="G22" s="88">
        <f t="shared" si="4"/>
        <v>1.5838037787600221</v>
      </c>
      <c r="H22" s="88">
        <f t="shared" si="5"/>
        <v>-4.0668795900964856</v>
      </c>
      <c r="I22" s="88">
        <f t="shared" si="6"/>
        <v>7.5640441942804824</v>
      </c>
      <c r="J22" s="88">
        <f t="shared" si="7"/>
        <v>57.214764573028269</v>
      </c>
      <c r="K22" s="89">
        <v>1149792.4628912997</v>
      </c>
      <c r="L22" s="89">
        <v>14063.401253571428</v>
      </c>
      <c r="M22" s="90">
        <v>89.179671714742042</v>
      </c>
      <c r="N22" s="90">
        <v>4.8734581561375503</v>
      </c>
      <c r="O22" s="91">
        <v>1.7130760187162152E-2</v>
      </c>
      <c r="P22" s="92">
        <v>1927.6254628279496</v>
      </c>
    </row>
    <row r="23" spans="1:16" ht="13" x14ac:dyDescent="0.25">
      <c r="A23" s="14" t="s">
        <v>7</v>
      </c>
      <c r="B23" s="14">
        <v>2023</v>
      </c>
      <c r="C23" s="14" t="str">
        <f t="shared" si="0"/>
        <v>SRN23</v>
      </c>
      <c r="D23" s="87">
        <f t="shared" si="1"/>
        <v>13.963899934356302</v>
      </c>
      <c r="E23" s="87">
        <f t="shared" si="2"/>
        <v>9.5539846171787808</v>
      </c>
      <c r="F23" s="88">
        <f t="shared" si="3"/>
        <v>89.545613150854891</v>
      </c>
      <c r="G23" s="88">
        <f t="shared" si="4"/>
        <v>1.5890911911137398</v>
      </c>
      <c r="H23" s="88">
        <f t="shared" si="5"/>
        <v>-4.068860812617106</v>
      </c>
      <c r="I23" s="88">
        <f t="shared" si="6"/>
        <v>7.5690881671535823</v>
      </c>
      <c r="J23" s="88">
        <f t="shared" si="7"/>
        <v>57.291095682144373</v>
      </c>
      <c r="K23" s="89">
        <v>1159964.4712216584</v>
      </c>
      <c r="L23" s="89">
        <v>14100.769046428572</v>
      </c>
      <c r="M23" s="90">
        <v>89.545613150854891</v>
      </c>
      <c r="N23" s="90">
        <v>4.8992943821967199</v>
      </c>
      <c r="O23" s="91">
        <v>1.7096853938286784E-2</v>
      </c>
      <c r="P23" s="92">
        <v>1937.3729156498162</v>
      </c>
    </row>
    <row r="24" spans="1:16" ht="13" x14ac:dyDescent="0.25">
      <c r="A24" s="14" t="s">
        <v>7</v>
      </c>
      <c r="B24" s="14">
        <v>2024</v>
      </c>
      <c r="C24" s="14" t="str">
        <f t="shared" si="0"/>
        <v>SRN24</v>
      </c>
      <c r="D24" s="87">
        <f t="shared" si="1"/>
        <v>13.972468610229125</v>
      </c>
      <c r="E24" s="87">
        <f t="shared" si="2"/>
        <v>9.5566311655131528</v>
      </c>
      <c r="F24" s="88">
        <f t="shared" si="3"/>
        <v>89.546300832925041</v>
      </c>
      <c r="G24" s="88">
        <f t="shared" si="4"/>
        <v>1.5891012081983096</v>
      </c>
      <c r="H24" s="88">
        <f t="shared" si="5"/>
        <v>-4.0708367506290113</v>
      </c>
      <c r="I24" s="88">
        <f t="shared" si="6"/>
        <v>7.5738921913825505</v>
      </c>
      <c r="J24" s="88">
        <f t="shared" si="7"/>
        <v>57.363842926685571</v>
      </c>
      <c r="K24" s="89">
        <v>1169946.5362641318</v>
      </c>
      <c r="L24" s="89">
        <v>14138.136839285715</v>
      </c>
      <c r="M24" s="90">
        <v>89.546300832925041</v>
      </c>
      <c r="N24" s="90">
        <v>4.8993434590886817</v>
      </c>
      <c r="O24" s="91">
        <v>1.7063104968622744E-2</v>
      </c>
      <c r="P24" s="92">
        <v>1946.7024938942793</v>
      </c>
    </row>
    <row r="25" spans="1:16" ht="13" x14ac:dyDescent="0.25">
      <c r="A25" s="14" t="s">
        <v>7</v>
      </c>
      <c r="B25" s="14">
        <v>2025</v>
      </c>
      <c r="C25" s="14" t="str">
        <f t="shared" si="0"/>
        <v>SRN25</v>
      </c>
      <c r="D25" s="87">
        <f t="shared" si="1"/>
        <v>13.981005654312387</v>
      </c>
      <c r="E25" s="87">
        <f t="shared" si="2"/>
        <v>9.5592707281134537</v>
      </c>
      <c r="F25" s="88">
        <f t="shared" si="3"/>
        <v>92.667496985153136</v>
      </c>
      <c r="G25" s="88">
        <f t="shared" si="4"/>
        <v>1.6040063485117662</v>
      </c>
      <c r="H25" s="88">
        <f t="shared" si="5"/>
        <v>-4.0728074290890515</v>
      </c>
      <c r="I25" s="88">
        <f t="shared" si="6"/>
        <v>7.5792931733715259</v>
      </c>
      <c r="J25" s="88">
        <f t="shared" si="7"/>
        <v>57.445685007916218</v>
      </c>
      <c r="K25" s="89">
        <v>1179977.176507965</v>
      </c>
      <c r="L25" s="89">
        <v>14175.504632142856</v>
      </c>
      <c r="M25" s="90">
        <v>92.667496985153136</v>
      </c>
      <c r="N25" s="90">
        <v>4.9729158017515775</v>
      </c>
      <c r="O25" s="91">
        <v>1.7029512186357548E-2</v>
      </c>
      <c r="P25" s="92">
        <v>1957.2450434340867</v>
      </c>
    </row>
    <row r="26" spans="1:16" ht="13" x14ac:dyDescent="0.25">
      <c r="A26" s="14" t="s">
        <v>8</v>
      </c>
      <c r="B26" s="14">
        <v>2021</v>
      </c>
      <c r="C26" s="14" t="str">
        <f t="shared" si="0"/>
        <v>SVT21</v>
      </c>
      <c r="D26" s="87">
        <f t="shared" si="1"/>
        <v>15.113550526649423</v>
      </c>
      <c r="E26" s="87">
        <f t="shared" si="2"/>
        <v>10.770105502484249</v>
      </c>
      <c r="F26" s="88">
        <f t="shared" si="3"/>
        <v>93.02666059830193</v>
      </c>
      <c r="G26" s="88">
        <f t="shared" si="4"/>
        <v>1.5390499474622645</v>
      </c>
      <c r="H26" s="88">
        <f t="shared" si="5"/>
        <v>-4.1728606496841145</v>
      </c>
      <c r="I26" s="88">
        <f t="shared" si="6"/>
        <v>7.5898566796969114</v>
      </c>
      <c r="J26" s="88">
        <f t="shared" si="7"/>
        <v>57.605924418339825</v>
      </c>
      <c r="K26" s="89">
        <v>3662111.7748548342</v>
      </c>
      <c r="L26" s="89">
        <v>47577.036744565718</v>
      </c>
      <c r="M26" s="90">
        <v>93.02666059830193</v>
      </c>
      <c r="N26" s="90">
        <v>4.6601607696263549</v>
      </c>
      <c r="O26" s="91">
        <v>1.5408119785990248E-2</v>
      </c>
      <c r="P26" s="92">
        <v>1978.030001570718</v>
      </c>
    </row>
    <row r="27" spans="1:16" ht="13" x14ac:dyDescent="0.25">
      <c r="A27" s="14" t="s">
        <v>8</v>
      </c>
      <c r="B27" s="14">
        <v>2022</v>
      </c>
      <c r="C27" s="14" t="str">
        <f t="shared" si="0"/>
        <v>SVT22</v>
      </c>
      <c r="D27" s="87">
        <f t="shared" si="1"/>
        <v>15.119359262816063</v>
      </c>
      <c r="E27" s="87">
        <f t="shared" si="2"/>
        <v>10.772145510286959</v>
      </c>
      <c r="F27" s="88">
        <f t="shared" si="3"/>
        <v>94.026612734765465</v>
      </c>
      <c r="G27" s="88">
        <f t="shared" si="4"/>
        <v>1.5390499474622645</v>
      </c>
      <c r="H27" s="88">
        <f t="shared" si="5"/>
        <v>-4.1768711620063366</v>
      </c>
      <c r="I27" s="88">
        <f t="shared" si="6"/>
        <v>7.5961501477516871</v>
      </c>
      <c r="J27" s="88">
        <f t="shared" si="7"/>
        <v>57.701497067187979</v>
      </c>
      <c r="K27" s="89">
        <v>3683445.9181857063</v>
      </c>
      <c r="L27" s="89">
        <v>47674.193337163822</v>
      </c>
      <c r="M27" s="90">
        <v>94.026612734765465</v>
      </c>
      <c r="N27" s="90">
        <v>4.6601607696263549</v>
      </c>
      <c r="O27" s="91">
        <v>1.5346449079949873E-2</v>
      </c>
      <c r="P27" s="92">
        <v>1990.517925152883</v>
      </c>
    </row>
    <row r="28" spans="1:16" ht="13" x14ac:dyDescent="0.25">
      <c r="A28" s="14" t="s">
        <v>8</v>
      </c>
      <c r="B28" s="14">
        <v>2023</v>
      </c>
      <c r="C28" s="14" t="str">
        <f t="shared" si="0"/>
        <v>SVT23</v>
      </c>
      <c r="D28" s="87">
        <f t="shared" si="1"/>
        <v>15.126373630805936</v>
      </c>
      <c r="E28" s="87">
        <f t="shared" si="2"/>
        <v>10.774181364928879</v>
      </c>
      <c r="F28" s="88">
        <f t="shared" si="3"/>
        <v>95.00723810630825</v>
      </c>
      <c r="G28" s="88">
        <f t="shared" si="4"/>
        <v>1.5390499474622645</v>
      </c>
      <c r="H28" s="88">
        <f t="shared" si="5"/>
        <v>-4.1808814117234459</v>
      </c>
      <c r="I28" s="88">
        <f t="shared" si="6"/>
        <v>7.6023787268626757</v>
      </c>
      <c r="J28" s="88">
        <f t="shared" si="7"/>
        <v>57.796162306654161</v>
      </c>
      <c r="K28" s="89">
        <v>3709373.7908395254</v>
      </c>
      <c r="L28" s="89">
        <v>47771.349929761935</v>
      </c>
      <c r="M28" s="90">
        <v>95.00723810630825</v>
      </c>
      <c r="N28" s="90">
        <v>4.6601607696263549</v>
      </c>
      <c r="O28" s="91">
        <v>1.5285029223662362E-2</v>
      </c>
      <c r="P28" s="92">
        <v>2002.9547150792271</v>
      </c>
    </row>
    <row r="29" spans="1:16" ht="13" x14ac:dyDescent="0.25">
      <c r="A29" s="14" t="s">
        <v>8</v>
      </c>
      <c r="B29" s="14">
        <v>2024</v>
      </c>
      <c r="C29" s="14" t="str">
        <f t="shared" si="0"/>
        <v>SVT24</v>
      </c>
      <c r="D29" s="87">
        <f t="shared" si="1"/>
        <v>15.133159962083056</v>
      </c>
      <c r="E29" s="87">
        <f t="shared" si="2"/>
        <v>10.776213083286123</v>
      </c>
      <c r="F29" s="88">
        <f t="shared" si="3"/>
        <v>95.969091662565006</v>
      </c>
      <c r="G29" s="88">
        <f t="shared" si="4"/>
        <v>1.5390499474622645</v>
      </c>
      <c r="H29" s="88">
        <f t="shared" si="5"/>
        <v>-4.1848914311049521</v>
      </c>
      <c r="I29" s="88">
        <f t="shared" si="6"/>
        <v>7.6085260474627754</v>
      </c>
      <c r="J29" s="88">
        <f t="shared" si="7"/>
        <v>57.889668614919522</v>
      </c>
      <c r="K29" s="89">
        <v>3734632.4400564004</v>
      </c>
      <c r="L29" s="89">
        <v>47868.50652236004</v>
      </c>
      <c r="M29" s="90">
        <v>95.969091662565006</v>
      </c>
      <c r="N29" s="90">
        <v>4.6601607696263549</v>
      </c>
      <c r="O29" s="91">
        <v>1.5223858689711742E-2</v>
      </c>
      <c r="P29" s="92">
        <v>2015.3054429080898</v>
      </c>
    </row>
    <row r="30" spans="1:16" ht="13" x14ac:dyDescent="0.25">
      <c r="A30" s="14" t="s">
        <v>8</v>
      </c>
      <c r="B30" s="14">
        <v>2025</v>
      </c>
      <c r="C30" s="14" t="str">
        <f t="shared" si="0"/>
        <v>SVT25</v>
      </c>
      <c r="D30" s="87">
        <f t="shared" si="1"/>
        <v>15.140003849825721</v>
      </c>
      <c r="E30" s="87">
        <f t="shared" si="2"/>
        <v>10.778240682132157</v>
      </c>
      <c r="F30" s="88">
        <f t="shared" si="3"/>
        <v>96.912707308133434</v>
      </c>
      <c r="G30" s="88">
        <f t="shared" si="4"/>
        <v>1.5390499474622645</v>
      </c>
      <c r="H30" s="88">
        <f t="shared" si="5"/>
        <v>-4.1889012524092486</v>
      </c>
      <c r="I30" s="88">
        <f t="shared" si="6"/>
        <v>7.6148277582541484</v>
      </c>
      <c r="J30" s="88">
        <f t="shared" si="7"/>
        <v>57.985601787877897</v>
      </c>
      <c r="K30" s="89">
        <v>3760279.5079566701</v>
      </c>
      <c r="L30" s="89">
        <v>47965.663114958152</v>
      </c>
      <c r="M30" s="90">
        <v>96.912707308133434</v>
      </c>
      <c r="N30" s="90">
        <v>4.6601607696263549</v>
      </c>
      <c r="O30" s="91">
        <v>1.5162935963057428E-2</v>
      </c>
      <c r="P30" s="92">
        <v>2028.0454146138507</v>
      </c>
    </row>
    <row r="31" spans="1:16" ht="13" x14ac:dyDescent="0.25">
      <c r="A31" s="14" t="s">
        <v>19</v>
      </c>
      <c r="B31" s="14">
        <v>2021</v>
      </c>
      <c r="C31" s="14" t="str">
        <f t="shared" si="0"/>
        <v>SWB21</v>
      </c>
      <c r="D31" s="87">
        <f t="shared" si="1"/>
        <v>13.886186051722499</v>
      </c>
      <c r="E31" s="87">
        <f t="shared" si="2"/>
        <v>9.8319243844917708</v>
      </c>
      <c r="F31" s="88">
        <f t="shared" si="3"/>
        <v>96.826667130604221</v>
      </c>
      <c r="G31" s="88">
        <f t="shared" si="4"/>
        <v>1.6572707473048975</v>
      </c>
      <c r="H31" s="88">
        <f t="shared" si="5"/>
        <v>-4.2266978315950166</v>
      </c>
      <c r="I31" s="88">
        <f t="shared" si="6"/>
        <v>7.0716434750100623</v>
      </c>
      <c r="J31" s="88">
        <f t="shared" si="7"/>
        <v>50.008141437652391</v>
      </c>
      <c r="K31" s="89">
        <v>1073232.8985797565</v>
      </c>
      <c r="L31" s="89">
        <v>18618.749404761904</v>
      </c>
      <c r="M31" s="90">
        <v>96.826667130604221</v>
      </c>
      <c r="N31" s="90">
        <v>5.2449764261730376</v>
      </c>
      <c r="O31" s="91">
        <v>1.460052442204153E-2</v>
      </c>
      <c r="P31" s="92">
        <v>1178.0825934159802</v>
      </c>
    </row>
    <row r="32" spans="1:16" ht="13" x14ac:dyDescent="0.25">
      <c r="A32" s="14" t="s">
        <v>19</v>
      </c>
      <c r="B32" s="14">
        <v>2022</v>
      </c>
      <c r="C32" s="14" t="str">
        <f t="shared" si="0"/>
        <v>SWB22</v>
      </c>
      <c r="D32" s="87">
        <f t="shared" si="1"/>
        <v>13.892265904841253</v>
      </c>
      <c r="E32" s="87">
        <f t="shared" si="2"/>
        <v>9.8354399229427756</v>
      </c>
      <c r="F32" s="88">
        <f t="shared" si="3"/>
        <v>96.820987111634693</v>
      </c>
      <c r="G32" s="88">
        <f t="shared" si="4"/>
        <v>1.6606825006261166</v>
      </c>
      <c r="H32" s="88">
        <f t="shared" si="5"/>
        <v>-4.2247701374522659</v>
      </c>
      <c r="I32" s="88">
        <f t="shared" si="6"/>
        <v>7.0748105580613965</v>
      </c>
      <c r="J32" s="88">
        <f t="shared" si="7"/>
        <v>50.052944432457011</v>
      </c>
      <c r="K32" s="89">
        <v>1079777.8730460212</v>
      </c>
      <c r="L32" s="89">
        <v>18684.319523809525</v>
      </c>
      <c r="M32" s="90">
        <v>96.820987111634693</v>
      </c>
      <c r="N32" s="90">
        <v>5.2629015525820693</v>
      </c>
      <c r="O32" s="91">
        <v>1.4628696912699508E-2</v>
      </c>
      <c r="P32" s="92">
        <v>1181.8195934016801</v>
      </c>
    </row>
    <row r="33" spans="1:16" ht="13" x14ac:dyDescent="0.25">
      <c r="A33" s="14" t="s">
        <v>19</v>
      </c>
      <c r="B33" s="14">
        <v>2023</v>
      </c>
      <c r="C33" s="14" t="str">
        <f t="shared" si="0"/>
        <v>SWB23</v>
      </c>
      <c r="D33" s="87">
        <f t="shared" si="1"/>
        <v>13.899721828468588</v>
      </c>
      <c r="E33" s="87">
        <f t="shared" si="2"/>
        <v>9.8391564575033232</v>
      </c>
      <c r="F33" s="88">
        <f t="shared" si="3"/>
        <v>96.815184744166217</v>
      </c>
      <c r="G33" s="88">
        <f t="shared" si="4"/>
        <v>1.6607646183878142</v>
      </c>
      <c r="H33" s="88">
        <f t="shared" si="5"/>
        <v>-4.222862962158807</v>
      </c>
      <c r="I33" s="88">
        <f t="shared" si="6"/>
        <v>7.0782294257739773</v>
      </c>
      <c r="J33" s="88">
        <f t="shared" si="7"/>
        <v>50.101331803892606</v>
      </c>
      <c r="K33" s="89">
        <v>1087858.7019887168</v>
      </c>
      <c r="L33" s="89">
        <v>18753.889642857142</v>
      </c>
      <c r="M33" s="90">
        <v>96.815184744166217</v>
      </c>
      <c r="N33" s="90">
        <v>5.2633337480228199</v>
      </c>
      <c r="O33" s="91">
        <v>1.4656623023556572E-2</v>
      </c>
      <c r="P33" s="92">
        <v>1185.866993071294</v>
      </c>
    </row>
    <row r="34" spans="1:16" ht="13" x14ac:dyDescent="0.25">
      <c r="A34" s="14" t="s">
        <v>19</v>
      </c>
      <c r="B34" s="14">
        <v>2024</v>
      </c>
      <c r="C34" s="14" t="str">
        <f t="shared" si="0"/>
        <v>SWB24</v>
      </c>
      <c r="D34" s="87">
        <f t="shared" si="1"/>
        <v>13.907046560025499</v>
      </c>
      <c r="E34" s="87">
        <f t="shared" si="2"/>
        <v>9.8426998422726868</v>
      </c>
      <c r="F34" s="88">
        <f t="shared" si="3"/>
        <v>96.809694793536806</v>
      </c>
      <c r="G34" s="88">
        <f t="shared" si="4"/>
        <v>1.6705515898466448</v>
      </c>
      <c r="H34" s="88">
        <f t="shared" si="5"/>
        <v>-4.2209759764236896</v>
      </c>
      <c r="I34" s="88">
        <f t="shared" si="6"/>
        <v>7.0817222078405564</v>
      </c>
      <c r="J34" s="88">
        <f t="shared" si="7"/>
        <v>50.150789429022126</v>
      </c>
      <c r="K34" s="89">
        <v>1095856.2290654054</v>
      </c>
      <c r="L34" s="89">
        <v>18820.459761904764</v>
      </c>
      <c r="M34" s="90">
        <v>96.809694793536806</v>
      </c>
      <c r="N34" s="90">
        <v>5.3150987432675043</v>
      </c>
      <c r="O34" s="91">
        <v>1.4684305972577702E-2</v>
      </c>
      <c r="P34" s="92">
        <v>1190.0162099750314</v>
      </c>
    </row>
    <row r="35" spans="1:16" ht="13" x14ac:dyDescent="0.25">
      <c r="A35" s="14" t="s">
        <v>19</v>
      </c>
      <c r="B35" s="14">
        <v>2025</v>
      </c>
      <c r="C35" s="14" t="str">
        <f t="shared" si="0"/>
        <v>SWB25</v>
      </c>
      <c r="D35" s="87">
        <f t="shared" si="1"/>
        <v>13.914370193783872</v>
      </c>
      <c r="E35" s="87">
        <f t="shared" si="2"/>
        <v>9.8461777679965152</v>
      </c>
      <c r="F35" s="88">
        <f t="shared" si="3"/>
        <v>96.804422693492839</v>
      </c>
      <c r="G35" s="88">
        <f t="shared" si="4"/>
        <v>1.6959431496352488</v>
      </c>
      <c r="H35" s="88">
        <f t="shared" si="5"/>
        <v>-4.2191088580348914</v>
      </c>
      <c r="I35" s="88">
        <f t="shared" si="6"/>
        <v>7.0865325146663141</v>
      </c>
      <c r="J35" s="88">
        <f t="shared" si="7"/>
        <v>50.218943081422871</v>
      </c>
      <c r="K35" s="89">
        <v>1103911.3390733406</v>
      </c>
      <c r="L35" s="89">
        <v>18886.029880952381</v>
      </c>
      <c r="M35" s="90">
        <v>96.804422693492839</v>
      </c>
      <c r="N35" s="90">
        <v>5.4517853906108398</v>
      </c>
      <c r="O35" s="91">
        <v>1.4711748921931054E-2</v>
      </c>
      <c r="P35" s="92">
        <v>1195.7543430985265</v>
      </c>
    </row>
    <row r="36" spans="1:16" ht="13" x14ac:dyDescent="0.25">
      <c r="A36" s="14" t="s">
        <v>9</v>
      </c>
      <c r="B36" s="14">
        <v>2021</v>
      </c>
      <c r="C36" s="14" t="str">
        <f t="shared" si="0"/>
        <v>TMS21</v>
      </c>
      <c r="D36" s="87">
        <f t="shared" si="1"/>
        <v>15.187519052458155</v>
      </c>
      <c r="E36" s="87">
        <f t="shared" si="2"/>
        <v>10.366091477691388</v>
      </c>
      <c r="F36" s="88">
        <f t="shared" si="3"/>
        <v>90.078155658491681</v>
      </c>
      <c r="G36" s="88">
        <f t="shared" si="4"/>
        <v>1.7182922680068378</v>
      </c>
      <c r="H36" s="88">
        <f t="shared" si="5"/>
        <v>-4.610127825265228</v>
      </c>
      <c r="I36" s="88">
        <f t="shared" si="6"/>
        <v>8.7859106728817427</v>
      </c>
      <c r="J36" s="88">
        <f t="shared" si="7"/>
        <v>77.192226351857315</v>
      </c>
      <c r="K36" s="89">
        <v>3943262.7686917605</v>
      </c>
      <c r="L36" s="89">
        <v>31764.08340209107</v>
      </c>
      <c r="M36" s="90">
        <v>90.078155658491681</v>
      </c>
      <c r="N36" s="90">
        <v>5.5749997249331598</v>
      </c>
      <c r="O36" s="91">
        <v>9.9505462953331236E-3</v>
      </c>
      <c r="P36" s="92">
        <v>6541.4273696761202</v>
      </c>
    </row>
    <row r="37" spans="1:16" ht="13" x14ac:dyDescent="0.25">
      <c r="A37" s="14" t="s">
        <v>9</v>
      </c>
      <c r="B37" s="14">
        <v>2022</v>
      </c>
      <c r="C37" s="14" t="str">
        <f t="shared" si="0"/>
        <v>TMS22</v>
      </c>
      <c r="D37" s="87">
        <f t="shared" si="1"/>
        <v>15.194562847315179</v>
      </c>
      <c r="E37" s="87">
        <f t="shared" si="2"/>
        <v>10.36915712059632</v>
      </c>
      <c r="F37" s="88">
        <f t="shared" si="3"/>
        <v>90.078155658491681</v>
      </c>
      <c r="G37" s="88">
        <f t="shared" si="4"/>
        <v>1.7182922680068378</v>
      </c>
      <c r="H37" s="88">
        <f t="shared" si="5"/>
        <v>-4.610447798503654</v>
      </c>
      <c r="I37" s="88">
        <f t="shared" si="6"/>
        <v>8.7952204984300781</v>
      </c>
      <c r="J37" s="88">
        <f t="shared" si="7"/>
        <v>77.355903616004639</v>
      </c>
      <c r="K37" s="89">
        <v>3971136.3553693262</v>
      </c>
      <c r="L37" s="89">
        <v>31861.610153720365</v>
      </c>
      <c r="M37" s="90">
        <v>90.078155658491681</v>
      </c>
      <c r="N37" s="90">
        <v>5.5749997249331598</v>
      </c>
      <c r="O37" s="91">
        <v>9.9473628961393341E-3</v>
      </c>
      <c r="P37" s="92">
        <v>6602.6112811814446</v>
      </c>
    </row>
    <row r="38" spans="1:16" ht="13" x14ac:dyDescent="0.25">
      <c r="A38" s="14" t="s">
        <v>9</v>
      </c>
      <c r="B38" s="14">
        <v>2023</v>
      </c>
      <c r="C38" s="14" t="str">
        <f t="shared" si="0"/>
        <v>TMS23</v>
      </c>
      <c r="D38" s="87">
        <f t="shared" si="1"/>
        <v>15.204563396727837</v>
      </c>
      <c r="E38" s="87">
        <f t="shared" si="2"/>
        <v>10.372126578445744</v>
      </c>
      <c r="F38" s="88">
        <f t="shared" si="3"/>
        <v>90.078155658491681</v>
      </c>
      <c r="G38" s="88">
        <f t="shared" si="4"/>
        <v>1.7182922680068378</v>
      </c>
      <c r="H38" s="88">
        <f t="shared" si="5"/>
        <v>-4.6107666799472744</v>
      </c>
      <c r="I38" s="88">
        <f t="shared" si="6"/>
        <v>8.8035348552973556</v>
      </c>
      <c r="J38" s="88">
        <f t="shared" si="7"/>
        <v>77.502225948435438</v>
      </c>
      <c r="K38" s="89">
        <v>4011049.1429753657</v>
      </c>
      <c r="L38" s="89">
        <v>31956.362473972611</v>
      </c>
      <c r="M38" s="90">
        <v>90.078155658491681</v>
      </c>
      <c r="N38" s="90">
        <v>5.5749997249331598</v>
      </c>
      <c r="O38" s="91">
        <v>9.9441913723957026E-3</v>
      </c>
      <c r="P38" s="92">
        <v>6657.7365958377095</v>
      </c>
    </row>
    <row r="39" spans="1:16" ht="13" x14ac:dyDescent="0.25">
      <c r="A39" s="14" t="s">
        <v>9</v>
      </c>
      <c r="B39" s="14">
        <v>2024</v>
      </c>
      <c r="C39" s="14" t="str">
        <f t="shared" si="0"/>
        <v>TMS24</v>
      </c>
      <c r="D39" s="87">
        <f t="shared" si="1"/>
        <v>15.214107155602274</v>
      </c>
      <c r="E39" s="87">
        <f t="shared" si="2"/>
        <v>10.374968553718976</v>
      </c>
      <c r="F39" s="88">
        <f t="shared" si="3"/>
        <v>90.078155658491681</v>
      </c>
      <c r="G39" s="88">
        <f t="shared" si="4"/>
        <v>1.7182922680068378</v>
      </c>
      <c r="H39" s="88">
        <f t="shared" si="5"/>
        <v>-4.6110844751907445</v>
      </c>
      <c r="I39" s="88">
        <f t="shared" si="6"/>
        <v>8.8108531229236906</v>
      </c>
      <c r="J39" s="88">
        <f t="shared" si="7"/>
        <v>77.63113275373415</v>
      </c>
      <c r="K39" s="89">
        <v>4049512.881200945</v>
      </c>
      <c r="L39" s="89">
        <v>32047.310841237006</v>
      </c>
      <c r="M39" s="90">
        <v>90.078155658491681</v>
      </c>
      <c r="N39" s="90">
        <v>5.5749997249331598</v>
      </c>
      <c r="O39" s="91">
        <v>9.941031657775129E-3</v>
      </c>
      <c r="P39" s="92">
        <v>6706.6384140754626</v>
      </c>
    </row>
    <row r="40" spans="1:16" ht="13" x14ac:dyDescent="0.25">
      <c r="A40" s="14" t="s">
        <v>9</v>
      </c>
      <c r="B40" s="14">
        <v>2025</v>
      </c>
      <c r="C40" s="14" t="str">
        <f t="shared" si="0"/>
        <v>TMS25</v>
      </c>
      <c r="D40" s="87">
        <f t="shared" si="1"/>
        <v>15.223381384149521</v>
      </c>
      <c r="E40" s="87">
        <f t="shared" si="2"/>
        <v>10.378419321905966</v>
      </c>
      <c r="F40" s="88">
        <f t="shared" si="3"/>
        <v>90.078155658491681</v>
      </c>
      <c r="G40" s="88">
        <f t="shared" si="4"/>
        <v>1.7182922680068378</v>
      </c>
      <c r="H40" s="88">
        <f t="shared" si="5"/>
        <v>-4.6114011897904508</v>
      </c>
      <c r="I40" s="88">
        <f t="shared" si="6"/>
        <v>8.8178761135036794</v>
      </c>
      <c r="J40" s="88">
        <f t="shared" si="7"/>
        <v>77.754939153098761</v>
      </c>
      <c r="K40" s="89">
        <v>4087243.68075614</v>
      </c>
      <c r="L40" s="89">
        <v>32158.089708133655</v>
      </c>
      <c r="M40" s="90">
        <v>90.078155658491681</v>
      </c>
      <c r="N40" s="90">
        <v>5.5749997249331598</v>
      </c>
      <c r="O40" s="91">
        <v>9.9378836864435268E-3</v>
      </c>
      <c r="P40" s="92">
        <v>6753.9048540880367</v>
      </c>
    </row>
    <row r="41" spans="1:16" ht="13" x14ac:dyDescent="0.25">
      <c r="A41" s="14" t="s">
        <v>23</v>
      </c>
      <c r="B41" s="14">
        <v>2021</v>
      </c>
      <c r="C41" s="14" t="str">
        <f t="shared" si="0"/>
        <v>WSH21</v>
      </c>
      <c r="D41" s="87">
        <f t="shared" si="1"/>
        <v>14.191887371059897</v>
      </c>
      <c r="E41" s="87">
        <f t="shared" si="2"/>
        <v>10.236099477836117</v>
      </c>
      <c r="F41" s="88">
        <f t="shared" si="3"/>
        <v>100</v>
      </c>
      <c r="G41" s="88">
        <f t="shared" si="4"/>
        <v>1.7105110188181716</v>
      </c>
      <c r="H41" s="88">
        <f t="shared" si="5"/>
        <v>-3.8600790731122578</v>
      </c>
      <c r="I41" s="88">
        <f t="shared" si="6"/>
        <v>6.4581927579891021</v>
      </c>
      <c r="J41" s="88">
        <f t="shared" si="7"/>
        <v>41.708253699342883</v>
      </c>
      <c r="K41" s="89">
        <v>1456996.0455362487</v>
      </c>
      <c r="L41" s="89">
        <v>27892.119642857142</v>
      </c>
      <c r="M41" s="90">
        <v>100</v>
      </c>
      <c r="N41" s="90">
        <v>5.5317876030241449</v>
      </c>
      <c r="O41" s="91">
        <v>2.1066333676612793E-2</v>
      </c>
      <c r="P41" s="92">
        <v>637.90716157840734</v>
      </c>
    </row>
    <row r="42" spans="1:16" ht="13" x14ac:dyDescent="0.25">
      <c r="A42" s="14" t="s">
        <v>23</v>
      </c>
      <c r="B42" s="14">
        <v>2022</v>
      </c>
      <c r="C42" s="14" t="str">
        <f t="shared" si="0"/>
        <v>WSH22</v>
      </c>
      <c r="D42" s="87">
        <f t="shared" si="1"/>
        <v>14.197033513397635</v>
      </c>
      <c r="E42" s="87">
        <f t="shared" si="2"/>
        <v>10.237909857850481</v>
      </c>
      <c r="F42" s="88">
        <f t="shared" si="3"/>
        <v>100</v>
      </c>
      <c r="G42" s="88">
        <f t="shared" si="4"/>
        <v>1.7105093288397413</v>
      </c>
      <c r="H42" s="88">
        <f t="shared" si="5"/>
        <v>-3.8642865461705611</v>
      </c>
      <c r="I42" s="88">
        <f t="shared" si="6"/>
        <v>6.4667763532562264</v>
      </c>
      <c r="J42" s="88">
        <f t="shared" si="7"/>
        <v>41.819196403033899</v>
      </c>
      <c r="K42" s="89">
        <v>1464513.2803625346</v>
      </c>
      <c r="L42" s="89">
        <v>27942.660714285714</v>
      </c>
      <c r="M42" s="90">
        <v>100</v>
      </c>
      <c r="N42" s="90">
        <v>5.5317782544303151</v>
      </c>
      <c r="O42" s="91">
        <v>2.0977883850844994E-2</v>
      </c>
      <c r="P42" s="92">
        <v>643.40626575007593</v>
      </c>
    </row>
    <row r="43" spans="1:16" ht="13" x14ac:dyDescent="0.25">
      <c r="A43" s="14" t="s">
        <v>23</v>
      </c>
      <c r="B43" s="14">
        <v>2023</v>
      </c>
      <c r="C43" s="14" t="str">
        <f t="shared" si="0"/>
        <v>WSH23</v>
      </c>
      <c r="D43" s="87">
        <f t="shared" si="1"/>
        <v>14.202618003383721</v>
      </c>
      <c r="E43" s="87">
        <f t="shared" si="2"/>
        <v>10.239645517840508</v>
      </c>
      <c r="F43" s="88">
        <f t="shared" si="3"/>
        <v>100</v>
      </c>
      <c r="G43" s="88">
        <f t="shared" si="4"/>
        <v>1.7105102202776798</v>
      </c>
      <c r="H43" s="88">
        <f t="shared" si="5"/>
        <v>-3.8684948047206085</v>
      </c>
      <c r="I43" s="88">
        <f t="shared" si="6"/>
        <v>6.4755363797562833</v>
      </c>
      <c r="J43" s="88">
        <f t="shared" si="7"/>
        <v>41.932571405547108</v>
      </c>
      <c r="K43" s="89">
        <v>1472714.7192232821</v>
      </c>
      <c r="L43" s="89">
        <v>27991.201785714286</v>
      </c>
      <c r="M43" s="90">
        <v>100</v>
      </c>
      <c r="N43" s="90">
        <v>5.531783185669517</v>
      </c>
      <c r="O43" s="91">
        <v>2.0889788984763669E-2</v>
      </c>
      <c r="P43" s="92">
        <v>649.06728080807989</v>
      </c>
    </row>
    <row r="44" spans="1:16" ht="13" x14ac:dyDescent="0.25">
      <c r="A44" s="14" t="s">
        <v>23</v>
      </c>
      <c r="B44" s="14">
        <v>2024</v>
      </c>
      <c r="C44" s="14" t="str">
        <f t="shared" si="0"/>
        <v>WSH24</v>
      </c>
      <c r="D44" s="87">
        <f t="shared" si="1"/>
        <v>14.2079005922792</v>
      </c>
      <c r="E44" s="87">
        <f t="shared" si="2"/>
        <v>10.241627785033547</v>
      </c>
      <c r="F44" s="88">
        <f t="shared" si="3"/>
        <v>100</v>
      </c>
      <c r="G44" s="88">
        <f t="shared" si="4"/>
        <v>1.7104903648814838</v>
      </c>
      <c r="H44" s="88">
        <f t="shared" si="5"/>
        <v>-3.8727038862561036</v>
      </c>
      <c r="I44" s="88">
        <f t="shared" si="6"/>
        <v>6.4844475535078248</v>
      </c>
      <c r="J44" s="88">
        <f t="shared" si="7"/>
        <v>42.048060074193614</v>
      </c>
      <c r="K44" s="89">
        <v>1480515.0504773958</v>
      </c>
      <c r="L44" s="89">
        <v>28046.742857142857</v>
      </c>
      <c r="M44" s="90">
        <v>100</v>
      </c>
      <c r="N44" s="90">
        <v>5.5316733510131035</v>
      </c>
      <c r="O44" s="91">
        <v>2.0802046945904481E-2</v>
      </c>
      <c r="P44" s="92">
        <v>654.87707974186355</v>
      </c>
    </row>
    <row r="45" spans="1:16" ht="13" x14ac:dyDescent="0.25">
      <c r="A45" s="14" t="s">
        <v>23</v>
      </c>
      <c r="B45" s="14">
        <v>2025</v>
      </c>
      <c r="C45" s="14" t="str">
        <f t="shared" si="0"/>
        <v>WSH25</v>
      </c>
      <c r="D45" s="87">
        <f t="shared" si="1"/>
        <v>14.213004938733535</v>
      </c>
      <c r="E45" s="87">
        <f t="shared" si="2"/>
        <v>10.243855189672569</v>
      </c>
      <c r="F45" s="88">
        <f t="shared" si="3"/>
        <v>100</v>
      </c>
      <c r="G45" s="88">
        <f t="shared" si="4"/>
        <v>1.7104872735537047</v>
      </c>
      <c r="H45" s="88">
        <f t="shared" si="5"/>
        <v>-3.8769138283145783</v>
      </c>
      <c r="I45" s="88">
        <f t="shared" si="6"/>
        <v>6.4934261066313503</v>
      </c>
      <c r="J45" s="88">
        <f t="shared" si="7"/>
        <v>42.164582602281577</v>
      </c>
      <c r="K45" s="89">
        <v>1488091.4320142029</v>
      </c>
      <c r="L45" s="89">
        <v>28109.283928571429</v>
      </c>
      <c r="M45" s="90">
        <v>100</v>
      </c>
      <c r="N45" s="90">
        <v>5.5316562508240388</v>
      </c>
      <c r="O45" s="91">
        <v>2.0714655618850338E-2</v>
      </c>
      <c r="P45" s="92">
        <v>660.78340383617569</v>
      </c>
    </row>
    <row r="46" spans="1:16" ht="13" x14ac:dyDescent="0.25">
      <c r="A46" s="14" t="s">
        <v>10</v>
      </c>
      <c r="B46" s="14">
        <v>2021</v>
      </c>
      <c r="C46" s="14" t="str">
        <f t="shared" si="0"/>
        <v>WSX21</v>
      </c>
      <c r="D46" s="87">
        <f t="shared" si="1"/>
        <v>13.356905678832293</v>
      </c>
      <c r="E46" s="87">
        <f t="shared" si="2"/>
        <v>9.4001483362540927</v>
      </c>
      <c r="F46" s="88">
        <f t="shared" si="3"/>
        <v>48.036561483094907</v>
      </c>
      <c r="G46" s="88">
        <f t="shared" si="4"/>
        <v>1.2227252116082137</v>
      </c>
      <c r="H46" s="88">
        <f t="shared" si="5"/>
        <v>-3.7200177314105543</v>
      </c>
      <c r="I46" s="88">
        <f t="shared" si="6"/>
        <v>5.580318610166664</v>
      </c>
      <c r="J46" s="88">
        <f t="shared" si="7"/>
        <v>31.139955790972408</v>
      </c>
      <c r="K46" s="89">
        <v>632164.97713353403</v>
      </c>
      <c r="L46" s="89">
        <v>12090.174008333333</v>
      </c>
      <c r="M46" s="90">
        <v>48.036561483094907</v>
      </c>
      <c r="N46" s="90">
        <v>3.3964311263320375</v>
      </c>
      <c r="O46" s="91">
        <v>2.4233538147067479E-2</v>
      </c>
      <c r="P46" s="92">
        <v>265.1560737501859</v>
      </c>
    </row>
    <row r="47" spans="1:16" ht="13" x14ac:dyDescent="0.25">
      <c r="A47" s="14" t="s">
        <v>10</v>
      </c>
      <c r="B47" s="14">
        <v>2022</v>
      </c>
      <c r="C47" s="14" t="str">
        <f t="shared" si="0"/>
        <v>WSX22</v>
      </c>
      <c r="D47" s="87">
        <f t="shared" si="1"/>
        <v>13.363439538129171</v>
      </c>
      <c r="E47" s="87">
        <f t="shared" si="2"/>
        <v>9.4046419818960363</v>
      </c>
      <c r="F47" s="88">
        <f t="shared" si="3"/>
        <v>48.036561483094907</v>
      </c>
      <c r="G47" s="88">
        <f t="shared" si="4"/>
        <v>1.2227252116082137</v>
      </c>
      <c r="H47" s="88">
        <f t="shared" si="5"/>
        <v>-3.720505333900558</v>
      </c>
      <c r="I47" s="88">
        <f t="shared" si="6"/>
        <v>5.5848297318601645</v>
      </c>
      <c r="J47" s="88">
        <f t="shared" si="7"/>
        <v>31.190323133869278</v>
      </c>
      <c r="K47" s="89">
        <v>636308.97756167524</v>
      </c>
      <c r="L47" s="89">
        <v>12144.625216666667</v>
      </c>
      <c r="M47" s="90">
        <v>48.036561483094907</v>
      </c>
      <c r="N47" s="90">
        <v>3.396431126332037</v>
      </c>
      <c r="O47" s="91">
        <v>2.4221724693894019E-2</v>
      </c>
      <c r="P47" s="92">
        <v>266.35492712028952</v>
      </c>
    </row>
    <row r="48" spans="1:16" ht="13" x14ac:dyDescent="0.25">
      <c r="A48" s="14" t="s">
        <v>10</v>
      </c>
      <c r="B48" s="14">
        <v>2023</v>
      </c>
      <c r="C48" s="14" t="str">
        <f t="shared" si="0"/>
        <v>WSX23</v>
      </c>
      <c r="D48" s="87">
        <f t="shared" si="1"/>
        <v>13.37139630994365</v>
      </c>
      <c r="E48" s="87">
        <f t="shared" si="2"/>
        <v>9.4091155249868894</v>
      </c>
      <c r="F48" s="88">
        <f t="shared" si="3"/>
        <v>48.036561483094907</v>
      </c>
      <c r="G48" s="88">
        <f t="shared" si="4"/>
        <v>1.2227252116082132</v>
      </c>
      <c r="H48" s="88">
        <f t="shared" si="5"/>
        <v>-3.7209880784373679</v>
      </c>
      <c r="I48" s="88">
        <f t="shared" si="6"/>
        <v>5.589264883697532</v>
      </c>
      <c r="J48" s="88">
        <f t="shared" si="7"/>
        <v>31.239881940134385</v>
      </c>
      <c r="K48" s="89">
        <v>641392.13885893126</v>
      </c>
      <c r="L48" s="89">
        <v>12199.076424999999</v>
      </c>
      <c r="M48" s="90">
        <v>48.036561483094907</v>
      </c>
      <c r="N48" s="90">
        <v>3.3964311263320361</v>
      </c>
      <c r="O48" s="91">
        <v>2.4210034610514897E-2</v>
      </c>
      <c r="P48" s="92">
        <v>267.53887521874719</v>
      </c>
    </row>
    <row r="49" spans="1:16" ht="13" x14ac:dyDescent="0.25">
      <c r="A49" s="14" t="s">
        <v>10</v>
      </c>
      <c r="B49" s="14">
        <v>2024</v>
      </c>
      <c r="C49" s="14" t="str">
        <f t="shared" si="0"/>
        <v>WSX24</v>
      </c>
      <c r="D49" s="87">
        <f t="shared" si="1"/>
        <v>13.379085826685273</v>
      </c>
      <c r="E49" s="87">
        <f t="shared" si="2"/>
        <v>9.4135691445854786</v>
      </c>
      <c r="F49" s="88">
        <f t="shared" si="3"/>
        <v>48.036561483094928</v>
      </c>
      <c r="G49" s="88">
        <f t="shared" si="4"/>
        <v>1.2227252116082137</v>
      </c>
      <c r="H49" s="88">
        <f t="shared" si="5"/>
        <v>-3.7214660373157717</v>
      </c>
      <c r="I49" s="88">
        <f t="shared" si="6"/>
        <v>5.5937182426740417</v>
      </c>
      <c r="J49" s="88">
        <f t="shared" si="7"/>
        <v>31.289683778424369</v>
      </c>
      <c r="K49" s="89">
        <v>646343.14547726023</v>
      </c>
      <c r="L49" s="89">
        <v>12253.527633333335</v>
      </c>
      <c r="M49" s="90">
        <v>48.036561483094928</v>
      </c>
      <c r="N49" s="90">
        <v>3.3964311263320375</v>
      </c>
      <c r="O49" s="91">
        <v>2.419846597441274E-2</v>
      </c>
      <c r="P49" s="92">
        <v>268.73297878268562</v>
      </c>
    </row>
    <row r="50" spans="1:16" ht="13" x14ac:dyDescent="0.25">
      <c r="A50" s="14" t="s">
        <v>10</v>
      </c>
      <c r="B50" s="14">
        <v>2025</v>
      </c>
      <c r="C50" s="14" t="str">
        <f t="shared" si="0"/>
        <v>WSX25</v>
      </c>
      <c r="D50" s="87">
        <f t="shared" si="1"/>
        <v>13.386603296586101</v>
      </c>
      <c r="E50" s="87">
        <f t="shared" si="2"/>
        <v>9.4180030173688483</v>
      </c>
      <c r="F50" s="88">
        <f t="shared" si="3"/>
        <v>48.036561483094893</v>
      </c>
      <c r="G50" s="88">
        <f t="shared" si="4"/>
        <v>1.2227252116082132</v>
      </c>
      <c r="H50" s="88">
        <f t="shared" si="5"/>
        <v>-3.7219392814020598</v>
      </c>
      <c r="I50" s="88">
        <f t="shared" si="6"/>
        <v>5.5982555484721379</v>
      </c>
      <c r="J50" s="88">
        <f t="shared" si="7"/>
        <v>31.340465185999079</v>
      </c>
      <c r="K50" s="89">
        <v>651220.31965567428</v>
      </c>
      <c r="L50" s="89">
        <v>12307.978841666667</v>
      </c>
      <c r="M50" s="90">
        <v>48.036561483094893</v>
      </c>
      <c r="N50" s="90">
        <v>3.3964311263320361</v>
      </c>
      <c r="O50" s="91">
        <v>2.4187016902809493E-2</v>
      </c>
      <c r="P50" s="92">
        <v>269.95507289619133</v>
      </c>
    </row>
    <row r="51" spans="1:16" ht="13" x14ac:dyDescent="0.25">
      <c r="A51" s="14" t="s">
        <v>11</v>
      </c>
      <c r="B51" s="14">
        <v>2021</v>
      </c>
      <c r="C51" s="14" t="str">
        <f t="shared" si="0"/>
        <v>YKY21</v>
      </c>
      <c r="D51" s="87">
        <f t="shared" si="1"/>
        <v>14.666450702749623</v>
      </c>
      <c r="E51" s="87">
        <f t="shared" si="2"/>
        <v>10.372313384656414</v>
      </c>
      <c r="F51" s="88">
        <f t="shared" si="3"/>
        <v>95.892521789377369</v>
      </c>
      <c r="G51" s="88">
        <f t="shared" si="4"/>
        <v>1.598529690484739</v>
      </c>
      <c r="H51" s="88">
        <f t="shared" si="5"/>
        <v>-4.1036677142347679</v>
      </c>
      <c r="I51" s="88">
        <f t="shared" si="6"/>
        <v>6.9912898961649672</v>
      </c>
      <c r="J51" s="88">
        <f t="shared" si="7"/>
        <v>48.878134412218358</v>
      </c>
      <c r="K51" s="89">
        <v>2341847.4930119179</v>
      </c>
      <c r="L51" s="89">
        <v>31962.332678571427</v>
      </c>
      <c r="M51" s="90">
        <v>95.892521789377369</v>
      </c>
      <c r="N51" s="90">
        <v>4.9457552848268893</v>
      </c>
      <c r="O51" s="91">
        <v>1.6512002897001207E-2</v>
      </c>
      <c r="P51" s="92">
        <v>1087.1228477718885</v>
      </c>
    </row>
    <row r="52" spans="1:16" ht="13" x14ac:dyDescent="0.25">
      <c r="A52" s="14" t="s">
        <v>11</v>
      </c>
      <c r="B52" s="14">
        <v>2022</v>
      </c>
      <c r="C52" s="14" t="str">
        <f t="shared" si="0"/>
        <v>YKY22</v>
      </c>
      <c r="D52" s="87">
        <f t="shared" si="1"/>
        <v>14.670698839863022</v>
      </c>
      <c r="E52" s="87">
        <f t="shared" si="2"/>
        <v>10.375240421059669</v>
      </c>
      <c r="F52" s="88">
        <f t="shared" si="3"/>
        <v>95.921379109028109</v>
      </c>
      <c r="G52" s="88">
        <f t="shared" si="4"/>
        <v>1.5993946203816567</v>
      </c>
      <c r="H52" s="88">
        <f t="shared" si="5"/>
        <v>-4.1081548631085099</v>
      </c>
      <c r="I52" s="88">
        <f t="shared" si="6"/>
        <v>6.994611557510841</v>
      </c>
      <c r="J52" s="88">
        <f t="shared" si="7"/>
        <v>48.924590840464234</v>
      </c>
      <c r="K52" s="89">
        <v>2351817.1434887578</v>
      </c>
      <c r="L52" s="89">
        <v>32056.024642857141</v>
      </c>
      <c r="M52" s="90">
        <v>95.921379109028109</v>
      </c>
      <c r="N52" s="90">
        <v>4.9500348669380339</v>
      </c>
      <c r="O52" s="91">
        <v>1.6438077063946274E-2</v>
      </c>
      <c r="P52" s="92">
        <v>1090.7399057086025</v>
      </c>
    </row>
    <row r="53" spans="1:16" ht="13" x14ac:dyDescent="0.25">
      <c r="A53" s="14" t="s">
        <v>11</v>
      </c>
      <c r="B53" s="14">
        <v>2023</v>
      </c>
      <c r="C53" s="14" t="str">
        <f t="shared" si="0"/>
        <v>YKY23</v>
      </c>
      <c r="D53" s="87">
        <f t="shared" si="1"/>
        <v>14.675782269142008</v>
      </c>
      <c r="E53" s="87">
        <f t="shared" si="2"/>
        <v>10.378143362561515</v>
      </c>
      <c r="F53" s="88">
        <f t="shared" si="3"/>
        <v>95.949987300182698</v>
      </c>
      <c r="G53" s="88">
        <f t="shared" si="4"/>
        <v>1.6046908601557528</v>
      </c>
      <c r="H53" s="88">
        <f t="shared" si="5"/>
        <v>-4.1126401608737266</v>
      </c>
      <c r="I53" s="88">
        <f t="shared" si="6"/>
        <v>6.9977754504698515</v>
      </c>
      <c r="J53" s="88">
        <f t="shared" si="7"/>
        <v>48.968861255198533</v>
      </c>
      <c r="K53" s="89">
        <v>2363802.8781214482</v>
      </c>
      <c r="L53" s="89">
        <v>32149.216607142858</v>
      </c>
      <c r="M53" s="90">
        <v>95.949987300182698</v>
      </c>
      <c r="N53" s="90">
        <v>4.9763209858335582</v>
      </c>
      <c r="O53" s="91">
        <v>1.6364512496452304E-2</v>
      </c>
      <c r="P53" s="92">
        <v>1094.1963550509363</v>
      </c>
    </row>
    <row r="54" spans="1:16" ht="13" x14ac:dyDescent="0.25">
      <c r="A54" s="14" t="s">
        <v>11</v>
      </c>
      <c r="B54" s="14">
        <v>2024</v>
      </c>
      <c r="C54" s="14" t="str">
        <f t="shared" si="0"/>
        <v>YKY24</v>
      </c>
      <c r="D54" s="87">
        <f t="shared" si="1"/>
        <v>14.680654374561529</v>
      </c>
      <c r="E54" s="87">
        <f t="shared" si="2"/>
        <v>10.381053408786702</v>
      </c>
      <c r="F54" s="88">
        <f t="shared" si="3"/>
        <v>95.980028483423325</v>
      </c>
      <c r="G54" s="88">
        <f t="shared" si="4"/>
        <v>1.6509276533589741</v>
      </c>
      <c r="H54" s="88">
        <f t="shared" si="5"/>
        <v>-4.1171236537655789</v>
      </c>
      <c r="I54" s="88">
        <f t="shared" si="6"/>
        <v>7.0010019870815556</v>
      </c>
      <c r="J54" s="88">
        <f t="shared" si="7"/>
        <v>49.014028823119894</v>
      </c>
      <c r="K54" s="89">
        <v>2375347.6758334134</v>
      </c>
      <c r="L54" s="89">
        <v>32242.908571428568</v>
      </c>
      <c r="M54" s="90">
        <v>95.980028483423325</v>
      </c>
      <c r="N54" s="90">
        <v>5.211812340608752</v>
      </c>
      <c r="O54" s="91">
        <v>1.6291306552790187E-2</v>
      </c>
      <c r="P54" s="92">
        <v>1097.7325213681636</v>
      </c>
    </row>
    <row r="55" spans="1:16" ht="13" x14ac:dyDescent="0.25">
      <c r="A55" s="14" t="s">
        <v>11</v>
      </c>
      <c r="B55" s="14">
        <v>2025</v>
      </c>
      <c r="C55" s="14" t="str">
        <f t="shared" si="0"/>
        <v>YKY25</v>
      </c>
      <c r="D55" s="87">
        <f t="shared" si="1"/>
        <v>14.685492903373545</v>
      </c>
      <c r="E55" s="87">
        <f t="shared" si="2"/>
        <v>10.383939548734137</v>
      </c>
      <c r="F55" s="88">
        <f t="shared" si="3"/>
        <v>96.01064497501946</v>
      </c>
      <c r="G55" s="88">
        <f t="shared" si="4"/>
        <v>1.652079745862417</v>
      </c>
      <c r="H55" s="88">
        <f t="shared" si="5"/>
        <v>-4.1216053879094634</v>
      </c>
      <c r="I55" s="88">
        <f t="shared" si="6"/>
        <v>7.0042623563168247</v>
      </c>
      <c r="J55" s="88">
        <f t="shared" si="7"/>
        <v>49.059691156116919</v>
      </c>
      <c r="K55" s="89">
        <v>2386868.7139620297</v>
      </c>
      <c r="L55" s="89">
        <v>32336.100535714286</v>
      </c>
      <c r="M55" s="90">
        <v>96.01064497501946</v>
      </c>
      <c r="N55" s="90">
        <v>5.2178202907283273</v>
      </c>
      <c r="O55" s="91">
        <v>1.6218456616924788E-2</v>
      </c>
      <c r="P55" s="92">
        <v>1101.3173755078765</v>
      </c>
    </row>
    <row r="56" spans="1:16" ht="13" x14ac:dyDescent="0.25">
      <c r="A56" s="14" t="s">
        <v>12</v>
      </c>
      <c r="B56" s="14">
        <v>2021</v>
      </c>
      <c r="C56" s="14" t="str">
        <f t="shared" si="0"/>
        <v>AFW21</v>
      </c>
      <c r="D56" s="87">
        <f t="shared" si="1"/>
        <v>14.245374472098343</v>
      </c>
      <c r="E56" s="87">
        <f t="shared" si="2"/>
        <v>9.743098583505251</v>
      </c>
      <c r="F56" s="88">
        <f t="shared" si="3"/>
        <v>96.183255211731236</v>
      </c>
      <c r="G56" s="88">
        <f t="shared" si="4"/>
        <v>1.7062816926731856</v>
      </c>
      <c r="H56" s="88">
        <f t="shared" si="5"/>
        <v>-4.1185848224210657</v>
      </c>
      <c r="I56" s="88">
        <f t="shared" si="6"/>
        <v>7.9082523940060971</v>
      </c>
      <c r="J56" s="88">
        <f t="shared" si="7"/>
        <v>62.540455927303164</v>
      </c>
      <c r="K56" s="89">
        <v>1537048.3387608978</v>
      </c>
      <c r="L56" s="89">
        <v>17036.247917549023</v>
      </c>
      <c r="M56" s="90">
        <v>96.183255211731236</v>
      </c>
      <c r="N56" s="90">
        <v>5.5084412735071018</v>
      </c>
      <c r="O56" s="91">
        <v>1.6267519588913471E-2</v>
      </c>
      <c r="P56" s="92">
        <v>2719.6334631264458</v>
      </c>
    </row>
    <row r="57" spans="1:16" ht="13" x14ac:dyDescent="0.25">
      <c r="A57" s="14" t="s">
        <v>12</v>
      </c>
      <c r="B57" s="14">
        <v>2022</v>
      </c>
      <c r="C57" s="14" t="str">
        <f t="shared" si="0"/>
        <v>AFW22</v>
      </c>
      <c r="D57" s="87">
        <f t="shared" si="1"/>
        <v>14.252424727870089</v>
      </c>
      <c r="E57" s="87">
        <f t="shared" si="2"/>
        <v>9.7463057151426078</v>
      </c>
      <c r="F57" s="88">
        <f t="shared" si="3"/>
        <v>96.225124526443395</v>
      </c>
      <c r="G57" s="88">
        <f t="shared" si="4"/>
        <v>1.7071163171634236</v>
      </c>
      <c r="H57" s="88">
        <f t="shared" si="5"/>
        <v>-4.1259247657543616</v>
      </c>
      <c r="I57" s="88">
        <f t="shared" si="6"/>
        <v>7.9143161793932428</v>
      </c>
      <c r="J57" s="88">
        <f t="shared" si="7"/>
        <v>62.636400587405653</v>
      </c>
      <c r="K57" s="89">
        <v>1547923.2129593932</v>
      </c>
      <c r="L57" s="89">
        <v>17090.973115777364</v>
      </c>
      <c r="M57" s="90">
        <v>96.225124526443395</v>
      </c>
      <c r="N57" s="90">
        <v>5.5130406726155829</v>
      </c>
      <c r="O57" s="91">
        <v>1.614855405121314E-2</v>
      </c>
      <c r="P57" s="92">
        <v>2736.1748377666581</v>
      </c>
    </row>
    <row r="58" spans="1:16" ht="13" x14ac:dyDescent="0.25">
      <c r="A58" s="14" t="s">
        <v>12</v>
      </c>
      <c r="B58" s="14">
        <v>2023</v>
      </c>
      <c r="C58" s="14" t="str">
        <f t="shared" si="0"/>
        <v>AFW23</v>
      </c>
      <c r="D58" s="87">
        <f t="shared" si="1"/>
        <v>14.262036428230594</v>
      </c>
      <c r="E58" s="87">
        <f t="shared" si="2"/>
        <v>9.7495900756339697</v>
      </c>
      <c r="F58" s="88">
        <f t="shared" si="3"/>
        <v>95.963161817172832</v>
      </c>
      <c r="G58" s="88">
        <f t="shared" si="4"/>
        <v>1.7109744010202244</v>
      </c>
      <c r="H58" s="88">
        <f t="shared" si="5"/>
        <v>-4.1332666111611118</v>
      </c>
      <c r="I58" s="88">
        <f t="shared" si="6"/>
        <v>7.9198524466318876</v>
      </c>
      <c r="J58" s="88">
        <f t="shared" si="7"/>
        <v>62.724062776421093</v>
      </c>
      <c r="K58" s="89">
        <v>1562873.1189768142</v>
      </c>
      <c r="L58" s="89">
        <v>17147.198314005698</v>
      </c>
      <c r="M58" s="90">
        <v>95.963161817172832</v>
      </c>
      <c r="N58" s="90">
        <v>5.5343515289378633</v>
      </c>
      <c r="O58" s="91">
        <v>1.6030428025943389E-2</v>
      </c>
      <c r="P58" s="92">
        <v>2751.3650425982491</v>
      </c>
    </row>
    <row r="59" spans="1:16" ht="13" x14ac:dyDescent="0.25">
      <c r="A59" s="14" t="s">
        <v>12</v>
      </c>
      <c r="B59" s="14">
        <v>2024</v>
      </c>
      <c r="C59" s="14" t="str">
        <f t="shared" si="0"/>
        <v>AFW24</v>
      </c>
      <c r="D59" s="87">
        <f t="shared" si="1"/>
        <v>14.271250970910756</v>
      </c>
      <c r="E59" s="87">
        <f t="shared" si="2"/>
        <v>9.7531542820018728</v>
      </c>
      <c r="F59" s="88">
        <f t="shared" si="3"/>
        <v>96.036000803110937</v>
      </c>
      <c r="G59" s="88">
        <f t="shared" si="4"/>
        <v>1.7092021705108986</v>
      </c>
      <c r="H59" s="88">
        <f t="shared" si="5"/>
        <v>-4.1406105573356626</v>
      </c>
      <c r="I59" s="88">
        <f t="shared" si="6"/>
        <v>7.9246031401327599</v>
      </c>
      <c r="J59" s="88">
        <f t="shared" si="7"/>
        <v>62.799334928602001</v>
      </c>
      <c r="K59" s="89">
        <v>1577340.834357392</v>
      </c>
      <c r="L59" s="89">
        <v>17208.423512234036</v>
      </c>
      <c r="M59" s="90">
        <v>96.036000803110937</v>
      </c>
      <c r="N59" s="90">
        <v>5.5245520683253284</v>
      </c>
      <c r="O59" s="91">
        <v>1.5913132657979379E-2</v>
      </c>
      <c r="P59" s="92">
        <v>2764.4670317503519</v>
      </c>
    </row>
    <row r="60" spans="1:16" ht="13" x14ac:dyDescent="0.25">
      <c r="A60" s="14" t="s">
        <v>12</v>
      </c>
      <c r="B60" s="14">
        <v>2025</v>
      </c>
      <c r="C60" s="14" t="str">
        <f t="shared" si="0"/>
        <v>AFW25</v>
      </c>
      <c r="D60" s="87">
        <f t="shared" si="1"/>
        <v>14.280279301828903</v>
      </c>
      <c r="E60" s="87">
        <f t="shared" si="2"/>
        <v>9.7563351688530311</v>
      </c>
      <c r="F60" s="88">
        <f t="shared" si="3"/>
        <v>96.129596816349391</v>
      </c>
      <c r="G60" s="88">
        <f t="shared" si="4"/>
        <v>1.7094705384297184</v>
      </c>
      <c r="H60" s="88">
        <f t="shared" si="5"/>
        <v>-4.147956803312705</v>
      </c>
      <c r="I60" s="88">
        <f t="shared" si="6"/>
        <v>7.9292217396070965</v>
      </c>
      <c r="J60" s="88">
        <f t="shared" si="7"/>
        <v>62.87255739585779</v>
      </c>
      <c r="K60" s="89">
        <v>1591646.068405024</v>
      </c>
      <c r="L60" s="89">
        <v>17263.248710462372</v>
      </c>
      <c r="M60" s="90">
        <v>96.129596816349391</v>
      </c>
      <c r="N60" s="90">
        <v>5.526034879826935</v>
      </c>
      <c r="O60" s="91">
        <v>1.5796659216297672E-2</v>
      </c>
      <c r="P60" s="92">
        <v>2777.2645282361864</v>
      </c>
    </row>
    <row r="61" spans="1:16" ht="13" x14ac:dyDescent="0.25">
      <c r="A61" s="14" t="s">
        <v>13</v>
      </c>
      <c r="B61" s="14">
        <v>2021</v>
      </c>
      <c r="C61" s="14" t="str">
        <f t="shared" si="0"/>
        <v>BRL21</v>
      </c>
      <c r="D61" s="87">
        <f t="shared" si="1"/>
        <v>13.219416496679861</v>
      </c>
      <c r="E61" s="87">
        <f t="shared" si="2"/>
        <v>8.8396097959001665</v>
      </c>
      <c r="F61" s="88">
        <f t="shared" si="3"/>
        <v>98.687364035249416</v>
      </c>
      <c r="G61" s="88">
        <f t="shared" si="4"/>
        <v>1.7437166014424752</v>
      </c>
      <c r="H61" s="88">
        <f t="shared" si="5"/>
        <v>-4.0846625539944865</v>
      </c>
      <c r="I61" s="88">
        <f t="shared" si="6"/>
        <v>7.5644534792286455</v>
      </c>
      <c r="J61" s="88">
        <f t="shared" si="7"/>
        <v>57.220956439414358</v>
      </c>
      <c r="K61" s="89">
        <v>550959.45260017877</v>
      </c>
      <c r="L61" s="89">
        <v>6902.2988095238088</v>
      </c>
      <c r="M61" s="90">
        <v>98.687364035249416</v>
      </c>
      <c r="N61" s="90">
        <v>5.7185575753106441</v>
      </c>
      <c r="O61" s="91">
        <v>1.6828817175057322E-2</v>
      </c>
      <c r="P61" s="92">
        <v>1928.4145723898973</v>
      </c>
    </row>
    <row r="62" spans="1:16" ht="13" x14ac:dyDescent="0.25">
      <c r="A62" s="14" t="s">
        <v>13</v>
      </c>
      <c r="B62" s="14">
        <v>2022</v>
      </c>
      <c r="C62" s="14" t="str">
        <f t="shared" si="0"/>
        <v>BRL22</v>
      </c>
      <c r="D62" s="87">
        <f t="shared" si="1"/>
        <v>13.227597885899042</v>
      </c>
      <c r="E62" s="87">
        <f t="shared" si="2"/>
        <v>8.8435096100868602</v>
      </c>
      <c r="F62" s="88">
        <f t="shared" si="3"/>
        <v>98.685619346501753</v>
      </c>
      <c r="G62" s="88">
        <f t="shared" si="4"/>
        <v>1.743702836955169</v>
      </c>
      <c r="H62" s="88">
        <f t="shared" si="5"/>
        <v>-4.0832844742217711</v>
      </c>
      <c r="I62" s="88">
        <f t="shared" si="6"/>
        <v>7.5727175646332157</v>
      </c>
      <c r="J62" s="88">
        <f t="shared" si="7"/>
        <v>57.346051313704422</v>
      </c>
      <c r="K62" s="89">
        <v>555485.55598636472</v>
      </c>
      <c r="L62" s="89">
        <v>6929.2690476190473</v>
      </c>
      <c r="M62" s="90">
        <v>98.685619346501753</v>
      </c>
      <c r="N62" s="90">
        <v>5.7184788628392091</v>
      </c>
      <c r="O62" s="91">
        <v>1.6852024614783859E-2</v>
      </c>
      <c r="P62" s="92">
        <v>1944.4171875257127</v>
      </c>
    </row>
    <row r="63" spans="1:16" ht="13" x14ac:dyDescent="0.25">
      <c r="A63" s="14" t="s">
        <v>13</v>
      </c>
      <c r="B63" s="14">
        <v>2023</v>
      </c>
      <c r="C63" s="14" t="str">
        <f t="shared" si="0"/>
        <v>BRL23</v>
      </c>
      <c r="D63" s="87">
        <f t="shared" si="1"/>
        <v>13.236245958949082</v>
      </c>
      <c r="E63" s="87">
        <f t="shared" si="2"/>
        <v>8.847394274783932</v>
      </c>
      <c r="F63" s="88">
        <f t="shared" si="3"/>
        <v>98.685817939510599</v>
      </c>
      <c r="G63" s="88">
        <f t="shared" si="4"/>
        <v>1.7437010921736187</v>
      </c>
      <c r="H63" s="88">
        <f t="shared" si="5"/>
        <v>-4.0819193413677963</v>
      </c>
      <c r="I63" s="88">
        <f t="shared" si="6"/>
        <v>7.5807253056201747</v>
      </c>
      <c r="J63" s="88">
        <f t="shared" si="7"/>
        <v>57.467396159270088</v>
      </c>
      <c r="K63" s="89">
        <v>560310.26781329524</v>
      </c>
      <c r="L63" s="89">
        <v>6956.2392857142859</v>
      </c>
      <c r="M63" s="90">
        <v>98.685817939510599</v>
      </c>
      <c r="N63" s="90">
        <v>5.7184688853514976</v>
      </c>
      <c r="O63" s="91">
        <v>1.6875045577002284E-2</v>
      </c>
      <c r="P63" s="92">
        <v>1960.050085295321</v>
      </c>
    </row>
    <row r="64" spans="1:16" ht="13" x14ac:dyDescent="0.25">
      <c r="A64" s="14" t="s">
        <v>13</v>
      </c>
      <c r="B64" s="14">
        <v>2024</v>
      </c>
      <c r="C64" s="14" t="str">
        <f t="shared" si="0"/>
        <v>BRL24</v>
      </c>
      <c r="D64" s="87">
        <f t="shared" si="1"/>
        <v>13.244830361330568</v>
      </c>
      <c r="E64" s="87">
        <f t="shared" si="2"/>
        <v>8.8512639072375894</v>
      </c>
      <c r="F64" s="88">
        <f t="shared" si="3"/>
        <v>98.685627297367532</v>
      </c>
      <c r="G64" s="88">
        <f t="shared" si="4"/>
        <v>1.7437041925759689</v>
      </c>
      <c r="H64" s="88">
        <f t="shared" si="5"/>
        <v>-4.0805669725788558</v>
      </c>
      <c r="I64" s="88">
        <f t="shared" si="6"/>
        <v>7.5885994096930176</v>
      </c>
      <c r="J64" s="88">
        <f t="shared" si="7"/>
        <v>57.586841000793214</v>
      </c>
      <c r="K64" s="89">
        <v>565140.90099531051</v>
      </c>
      <c r="L64" s="89">
        <v>6983.2095238095235</v>
      </c>
      <c r="M64" s="90">
        <v>98.685627297367532</v>
      </c>
      <c r="N64" s="90">
        <v>5.7184866149333535</v>
      </c>
      <c r="O64" s="91">
        <v>1.6897882300307986E-2</v>
      </c>
      <c r="P64" s="92">
        <v>1975.5446464915258</v>
      </c>
    </row>
    <row r="65" spans="1:16" ht="13" x14ac:dyDescent="0.25">
      <c r="A65" s="14" t="s">
        <v>13</v>
      </c>
      <c r="B65" s="14">
        <v>2025</v>
      </c>
      <c r="C65" s="14" t="str">
        <f t="shared" si="0"/>
        <v>BRL25</v>
      </c>
      <c r="D65" s="87">
        <f t="shared" si="1"/>
        <v>13.253466611772946</v>
      </c>
      <c r="E65" s="87">
        <f t="shared" si="2"/>
        <v>8.8551186233381838</v>
      </c>
      <c r="F65" s="88">
        <f t="shared" si="3"/>
        <v>98.685533420219684</v>
      </c>
      <c r="G65" s="88">
        <f t="shared" si="4"/>
        <v>1.7436979540704969</v>
      </c>
      <c r="H65" s="88">
        <f t="shared" si="5"/>
        <v>-4.0792271884514104</v>
      </c>
      <c r="I65" s="88">
        <f t="shared" si="6"/>
        <v>7.5964774759131677</v>
      </c>
      <c r="J65" s="88">
        <f t="shared" si="7"/>
        <v>57.70647004205609</v>
      </c>
      <c r="K65" s="89">
        <v>570042.73562042881</v>
      </c>
      <c r="L65" s="89">
        <v>7010.1797619047611</v>
      </c>
      <c r="M65" s="90">
        <v>98.685533420219684</v>
      </c>
      <c r="N65" s="90">
        <v>5.7184509402345931</v>
      </c>
      <c r="O65" s="91">
        <v>1.6920536987607798E-2</v>
      </c>
      <c r="P65" s="92">
        <v>1991.1695843731068</v>
      </c>
    </row>
    <row r="66" spans="1:16" ht="13" x14ac:dyDescent="0.25">
      <c r="A66" s="14" t="s">
        <v>14</v>
      </c>
      <c r="B66" s="14">
        <v>2021</v>
      </c>
      <c r="C66" s="14" t="str">
        <f t="shared" si="0"/>
        <v>DVW21</v>
      </c>
      <c r="D66" s="87">
        <f t="shared" si="1"/>
        <v>11.764345856509376</v>
      </c>
      <c r="E66" s="87">
        <f t="shared" si="2"/>
        <v>7.6195157710181158</v>
      </c>
      <c r="F66" s="88">
        <f t="shared" si="3"/>
        <v>100</v>
      </c>
      <c r="G66" s="88">
        <f t="shared" si="4"/>
        <v>1.6035963236421982</v>
      </c>
      <c r="H66" s="88">
        <f t="shared" si="5"/>
        <v>-4.0209340043656674</v>
      </c>
      <c r="I66" s="88">
        <f t="shared" si="6"/>
        <v>5.7679310456394868</v>
      </c>
      <c r="J66" s="88">
        <f t="shared" si="7"/>
        <v>33.269028547251821</v>
      </c>
      <c r="K66" s="89">
        <v>128585.05314075587</v>
      </c>
      <c r="L66" s="89">
        <v>2037.575237916667</v>
      </c>
      <c r="M66" s="90">
        <v>100</v>
      </c>
      <c r="N66" s="90">
        <v>4.9708772005657451</v>
      </c>
      <c r="O66" s="91">
        <v>1.7936204620196818E-2</v>
      </c>
      <c r="P66" s="92">
        <v>319.87524027724618</v>
      </c>
    </row>
    <row r="67" spans="1:16" ht="13" x14ac:dyDescent="0.25">
      <c r="A67" s="14" t="s">
        <v>14</v>
      </c>
      <c r="B67" s="14">
        <v>2022</v>
      </c>
      <c r="C67" s="14" t="str">
        <f t="shared" si="0"/>
        <v>DVW22</v>
      </c>
      <c r="D67" s="87">
        <f t="shared" si="1"/>
        <v>11.769915482234701</v>
      </c>
      <c r="E67" s="87">
        <f t="shared" si="2"/>
        <v>7.6215889208151202</v>
      </c>
      <c r="F67" s="88">
        <f t="shared" si="3"/>
        <v>100</v>
      </c>
      <c r="G67" s="88">
        <f t="shared" si="4"/>
        <v>1.6035963236421982</v>
      </c>
      <c r="H67" s="88">
        <f t="shared" si="5"/>
        <v>-4.0183856186251887</v>
      </c>
      <c r="I67" s="88">
        <f t="shared" si="6"/>
        <v>5.7713541662395293</v>
      </c>
      <c r="J67" s="88">
        <f t="shared" si="7"/>
        <v>33.308528912170374</v>
      </c>
      <c r="K67" s="89">
        <v>129303.22186962582</v>
      </c>
      <c r="L67" s="89">
        <v>2041.8038183333338</v>
      </c>
      <c r="M67" s="90">
        <v>100</v>
      </c>
      <c r="N67" s="90">
        <v>4.9708772005657451</v>
      </c>
      <c r="O67" s="91">
        <v>1.7981971279071245E-2</v>
      </c>
      <c r="P67" s="92">
        <v>320.9720880517396</v>
      </c>
    </row>
    <row r="68" spans="1:16" ht="13" x14ac:dyDescent="0.25">
      <c r="A68" s="14" t="s">
        <v>14</v>
      </c>
      <c r="B68" s="14">
        <v>2023</v>
      </c>
      <c r="C68" s="14" t="str">
        <f t="shared" si="0"/>
        <v>DVW23</v>
      </c>
      <c r="D68" s="87">
        <f t="shared" si="1"/>
        <v>11.775500326822636</v>
      </c>
      <c r="E68" s="87">
        <f t="shared" si="2"/>
        <v>7.6236577815523745</v>
      </c>
      <c r="F68" s="88">
        <f t="shared" si="3"/>
        <v>100</v>
      </c>
      <c r="G68" s="88">
        <f t="shared" si="4"/>
        <v>1.6035963236421982</v>
      </c>
      <c r="H68" s="88">
        <f t="shared" si="5"/>
        <v>-4.0158542041977823</v>
      </c>
      <c r="I68" s="88">
        <f t="shared" si="6"/>
        <v>5.7746230793606763</v>
      </c>
      <c r="J68" s="88">
        <f t="shared" si="7"/>
        <v>33.346271708684981</v>
      </c>
      <c r="K68" s="89">
        <v>130027.38054307325</v>
      </c>
      <c r="L68" s="89">
        <v>2046.0323987500003</v>
      </c>
      <c r="M68" s="90">
        <v>100</v>
      </c>
      <c r="N68" s="90">
        <v>4.9708772005657451</v>
      </c>
      <c r="O68" s="91">
        <v>1.8027548764013166E-2</v>
      </c>
      <c r="P68" s="92">
        <v>322.02303471270892</v>
      </c>
    </row>
    <row r="69" spans="1:16" ht="13" x14ac:dyDescent="0.25">
      <c r="A69" s="14" t="s">
        <v>14</v>
      </c>
      <c r="B69" s="14">
        <v>2024</v>
      </c>
      <c r="C69" s="14" t="str">
        <f t="shared" si="0"/>
        <v>DVW24</v>
      </c>
      <c r="D69" s="87">
        <f t="shared" si="1"/>
        <v>11.780986039500434</v>
      </c>
      <c r="E69" s="87">
        <f t="shared" si="2"/>
        <v>7.6257223709401858</v>
      </c>
      <c r="F69" s="88">
        <f t="shared" si="3"/>
        <v>100</v>
      </c>
      <c r="G69" s="88">
        <f t="shared" si="4"/>
        <v>1.6035963236421982</v>
      </c>
      <c r="H69" s="88">
        <f t="shared" si="5"/>
        <v>-4.0133395840816677</v>
      </c>
      <c r="I69" s="88">
        <f t="shared" si="6"/>
        <v>5.77784903848542</v>
      </c>
      <c r="J69" s="88">
        <f t="shared" si="7"/>
        <v>33.383539511526891</v>
      </c>
      <c r="K69" s="89">
        <v>130742.63343523127</v>
      </c>
      <c r="L69" s="89">
        <v>2050.2609791666669</v>
      </c>
      <c r="M69" s="90">
        <v>100</v>
      </c>
      <c r="N69" s="90">
        <v>4.9708772005657451</v>
      </c>
      <c r="O69" s="91">
        <v>1.807293824551336E-2</v>
      </c>
      <c r="P69" s="92">
        <v>323.06354527983081</v>
      </c>
    </row>
    <row r="70" spans="1:16" ht="13" x14ac:dyDescent="0.25">
      <c r="A70" s="14" t="s">
        <v>14</v>
      </c>
      <c r="B70" s="14">
        <v>2025</v>
      </c>
      <c r="C70" s="14" t="str">
        <f t="shared" si="0"/>
        <v>DVW25</v>
      </c>
      <c r="D70" s="87">
        <f t="shared" si="1"/>
        <v>11.786301228318237</v>
      </c>
      <c r="E70" s="87">
        <f t="shared" si="2"/>
        <v>7.6277827065793931</v>
      </c>
      <c r="F70" s="88">
        <f t="shared" si="3"/>
        <v>100</v>
      </c>
      <c r="G70" s="88">
        <f t="shared" si="4"/>
        <v>1.6035963236421982</v>
      </c>
      <c r="H70" s="88">
        <f t="shared" si="5"/>
        <v>-4.0108415838282987</v>
      </c>
      <c r="I70" s="88">
        <f t="shared" si="6"/>
        <v>5.7810010212287297</v>
      </c>
      <c r="J70" s="88">
        <f t="shared" si="7"/>
        <v>33.419972807447614</v>
      </c>
      <c r="K70" s="89">
        <v>131439.40531514076</v>
      </c>
      <c r="L70" s="89">
        <v>2054.4895595833336</v>
      </c>
      <c r="M70" s="90">
        <v>100</v>
      </c>
      <c r="N70" s="90">
        <v>4.9708772005657451</v>
      </c>
      <c r="O70" s="91">
        <v>1.8118140884426103E-2</v>
      </c>
      <c r="P70" s="92">
        <v>324.08344250438199</v>
      </c>
    </row>
    <row r="71" spans="1:16" ht="13" x14ac:dyDescent="0.25">
      <c r="A71" s="14" t="s">
        <v>15</v>
      </c>
      <c r="B71" s="14">
        <v>2021</v>
      </c>
      <c r="C71" s="14" t="str">
        <f t="shared" ref="C71:C105" si="8">A71&amp;RIGHT(B71,2)</f>
        <v>PRT21</v>
      </c>
      <c r="D71" s="87">
        <f t="shared" ref="D71:D90" si="9">LN(K71)</f>
        <v>12.694169465027883</v>
      </c>
      <c r="E71" s="87">
        <f t="shared" ref="E71:E90" si="10">LN(L71)</f>
        <v>8.1229797240914934</v>
      </c>
      <c r="F71" s="88">
        <f t="shared" ref="F71:F90" si="11">M71</f>
        <v>56.798850574712645</v>
      </c>
      <c r="G71" s="88">
        <f t="shared" ref="G71:G90" si="12">LN(N71)</f>
        <v>1.2631846639577822</v>
      </c>
      <c r="H71" s="88">
        <f t="shared" ref="H71:H90" si="13">LN(O71)</f>
        <v>-4.4347083806388961</v>
      </c>
      <c r="I71" s="88">
        <f t="shared" ref="I71:I90" si="14">LN(P71)</f>
        <v>7.9714065425672063</v>
      </c>
      <c r="J71" s="88">
        <f t="shared" ref="J71:J90" si="15">(LN(P71))^2</f>
        <v>63.543322266883258</v>
      </c>
      <c r="K71" s="89">
        <v>325842.51637610601</v>
      </c>
      <c r="L71" s="89">
        <v>3371.0505952380954</v>
      </c>
      <c r="M71" s="90">
        <v>56.798850574712645</v>
      </c>
      <c r="N71" s="90">
        <v>3.5366666666666666</v>
      </c>
      <c r="O71" s="91">
        <v>1.1858523578521249E-2</v>
      </c>
      <c r="P71" s="92">
        <v>2896.9291541456678</v>
      </c>
    </row>
    <row r="72" spans="1:16" ht="13" x14ac:dyDescent="0.25">
      <c r="A72" s="14" t="s">
        <v>15</v>
      </c>
      <c r="B72" s="14">
        <v>2022</v>
      </c>
      <c r="C72" s="14" t="str">
        <f t="shared" si="8"/>
        <v>PRT22</v>
      </c>
      <c r="D72" s="87">
        <f t="shared" si="9"/>
        <v>12.699964279997168</v>
      </c>
      <c r="E72" s="87">
        <f t="shared" si="10"/>
        <v>8.1265005736482259</v>
      </c>
      <c r="F72" s="88">
        <f t="shared" si="11"/>
        <v>59.410944579993028</v>
      </c>
      <c r="G72" s="88">
        <f t="shared" si="12"/>
        <v>1.2922875026468046</v>
      </c>
      <c r="H72" s="88">
        <f t="shared" si="13"/>
        <v>-4.4384899491840226</v>
      </c>
      <c r="I72" s="88">
        <f t="shared" si="14"/>
        <v>7.9750248804297428</v>
      </c>
      <c r="J72" s="88">
        <f t="shared" si="15"/>
        <v>63.601021843473433</v>
      </c>
      <c r="K72" s="89">
        <v>327736.19492691598</v>
      </c>
      <c r="L72" s="89">
        <v>3382.9404761904761</v>
      </c>
      <c r="M72" s="90">
        <v>59.410944579993028</v>
      </c>
      <c r="N72" s="90">
        <v>3.6411060764494021</v>
      </c>
      <c r="O72" s="91">
        <v>1.1813764441975431E-2</v>
      </c>
      <c r="P72" s="92">
        <v>2907.4302093149845</v>
      </c>
    </row>
    <row r="73" spans="1:16" ht="13" x14ac:dyDescent="0.25">
      <c r="A73" s="14" t="s">
        <v>15</v>
      </c>
      <c r="B73" s="14">
        <v>2023</v>
      </c>
      <c r="C73" s="14" t="str">
        <f t="shared" si="8"/>
        <v>PRT23</v>
      </c>
      <c r="D73" s="87">
        <f t="shared" si="9"/>
        <v>12.706546922515372</v>
      </c>
      <c r="E73" s="87">
        <f t="shared" si="10"/>
        <v>8.1301563422228043</v>
      </c>
      <c r="F73" s="88">
        <f t="shared" si="11"/>
        <v>59.80677453148644</v>
      </c>
      <c r="G73" s="88">
        <f t="shared" si="12"/>
        <v>1.2959972032926441</v>
      </c>
      <c r="H73" s="88">
        <f t="shared" si="13"/>
        <v>-4.4422572713253281</v>
      </c>
      <c r="I73" s="88">
        <f t="shared" si="14"/>
        <v>7.9779635623253178</v>
      </c>
      <c r="J73" s="88">
        <f t="shared" si="15"/>
        <v>63.647902601790477</v>
      </c>
      <c r="K73" s="89">
        <v>329900.68134274438</v>
      </c>
      <c r="L73" s="89">
        <v>3395.3303571428569</v>
      </c>
      <c r="M73" s="90">
        <v>59.80677453148644</v>
      </c>
      <c r="N73" s="90">
        <v>3.6546385752531725</v>
      </c>
      <c r="O73" s="91">
        <v>1.1769341915145146E-2</v>
      </c>
      <c r="P73" s="92">
        <v>2915.9867882077074</v>
      </c>
    </row>
    <row r="74" spans="1:16" ht="13" x14ac:dyDescent="0.25">
      <c r="A74" s="14" t="s">
        <v>15</v>
      </c>
      <c r="B74" s="14">
        <v>2024</v>
      </c>
      <c r="C74" s="14" t="str">
        <f t="shared" si="8"/>
        <v>PRT24</v>
      </c>
      <c r="D74" s="87">
        <f t="shared" si="9"/>
        <v>12.71300401684406</v>
      </c>
      <c r="E74" s="87">
        <f t="shared" si="10"/>
        <v>8.1337987948188708</v>
      </c>
      <c r="F74" s="88">
        <f t="shared" si="11"/>
        <v>59.837752042795834</v>
      </c>
      <c r="G74" s="88">
        <f t="shared" si="12"/>
        <v>1.2963179416034838</v>
      </c>
      <c r="H74" s="88">
        <f t="shared" si="13"/>
        <v>-4.4460104540017751</v>
      </c>
      <c r="I74" s="88">
        <f t="shared" si="14"/>
        <v>7.9818848074234365</v>
      </c>
      <c r="J74" s="88">
        <f t="shared" si="15"/>
        <v>63.710485078977072</v>
      </c>
      <c r="K74" s="89">
        <v>332037.77343856549</v>
      </c>
      <c r="L74" s="89">
        <v>3407.7202380952381</v>
      </c>
      <c r="M74" s="90">
        <v>59.837752042795834</v>
      </c>
      <c r="N74" s="90">
        <v>3.6558109458585624</v>
      </c>
      <c r="O74" s="91">
        <v>1.1725252215060667E-2</v>
      </c>
      <c r="P74" s="92">
        <v>2927.4435347827584</v>
      </c>
    </row>
    <row r="75" spans="1:16" ht="13" x14ac:dyDescent="0.25">
      <c r="A75" s="14" t="s">
        <v>15</v>
      </c>
      <c r="B75" s="14">
        <v>2025</v>
      </c>
      <c r="C75" s="14" t="str">
        <f t="shared" si="8"/>
        <v>PRT25</v>
      </c>
      <c r="D75" s="87">
        <f t="shared" si="9"/>
        <v>12.719734090172699</v>
      </c>
      <c r="E75" s="87">
        <f t="shared" si="10"/>
        <v>8.1374280280902234</v>
      </c>
      <c r="F75" s="88">
        <f t="shared" si="11"/>
        <v>59.86584352368515</v>
      </c>
      <c r="G75" s="88">
        <f t="shared" si="12"/>
        <v>1.2966297961834599</v>
      </c>
      <c r="H75" s="88">
        <f t="shared" si="13"/>
        <v>-4.4497496029527426</v>
      </c>
      <c r="I75" s="88">
        <f t="shared" si="14"/>
        <v>7.9855790793118091</v>
      </c>
      <c r="J75" s="88">
        <f t="shared" si="15"/>
        <v>63.769473231942442</v>
      </c>
      <c r="K75" s="89">
        <v>334279.94854004664</v>
      </c>
      <c r="L75" s="89">
        <v>3420.1101190476193</v>
      </c>
      <c r="M75" s="90">
        <v>59.86584352368515</v>
      </c>
      <c r="N75" s="90">
        <v>3.6569512050338364</v>
      </c>
      <c r="O75" s="91">
        <v>1.1681491615226964E-2</v>
      </c>
      <c r="P75" s="92">
        <v>2938.2783081149473</v>
      </c>
    </row>
    <row r="76" spans="1:16" ht="13" x14ac:dyDescent="0.25">
      <c r="A76" s="14" t="s">
        <v>16</v>
      </c>
      <c r="B76" s="14">
        <v>2021</v>
      </c>
      <c r="C76" s="14" t="str">
        <f t="shared" si="8"/>
        <v>SES21</v>
      </c>
      <c r="D76" s="87">
        <f t="shared" si="9"/>
        <v>12.600780790021238</v>
      </c>
      <c r="E76" s="87">
        <f t="shared" si="10"/>
        <v>8.1644809298880645</v>
      </c>
      <c r="F76" s="88">
        <f t="shared" si="11"/>
        <v>100</v>
      </c>
      <c r="G76" s="88">
        <f t="shared" si="12"/>
        <v>1.625898637101711</v>
      </c>
      <c r="H76" s="88">
        <f t="shared" si="13"/>
        <v>-4.667944028701811</v>
      </c>
      <c r="I76" s="88">
        <f t="shared" si="14"/>
        <v>7.9126454854813355</v>
      </c>
      <c r="J76" s="88">
        <f t="shared" si="15"/>
        <v>62.609958578908163</v>
      </c>
      <c r="K76" s="89">
        <v>296790.20568618423</v>
      </c>
      <c r="L76" s="89">
        <v>3513.8969047619048</v>
      </c>
      <c r="M76" s="90">
        <v>100</v>
      </c>
      <c r="N76" s="90">
        <v>5.082984744094488</v>
      </c>
      <c r="O76" s="91">
        <v>9.3915584661105004E-3</v>
      </c>
      <c r="P76" s="92">
        <v>2731.607343628019</v>
      </c>
    </row>
    <row r="77" spans="1:16" ht="13" x14ac:dyDescent="0.25">
      <c r="A77" s="14" t="s">
        <v>16</v>
      </c>
      <c r="B77" s="14">
        <v>2022</v>
      </c>
      <c r="C77" s="14" t="str">
        <f t="shared" si="8"/>
        <v>SES22</v>
      </c>
      <c r="D77" s="87">
        <f t="shared" si="9"/>
        <v>12.607863286740745</v>
      </c>
      <c r="E77" s="87">
        <f t="shared" si="10"/>
        <v>8.1666102318334115</v>
      </c>
      <c r="F77" s="88">
        <f t="shared" si="11"/>
        <v>100</v>
      </c>
      <c r="G77" s="88">
        <f t="shared" si="12"/>
        <v>1.6258906495141552</v>
      </c>
      <c r="H77" s="88">
        <f t="shared" si="13"/>
        <v>-4.6702125709658207</v>
      </c>
      <c r="I77" s="88">
        <f t="shared" si="14"/>
        <v>7.9219542581100022</v>
      </c>
      <c r="J77" s="88">
        <f t="shared" si="15"/>
        <v>62.757359267587198</v>
      </c>
      <c r="K77" s="89">
        <v>298899.68270846736</v>
      </c>
      <c r="L77" s="89">
        <v>3521.3870238095237</v>
      </c>
      <c r="M77" s="90">
        <v>100</v>
      </c>
      <c r="N77" s="90">
        <v>5.082944143470951</v>
      </c>
      <c r="O77" s="91">
        <v>9.3702774663553968E-3</v>
      </c>
      <c r="P77" s="92">
        <v>2757.1539747161469</v>
      </c>
    </row>
    <row r="78" spans="1:16" ht="13" x14ac:dyDescent="0.25">
      <c r="A78" s="14" t="s">
        <v>16</v>
      </c>
      <c r="B78" s="14">
        <v>2023</v>
      </c>
      <c r="C78" s="14" t="str">
        <f t="shared" si="8"/>
        <v>SES23</v>
      </c>
      <c r="D78" s="87">
        <f t="shared" si="9"/>
        <v>12.617410406923145</v>
      </c>
      <c r="E78" s="87">
        <f t="shared" si="10"/>
        <v>8.1691599835567281</v>
      </c>
      <c r="F78" s="88">
        <f t="shared" si="11"/>
        <v>100</v>
      </c>
      <c r="G78" s="88">
        <f t="shared" si="12"/>
        <v>1.6258980064800876</v>
      </c>
      <c r="H78" s="88">
        <f t="shared" si="13"/>
        <v>-4.6724759785917733</v>
      </c>
      <c r="I78" s="88">
        <f t="shared" si="14"/>
        <v>7.9305837507432804</v>
      </c>
      <c r="J78" s="88">
        <f t="shared" si="15"/>
        <v>62.89415862755336</v>
      </c>
      <c r="K78" s="89">
        <v>301766.97933563823</v>
      </c>
      <c r="L78" s="89">
        <v>3530.3771428571426</v>
      </c>
      <c r="M78" s="90">
        <v>100</v>
      </c>
      <c r="N78" s="90">
        <v>5.0829815386554085</v>
      </c>
      <c r="O78" s="91">
        <v>9.3490926928139068E-3</v>
      </c>
      <c r="P78" s="92">
        <v>2781.0497706377655</v>
      </c>
    </row>
    <row r="79" spans="1:16" ht="13" x14ac:dyDescent="0.25">
      <c r="A79" s="14" t="s">
        <v>16</v>
      </c>
      <c r="B79" s="14">
        <v>2024</v>
      </c>
      <c r="C79" s="14" t="str">
        <f t="shared" si="8"/>
        <v>SES24</v>
      </c>
      <c r="D79" s="87">
        <f t="shared" si="9"/>
        <v>12.626397897931064</v>
      </c>
      <c r="E79" s="87">
        <f t="shared" si="10"/>
        <v>8.1714206742800126</v>
      </c>
      <c r="F79" s="88">
        <f t="shared" si="11"/>
        <v>100</v>
      </c>
      <c r="G79" s="88">
        <f t="shared" si="12"/>
        <v>1.6258930520669421</v>
      </c>
      <c r="H79" s="88">
        <f t="shared" si="13"/>
        <v>-4.6747342747707554</v>
      </c>
      <c r="I79" s="88">
        <f t="shared" si="14"/>
        <v>7.9387976971428094</v>
      </c>
      <c r="J79" s="88">
        <f t="shared" si="15"/>
        <v>63.02450887615997</v>
      </c>
      <c r="K79" s="89">
        <v>304491.33155617589</v>
      </c>
      <c r="L79" s="89">
        <v>3538.367261904762</v>
      </c>
      <c r="M79" s="90">
        <v>100</v>
      </c>
      <c r="N79" s="90">
        <v>5.0829563555272381</v>
      </c>
      <c r="O79" s="91">
        <v>9.3280034942997206E-3</v>
      </c>
      <c r="P79" s="92">
        <v>2803.9872389923125</v>
      </c>
    </row>
    <row r="80" spans="1:16" ht="13" x14ac:dyDescent="0.25">
      <c r="A80" s="14" t="s">
        <v>16</v>
      </c>
      <c r="B80" s="14">
        <v>2025</v>
      </c>
      <c r="C80" s="14" t="str">
        <f t="shared" si="8"/>
        <v>SES25</v>
      </c>
      <c r="D80" s="87">
        <f t="shared" si="9"/>
        <v>12.635174431945034</v>
      </c>
      <c r="E80" s="87">
        <f t="shared" si="10"/>
        <v>8.1736762658062929</v>
      </c>
      <c r="F80" s="88">
        <f t="shared" si="11"/>
        <v>100.00000000000003</v>
      </c>
      <c r="G80" s="88">
        <f t="shared" si="12"/>
        <v>1.6258985583483323</v>
      </c>
      <c r="H80" s="88">
        <f t="shared" si="13"/>
        <v>-4.6769874825370907</v>
      </c>
      <c r="I80" s="88">
        <f t="shared" si="14"/>
        <v>7.9464279465160477</v>
      </c>
      <c r="J80" s="88">
        <f t="shared" si="15"/>
        <v>63.145717109171251</v>
      </c>
      <c r="K80" s="89">
        <v>307175.47157826705</v>
      </c>
      <c r="L80" s="89">
        <v>3546.3573809523809</v>
      </c>
      <c r="M80" s="90">
        <v>100.00000000000003</v>
      </c>
      <c r="N80" s="90">
        <v>5.0829843437922815</v>
      </c>
      <c r="O80" s="91">
        <v>9.3070092254889571E-3</v>
      </c>
      <c r="P80" s="92">
        <v>2825.4641939259736</v>
      </c>
    </row>
    <row r="81" spans="1:16" ht="13" x14ac:dyDescent="0.25">
      <c r="A81" s="14" t="s">
        <v>17</v>
      </c>
      <c r="B81" s="14">
        <v>2021</v>
      </c>
      <c r="C81" s="14" t="str">
        <f t="shared" si="8"/>
        <v>SEW21</v>
      </c>
      <c r="D81" s="87">
        <f t="shared" si="9"/>
        <v>13.853523524598092</v>
      </c>
      <c r="E81" s="87">
        <f t="shared" si="10"/>
        <v>9.6053278204156225</v>
      </c>
      <c r="F81" s="88">
        <f t="shared" si="11"/>
        <v>87.06212620529719</v>
      </c>
      <c r="G81" s="88">
        <f t="shared" si="12"/>
        <v>1.5309803291151227</v>
      </c>
      <c r="H81" s="88">
        <f t="shared" si="13"/>
        <v>-4.0982850640988682</v>
      </c>
      <c r="I81" s="88">
        <f t="shared" si="14"/>
        <v>6.5678035532876615</v>
      </c>
      <c r="J81" s="88">
        <f t="shared" si="15"/>
        <v>43.136043514578034</v>
      </c>
      <c r="K81" s="89">
        <v>1038744.7018133532</v>
      </c>
      <c r="L81" s="89">
        <v>14843.65559699772</v>
      </c>
      <c r="M81" s="90">
        <v>87.06212620529719</v>
      </c>
      <c r="N81" s="90">
        <v>4.62270637536108</v>
      </c>
      <c r="O81" s="91">
        <v>1.6601120861884405E-2</v>
      </c>
      <c r="P81" s="92">
        <v>711.80468381000549</v>
      </c>
    </row>
    <row r="82" spans="1:16" ht="13" x14ac:dyDescent="0.25">
      <c r="A82" s="14" t="s">
        <v>17</v>
      </c>
      <c r="B82" s="14">
        <v>2022</v>
      </c>
      <c r="C82" s="14" t="str">
        <f t="shared" si="8"/>
        <v>SEW22</v>
      </c>
      <c r="D82" s="87">
        <f t="shared" si="9"/>
        <v>13.861513059469722</v>
      </c>
      <c r="E82" s="87">
        <f t="shared" si="10"/>
        <v>9.6097856179274039</v>
      </c>
      <c r="F82" s="88">
        <f t="shared" si="11"/>
        <v>87.533495736906204</v>
      </c>
      <c r="G82" s="88">
        <f t="shared" si="12"/>
        <v>1.5350756839054982</v>
      </c>
      <c r="H82" s="88">
        <f t="shared" si="13"/>
        <v>-4.0987242881449824</v>
      </c>
      <c r="I82" s="88">
        <f t="shared" si="14"/>
        <v>6.5728298393592999</v>
      </c>
      <c r="J82" s="88">
        <f t="shared" si="15"/>
        <v>43.202092097171999</v>
      </c>
      <c r="K82" s="89">
        <v>1047077.0302225574</v>
      </c>
      <c r="L82" s="89">
        <v>14909.973313638005</v>
      </c>
      <c r="M82" s="90">
        <v>87.533495736906204</v>
      </c>
      <c r="N82" s="90">
        <v>4.641676816889972</v>
      </c>
      <c r="O82" s="91">
        <v>1.6593830851500544E-2</v>
      </c>
      <c r="P82" s="92">
        <v>715.39142421849851</v>
      </c>
    </row>
    <row r="83" spans="1:16" ht="13" x14ac:dyDescent="0.25">
      <c r="A83" s="14" t="s">
        <v>17</v>
      </c>
      <c r="B83" s="14">
        <v>2023</v>
      </c>
      <c r="C83" s="14" t="str">
        <f t="shared" si="8"/>
        <v>SEW23</v>
      </c>
      <c r="D83" s="87">
        <f t="shared" si="9"/>
        <v>13.870835548972707</v>
      </c>
      <c r="E83" s="87">
        <f t="shared" si="10"/>
        <v>9.6144115614476888</v>
      </c>
      <c r="F83" s="88">
        <f t="shared" si="11"/>
        <v>87.499999999999972</v>
      </c>
      <c r="G83" s="88">
        <f t="shared" si="12"/>
        <v>1.5347999407356188</v>
      </c>
      <c r="H83" s="88">
        <f t="shared" si="13"/>
        <v>-4.0991611948949362</v>
      </c>
      <c r="I83" s="88">
        <f t="shared" si="14"/>
        <v>6.5780190001133096</v>
      </c>
      <c r="J83" s="88">
        <f t="shared" si="15"/>
        <v>43.270333965851705</v>
      </c>
      <c r="K83" s="89">
        <v>1056884.0366768173</v>
      </c>
      <c r="L83" s="89">
        <v>14979.105786250242</v>
      </c>
      <c r="M83" s="90">
        <v>87.499999999999972</v>
      </c>
      <c r="N83" s="90">
        <v>4.6403970826580228</v>
      </c>
      <c r="O83" s="91">
        <v>1.658658247834081E-2</v>
      </c>
      <c r="P83" s="92">
        <v>719.11335381448532</v>
      </c>
    </row>
    <row r="84" spans="1:16" ht="13" x14ac:dyDescent="0.25">
      <c r="A84" s="14" t="s">
        <v>17</v>
      </c>
      <c r="B84" s="14">
        <v>2024</v>
      </c>
      <c r="C84" s="14" t="str">
        <f t="shared" si="8"/>
        <v>SEW24</v>
      </c>
      <c r="D84" s="87">
        <f t="shared" si="9"/>
        <v>13.879718919259842</v>
      </c>
      <c r="E84" s="87">
        <f t="shared" si="10"/>
        <v>9.6187569877527572</v>
      </c>
      <c r="F84" s="88">
        <f t="shared" si="11"/>
        <v>89.05222204395956</v>
      </c>
      <c r="G84" s="88">
        <f t="shared" si="12"/>
        <v>1.5556843842248687</v>
      </c>
      <c r="H84" s="88">
        <f t="shared" si="13"/>
        <v>-4.0995958026805406</v>
      </c>
      <c r="I84" s="88">
        <f t="shared" si="14"/>
        <v>6.5826491883698699</v>
      </c>
      <c r="J84" s="88">
        <f t="shared" si="15"/>
        <v>43.331270337146506</v>
      </c>
      <c r="K84" s="89">
        <v>1066314.55429841</v>
      </c>
      <c r="L84" s="89">
        <v>15044.338014834379</v>
      </c>
      <c r="M84" s="90">
        <v>89.05222204395956</v>
      </c>
      <c r="N84" s="90">
        <v>4.7383282528477455</v>
      </c>
      <c r="O84" s="91">
        <v>1.6579375386701664E-2</v>
      </c>
      <c r="P84" s="92">
        <v>722.45070433870251</v>
      </c>
    </row>
    <row r="85" spans="1:16" ht="13" x14ac:dyDescent="0.25">
      <c r="A85" s="14" t="s">
        <v>17</v>
      </c>
      <c r="B85" s="14">
        <v>2025</v>
      </c>
      <c r="C85" s="14" t="str">
        <f t="shared" si="8"/>
        <v>SEW25</v>
      </c>
      <c r="D85" s="87">
        <f t="shared" si="9"/>
        <v>13.888497888962419</v>
      </c>
      <c r="E85" s="87">
        <f t="shared" si="10"/>
        <v>9.6256764607793688</v>
      </c>
      <c r="F85" s="88">
        <f t="shared" si="11"/>
        <v>88.907298149195839</v>
      </c>
      <c r="G85" s="88">
        <f t="shared" si="12"/>
        <v>1.5528474623643018</v>
      </c>
      <c r="H85" s="88">
        <f t="shared" si="13"/>
        <v>-4.1000281296403216</v>
      </c>
      <c r="I85" s="88">
        <f t="shared" si="14"/>
        <v>6.5873949904857616</v>
      </c>
      <c r="J85" s="88">
        <f t="shared" si="15"/>
        <v>43.39377276067691</v>
      </c>
      <c r="K85" s="89">
        <v>1075716.9085688659</v>
      </c>
      <c r="L85" s="89">
        <v>15148.797892798413</v>
      </c>
      <c r="M85" s="90">
        <v>88.907298149195839</v>
      </c>
      <c r="N85" s="90">
        <v>4.7249050351571977</v>
      </c>
      <c r="O85" s="91">
        <v>1.657220922491975E-2</v>
      </c>
      <c r="P85" s="92">
        <v>725.887461053224</v>
      </c>
    </row>
    <row r="86" spans="1:16" ht="13" x14ac:dyDescent="0.25">
      <c r="A86" s="14" t="s">
        <v>18</v>
      </c>
      <c r="B86" s="14">
        <v>2021</v>
      </c>
      <c r="C86" s="14" t="str">
        <f t="shared" si="8"/>
        <v>SSC21</v>
      </c>
      <c r="D86" s="87">
        <f t="shared" si="9"/>
        <v>13.520785262784704</v>
      </c>
      <c r="E86" s="87">
        <f t="shared" si="10"/>
        <v>9.0662208915693263</v>
      </c>
      <c r="F86" s="88">
        <f t="shared" si="11"/>
        <v>75.661287691455797</v>
      </c>
      <c r="G86" s="88">
        <f t="shared" si="12"/>
        <v>1.5848059156013974</v>
      </c>
      <c r="H86" s="88">
        <f t="shared" si="13"/>
        <v>-4.3272886721629975</v>
      </c>
      <c r="I86" s="88">
        <f t="shared" si="14"/>
        <v>7.7327670212931361</v>
      </c>
      <c r="J86" s="88">
        <f t="shared" si="15"/>
        <v>59.795685805598723</v>
      </c>
      <c r="K86" s="89">
        <v>744736.14197671751</v>
      </c>
      <c r="L86" s="89">
        <v>8657.8429761904772</v>
      </c>
      <c r="M86" s="90">
        <v>75.661287691455797</v>
      </c>
      <c r="N86" s="90">
        <v>4.8783444760723933</v>
      </c>
      <c r="O86" s="91">
        <v>1.3203297471193417E-2</v>
      </c>
      <c r="P86" s="92">
        <v>2281.9075600402284</v>
      </c>
    </row>
    <row r="87" spans="1:16" ht="13" x14ac:dyDescent="0.25">
      <c r="A87" s="14" t="s">
        <v>18</v>
      </c>
      <c r="B87" s="14">
        <v>2022</v>
      </c>
      <c r="C87" s="14" t="str">
        <f t="shared" si="8"/>
        <v>SSC22</v>
      </c>
      <c r="D87" s="87">
        <f t="shared" si="9"/>
        <v>13.525386379012176</v>
      </c>
      <c r="E87" s="87">
        <f t="shared" si="10"/>
        <v>9.0720944411840616</v>
      </c>
      <c r="F87" s="88">
        <f t="shared" si="11"/>
        <v>75.661287691455797</v>
      </c>
      <c r="G87" s="88">
        <f t="shared" si="12"/>
        <v>1.5848059156013976</v>
      </c>
      <c r="H87" s="88">
        <f t="shared" si="13"/>
        <v>-4.3249001972454755</v>
      </c>
      <c r="I87" s="88">
        <f t="shared" si="14"/>
        <v>7.7374546093727572</v>
      </c>
      <c r="J87" s="88">
        <f t="shared" si="15"/>
        <v>59.868203832103724</v>
      </c>
      <c r="K87" s="89">
        <v>748170.65476187703</v>
      </c>
      <c r="L87" s="89">
        <v>8708.8448809523798</v>
      </c>
      <c r="M87" s="90">
        <v>75.661287691455797</v>
      </c>
      <c r="N87" s="90">
        <v>4.8783444760723942</v>
      </c>
      <c r="O87" s="91">
        <v>1.3234870907201879E-2</v>
      </c>
      <c r="P87" s="92">
        <v>2292.6293126645219</v>
      </c>
    </row>
    <row r="88" spans="1:16" ht="13" x14ac:dyDescent="0.25">
      <c r="A88" s="14" t="s">
        <v>18</v>
      </c>
      <c r="B88" s="14">
        <v>2023</v>
      </c>
      <c r="C88" s="14" t="str">
        <f t="shared" si="8"/>
        <v>SSC23</v>
      </c>
      <c r="D88" s="87">
        <f t="shared" si="9"/>
        <v>13.531430223638431</v>
      </c>
      <c r="E88" s="87">
        <f t="shared" si="10"/>
        <v>9.0777898450843235</v>
      </c>
      <c r="F88" s="88">
        <f t="shared" si="11"/>
        <v>80.235708666174915</v>
      </c>
      <c r="G88" s="88">
        <f t="shared" si="12"/>
        <v>1.6033862169209054</v>
      </c>
      <c r="H88" s="88">
        <f t="shared" si="13"/>
        <v>-4.3225323968317824</v>
      </c>
      <c r="I88" s="88">
        <f t="shared" si="14"/>
        <v>7.7419735308645183</v>
      </c>
      <c r="J88" s="88">
        <f t="shared" si="15"/>
        <v>59.93815415260682</v>
      </c>
      <c r="K88" s="89">
        <v>752706.17413423967</v>
      </c>
      <c r="L88" s="89">
        <v>8758.5867857142857</v>
      </c>
      <c r="M88" s="90">
        <v>80.235708666174915</v>
      </c>
      <c r="N88" s="90">
        <v>4.9698328955667765</v>
      </c>
      <c r="O88" s="91">
        <v>1.3266245569822248E-2</v>
      </c>
      <c r="P88" s="92">
        <v>2303.0129683304613</v>
      </c>
    </row>
    <row r="89" spans="1:16" ht="13" x14ac:dyDescent="0.25">
      <c r="A89" s="14" t="s">
        <v>18</v>
      </c>
      <c r="B89" s="14">
        <v>2024</v>
      </c>
      <c r="C89" s="14" t="str">
        <f t="shared" si="8"/>
        <v>SSC24</v>
      </c>
      <c r="D89" s="87">
        <f t="shared" si="9"/>
        <v>13.537166102372815</v>
      </c>
      <c r="E89" s="87">
        <f t="shared" si="10"/>
        <v>9.0833264022190825</v>
      </c>
      <c r="F89" s="88">
        <f t="shared" si="11"/>
        <v>80.235708666174816</v>
      </c>
      <c r="G89" s="88">
        <f t="shared" si="12"/>
        <v>1.6033862169209048</v>
      </c>
      <c r="H89" s="88">
        <f t="shared" si="13"/>
        <v>-4.3201849970904771</v>
      </c>
      <c r="I89" s="88">
        <f t="shared" si="14"/>
        <v>7.7463038234129664</v>
      </c>
      <c r="J89" s="88">
        <f t="shared" si="15"/>
        <v>60.005222924622345</v>
      </c>
      <c r="K89" s="89">
        <v>757036.01131111546</v>
      </c>
      <c r="L89" s="89">
        <v>8807.2136904761901</v>
      </c>
      <c r="M89" s="90">
        <v>80.235708666174816</v>
      </c>
      <c r="N89" s="90">
        <v>4.9698328955667739</v>
      </c>
      <c r="O89" s="91">
        <v>1.3297423330257801E-2</v>
      </c>
      <c r="P89" s="92">
        <v>2313.0073118244295</v>
      </c>
    </row>
    <row r="90" spans="1:16" ht="13" x14ac:dyDescent="0.25">
      <c r="A90" s="14" t="s">
        <v>18</v>
      </c>
      <c r="B90" s="14">
        <v>2025</v>
      </c>
      <c r="C90" s="14" t="str">
        <f t="shared" si="8"/>
        <v>SSC25</v>
      </c>
      <c r="D90" s="87">
        <f t="shared" si="9"/>
        <v>13.542892523976864</v>
      </c>
      <c r="E90" s="87">
        <f t="shared" si="10"/>
        <v>9.0887144664087884</v>
      </c>
      <c r="F90" s="88">
        <f t="shared" si="11"/>
        <v>84.861818013489625</v>
      </c>
      <c r="G90" s="88">
        <f t="shared" si="12"/>
        <v>1.6218318063465045</v>
      </c>
      <c r="H90" s="88">
        <f t="shared" si="13"/>
        <v>-4.3178577291133404</v>
      </c>
      <c r="I90" s="88">
        <f t="shared" si="14"/>
        <v>7.750720328449737</v>
      </c>
      <c r="J90" s="88">
        <f t="shared" si="15"/>
        <v>60.073665609843999</v>
      </c>
      <c r="K90" s="89">
        <v>761383.55473427684</v>
      </c>
      <c r="L90" s="89">
        <v>8854.7955952380962</v>
      </c>
      <c r="M90" s="90">
        <v>84.861818013489625</v>
      </c>
      <c r="N90" s="90">
        <v>5.0623550825130703</v>
      </c>
      <c r="O90" s="91">
        <v>1.3328406036298562E-2</v>
      </c>
      <c r="P90" s="92">
        <v>2323.2453117147784</v>
      </c>
    </row>
    <row r="91" spans="1:16" ht="13" x14ac:dyDescent="0.25">
      <c r="A91" s="104" t="s">
        <v>78</v>
      </c>
      <c r="B91" s="105">
        <v>2021</v>
      </c>
      <c r="C91" s="104" t="str">
        <f t="shared" si="8"/>
        <v>SVH21</v>
      </c>
      <c r="D91" s="106">
        <f>LN(K91)</f>
        <v>15.1481125281154</v>
      </c>
      <c r="E91" s="106">
        <f>LN(L91)</f>
        <v>10.812416415101756</v>
      </c>
      <c r="F91" s="103">
        <f>M91</f>
        <v>91.602481401915298</v>
      </c>
      <c r="G91" s="103">
        <f>LN(N91)</f>
        <v>1.5398062866519795</v>
      </c>
      <c r="H91" s="103">
        <f>LN(O91)</f>
        <v>-4.1661450166790592</v>
      </c>
      <c r="I91" s="103">
        <f>LN(P91)</f>
        <v>7.5635725605071435</v>
      </c>
      <c r="J91" s="103">
        <f>(LN(P91))^2</f>
        <v>57.207629878056586</v>
      </c>
      <c r="K91" s="107">
        <v>3790894.3600136801</v>
      </c>
      <c r="L91" s="107">
        <v>49633.258143742685</v>
      </c>
      <c r="M91" s="108">
        <v>91.602481401915298</v>
      </c>
      <c r="N91" s="108">
        <v>4.6636867651029892</v>
      </c>
      <c r="O91" s="109">
        <v>1.5511943293858268E-2</v>
      </c>
      <c r="P91" s="110">
        <v>1926.716543912609</v>
      </c>
    </row>
    <row r="92" spans="1:16" ht="13" x14ac:dyDescent="0.25">
      <c r="A92" s="104" t="s">
        <v>78</v>
      </c>
      <c r="B92" s="105">
        <v>2022</v>
      </c>
      <c r="C92" s="104" t="str">
        <f t="shared" si="8"/>
        <v>SVH22</v>
      </c>
      <c r="D92" s="106">
        <f t="shared" ref="D92:E105" si="16">LN(K92)</f>
        <v>15.153920172871763</v>
      </c>
      <c r="E92" s="106">
        <f>LN(L92)</f>
        <v>10.814742440410724</v>
      </c>
      <c r="F92" s="103">
        <f t="shared" ref="F92:F105" si="17">M92</f>
        <v>92.345118560362096</v>
      </c>
      <c r="G92" s="103">
        <f t="shared" ref="G92:I105" si="18">LN(N92)</f>
        <v>1.5498902536178061</v>
      </c>
      <c r="H92" s="103">
        <f t="shared" ref="H92:I95" si="19">LN(O92)</f>
        <v>-4.1698428737406363</v>
      </c>
      <c r="I92" s="103">
        <f t="shared" si="19"/>
        <v>7.5699014724038012</v>
      </c>
      <c r="J92" s="103">
        <f t="shared" ref="J92:J105" si="20">(LN(P92))^2</f>
        <v>57.303408301901236</v>
      </c>
      <c r="K92" s="107">
        <v>3812974.5827489654</v>
      </c>
      <c r="L92" s="107">
        <v>49748.840730250078</v>
      </c>
      <c r="M92" s="108">
        <v>92.345118560362096</v>
      </c>
      <c r="N92" s="108">
        <v>4.7109531441554555</v>
      </c>
      <c r="O92" s="109">
        <v>1.5454688270499294E-2</v>
      </c>
      <c r="P92" s="110">
        <v>1938.9492321400942</v>
      </c>
    </row>
    <row r="93" spans="1:16" ht="13" x14ac:dyDescent="0.25">
      <c r="A93" s="104" t="s">
        <v>78</v>
      </c>
      <c r="B93" s="105">
        <v>2023</v>
      </c>
      <c r="C93" s="104" t="str">
        <f t="shared" si="8"/>
        <v>SVH23</v>
      </c>
      <c r="D93" s="106">
        <f t="shared" si="16"/>
        <v>15.160900700893997</v>
      </c>
      <c r="E93" s="106">
        <f>LN(L93)</f>
        <v>10.81706306787904</v>
      </c>
      <c r="F93" s="103">
        <f t="shared" si="17"/>
        <v>92.845421269769261</v>
      </c>
      <c r="G93" s="103">
        <f t="shared" si="18"/>
        <v>1.5549473554577888</v>
      </c>
      <c r="H93" s="103">
        <f t="shared" si="19"/>
        <v>-4.1735393206097431</v>
      </c>
      <c r="I93" s="103">
        <f t="shared" si="19"/>
        <v>7.5761646839941443</v>
      </c>
      <c r="J93" s="103">
        <f t="shared" si="20"/>
        <v>57.398271319000095</v>
      </c>
      <c r="K93" s="107">
        <v>3839684.274087782</v>
      </c>
      <c r="L93" s="107">
        <v>49864.423316757457</v>
      </c>
      <c r="M93" s="108">
        <v>92.845421269769261</v>
      </c>
      <c r="N93" s="108">
        <v>4.7348372552583839</v>
      </c>
      <c r="O93" s="109">
        <v>1.5397666290715791E-2</v>
      </c>
      <c r="P93" s="110">
        <v>1951.1313913410045</v>
      </c>
    </row>
    <row r="94" spans="1:16" ht="13" x14ac:dyDescent="0.25">
      <c r="A94" s="104" t="s">
        <v>78</v>
      </c>
      <c r="B94" s="105">
        <v>2024</v>
      </c>
      <c r="C94" s="104" t="str">
        <f t="shared" si="8"/>
        <v>SVH24</v>
      </c>
      <c r="D94" s="106">
        <f t="shared" si="16"/>
        <v>15.167661234616418</v>
      </c>
      <c r="E94" s="106">
        <f>LN(L94)</f>
        <v>10.819378322501478</v>
      </c>
      <c r="F94" s="103">
        <f t="shared" si="17"/>
        <v>92.814424635709543</v>
      </c>
      <c r="G94" s="103">
        <f t="shared" si="18"/>
        <v>1.5548759542179054</v>
      </c>
      <c r="H94" s="103">
        <f t="shared" si="19"/>
        <v>-4.1772343833322383</v>
      </c>
      <c r="I94" s="103">
        <f t="shared" si="19"/>
        <v>7.5823419904149709</v>
      </c>
      <c r="J94" s="103">
        <f t="shared" si="20"/>
        <v>57.491910059610063</v>
      </c>
      <c r="K94" s="107">
        <v>3865730.5332095553</v>
      </c>
      <c r="L94" s="107">
        <v>49980.00590326485</v>
      </c>
      <c r="M94" s="108">
        <v>92.814424635709543</v>
      </c>
      <c r="N94" s="108">
        <v>4.7344991940768493</v>
      </c>
      <c r="O94" s="109">
        <v>1.5340875934571063E-2</v>
      </c>
      <c r="P94" s="110">
        <v>1963.2214313079592</v>
      </c>
    </row>
    <row r="95" spans="1:16" ht="13" x14ac:dyDescent="0.25">
      <c r="A95" s="104" t="s">
        <v>78</v>
      </c>
      <c r="B95" s="105">
        <v>2025</v>
      </c>
      <c r="C95" s="104" t="str">
        <f t="shared" si="8"/>
        <v>SVH25</v>
      </c>
      <c r="D95" s="106">
        <f t="shared" si="16"/>
        <v>15.17449620618437</v>
      </c>
      <c r="E95" s="106">
        <f>LN(L95)</f>
        <v>10.821688229099605</v>
      </c>
      <c r="F95" s="103">
        <f t="shared" si="17"/>
        <v>92.855027159664104</v>
      </c>
      <c r="G95" s="103">
        <f t="shared" si="18"/>
        <v>1.5551399363178176</v>
      </c>
      <c r="H95" s="103">
        <f t="shared" si="19"/>
        <v>-4.1809280878966817</v>
      </c>
      <c r="I95" s="103">
        <f t="shared" si="19"/>
        <v>7.5886761340486855</v>
      </c>
      <c r="J95" s="103">
        <f t="shared" si="20"/>
        <v>57.588005467480102</v>
      </c>
      <c r="K95" s="107">
        <v>3892243.1949223485</v>
      </c>
      <c r="L95" s="107">
        <v>50095.588489772243</v>
      </c>
      <c r="M95" s="108">
        <v>92.855027159664104</v>
      </c>
      <c r="N95" s="108">
        <v>4.7357491820961064</v>
      </c>
      <c r="O95" s="109">
        <v>1.5284315793640623E-2</v>
      </c>
      <c r="P95" s="110">
        <v>1975.6962246964158</v>
      </c>
    </row>
    <row r="96" spans="1:16" ht="13" x14ac:dyDescent="0.25">
      <c r="A96" s="13" t="s">
        <v>74</v>
      </c>
      <c r="B96" s="111">
        <v>2021</v>
      </c>
      <c r="C96" s="13" t="str">
        <f t="shared" si="8"/>
        <v>SVE21</v>
      </c>
      <c r="D96" s="112">
        <f t="shared" si="16"/>
        <v>15.117283468181464</v>
      </c>
      <c r="E96" s="112">
        <f t="shared" si="16"/>
        <v>10.757672865410985</v>
      </c>
      <c r="F96" s="113">
        <f t="shared" si="17"/>
        <v>91.350126869098915</v>
      </c>
      <c r="G96" s="113">
        <f t="shared" si="18"/>
        <v>1.5361434108476335</v>
      </c>
      <c r="H96" s="113">
        <f t="shared" si="18"/>
        <v>-4.2414797893680216</v>
      </c>
      <c r="I96" s="113">
        <f t="shared" si="18"/>
        <v>7.5898566796969114</v>
      </c>
      <c r="J96" s="113">
        <f t="shared" si="20"/>
        <v>57.605924418339825</v>
      </c>
      <c r="K96" s="114">
        <v>3675807.7712667771</v>
      </c>
      <c r="L96" s="114">
        <v>46989.190525003003</v>
      </c>
      <c r="M96" s="115">
        <v>91.350126869098915</v>
      </c>
      <c r="N96" s="115">
        <v>4.6466355070765131</v>
      </c>
      <c r="O96" s="116">
        <v>1.4386287408809472E-2</v>
      </c>
      <c r="P96" s="117">
        <v>1978.030001570718</v>
      </c>
    </row>
    <row r="97" spans="1:16" ht="13" x14ac:dyDescent="0.25">
      <c r="A97" s="13" t="s">
        <v>74</v>
      </c>
      <c r="B97" s="111">
        <v>2022</v>
      </c>
      <c r="C97" s="13" t="str">
        <f t="shared" si="8"/>
        <v>SVE22</v>
      </c>
      <c r="D97" s="112">
        <f t="shared" si="16"/>
        <v>15.123182776831182</v>
      </c>
      <c r="E97" s="112">
        <f t="shared" si="16"/>
        <v>10.760203859600189</v>
      </c>
      <c r="F97" s="113">
        <f t="shared" si="17"/>
        <v>92.114330349493954</v>
      </c>
      <c r="G97" s="113">
        <f t="shared" si="18"/>
        <v>1.5465503179235927</v>
      </c>
      <c r="H97" s="113">
        <f t="shared" si="18"/>
        <v>-4.2440107835572256</v>
      </c>
      <c r="I97" s="113">
        <f t="shared" si="18"/>
        <v>7.5961501477516871</v>
      </c>
      <c r="J97" s="113">
        <f t="shared" si="20"/>
        <v>57.701497067187979</v>
      </c>
      <c r="K97" s="114">
        <v>3697556.5842519379</v>
      </c>
      <c r="L97" s="114">
        <v>47108.270525003005</v>
      </c>
      <c r="M97" s="115">
        <v>92.114330349493954</v>
      </c>
      <c r="N97" s="115">
        <v>4.6952451101094681</v>
      </c>
      <c r="O97" s="116">
        <v>1.4349921838909556E-2</v>
      </c>
      <c r="P97" s="117">
        <v>1990.517925152883</v>
      </c>
    </row>
    <row r="98" spans="1:16" ht="13" x14ac:dyDescent="0.25">
      <c r="A98" s="13" t="s">
        <v>74</v>
      </c>
      <c r="B98" s="111">
        <v>2023</v>
      </c>
      <c r="C98" s="13" t="str">
        <f t="shared" si="8"/>
        <v>SVE23</v>
      </c>
      <c r="D98" s="112">
        <f t="shared" si="16"/>
        <v>15.129428043278759</v>
      </c>
      <c r="E98" s="112">
        <f t="shared" si="16"/>
        <v>10.762728464026857</v>
      </c>
      <c r="F98" s="113">
        <f t="shared" si="17"/>
        <v>92.628724753404697</v>
      </c>
      <c r="G98" s="113">
        <f t="shared" si="18"/>
        <v>1.5517511720140622</v>
      </c>
      <c r="H98" s="113">
        <f t="shared" si="18"/>
        <v>-4.2465353879838919</v>
      </c>
      <c r="I98" s="113">
        <f t="shared" si="18"/>
        <v>7.6023787268626757</v>
      </c>
      <c r="J98" s="113">
        <f t="shared" si="20"/>
        <v>57.796162306654161</v>
      </c>
      <c r="K98" s="114">
        <v>3720721.069224969</v>
      </c>
      <c r="L98" s="114">
        <v>47227.350525002999</v>
      </c>
      <c r="M98" s="115">
        <v>92.628724753404697</v>
      </c>
      <c r="N98" s="115">
        <v>4.7197280056436073</v>
      </c>
      <c r="O98" s="116">
        <v>1.4313739654781473E-2</v>
      </c>
      <c r="P98" s="117">
        <v>2002.9547150792271</v>
      </c>
    </row>
    <row r="99" spans="1:16" ht="13" x14ac:dyDescent="0.25">
      <c r="A99" s="13" t="s">
        <v>74</v>
      </c>
      <c r="B99" s="111">
        <v>2024</v>
      </c>
      <c r="C99" s="13" t="str">
        <f t="shared" si="8"/>
        <v>SVE24</v>
      </c>
      <c r="D99" s="112">
        <f t="shared" si="16"/>
        <v>15.135745591343591</v>
      </c>
      <c r="E99" s="112">
        <f t="shared" si="16"/>
        <v>10.76524671087302</v>
      </c>
      <c r="F99" s="113">
        <f t="shared" si="17"/>
        <v>92.595235236724278</v>
      </c>
      <c r="G99" s="113">
        <f t="shared" si="18"/>
        <v>1.5516429314030205</v>
      </c>
      <c r="H99" s="113">
        <f t="shared" si="18"/>
        <v>-4.249053634830056</v>
      </c>
      <c r="I99" s="113">
        <f t="shared" si="18"/>
        <v>7.6085260474627754</v>
      </c>
      <c r="J99" s="113">
        <f t="shared" si="20"/>
        <v>57.889668614919522</v>
      </c>
      <c r="K99" s="114">
        <v>3744301.3096400588</v>
      </c>
      <c r="L99" s="114">
        <v>47346.430525003001</v>
      </c>
      <c r="M99" s="115">
        <v>92.595235236724278</v>
      </c>
      <c r="N99" s="115">
        <v>4.7192171670475656</v>
      </c>
      <c r="O99" s="116">
        <v>1.4277739472736254E-2</v>
      </c>
      <c r="P99" s="117">
        <v>2015.3054429080898</v>
      </c>
    </row>
    <row r="100" spans="1:16" ht="13" x14ac:dyDescent="0.25">
      <c r="A100" s="13" t="s">
        <v>74</v>
      </c>
      <c r="B100" s="111">
        <v>2025</v>
      </c>
      <c r="C100" s="13" t="str">
        <f t="shared" si="8"/>
        <v>SVE25</v>
      </c>
      <c r="D100" s="112">
        <f t="shared" si="16"/>
        <v>15.142133290332939</v>
      </c>
      <c r="E100" s="112">
        <f t="shared" si="16"/>
        <v>10.767758632078197</v>
      </c>
      <c r="F100" s="113">
        <f t="shared" si="17"/>
        <v>92.638367322860375</v>
      </c>
      <c r="G100" s="113">
        <f t="shared" si="18"/>
        <v>1.5519272566997044</v>
      </c>
      <c r="H100" s="113">
        <f t="shared" si="18"/>
        <v>-4.2500873591659216</v>
      </c>
      <c r="I100" s="113">
        <f t="shared" si="18"/>
        <v>7.6148277582541484</v>
      </c>
      <c r="J100" s="113">
        <f t="shared" si="20"/>
        <v>57.985601787877897</v>
      </c>
      <c r="K100" s="114">
        <v>3768295.3310395693</v>
      </c>
      <c r="L100" s="114">
        <v>47465.510525003003</v>
      </c>
      <c r="M100" s="115">
        <v>92.638367322860375</v>
      </c>
      <c r="N100" s="115">
        <v>4.7205591506396027</v>
      </c>
      <c r="O100" s="116">
        <v>1.4262987851850503E-2</v>
      </c>
      <c r="P100" s="117">
        <v>2028.0454146138507</v>
      </c>
    </row>
    <row r="101" spans="1:16" ht="13" x14ac:dyDescent="0.25">
      <c r="A101" s="13" t="s">
        <v>75</v>
      </c>
      <c r="B101" s="111">
        <v>2021</v>
      </c>
      <c r="C101" s="13" t="str">
        <f t="shared" si="8"/>
        <v>HDD21</v>
      </c>
      <c r="D101" s="112">
        <f t="shared" si="16"/>
        <v>11.570326474319035</v>
      </c>
      <c r="E101" s="112">
        <f t="shared" si="16"/>
        <v>7.8871010997521198</v>
      </c>
      <c r="F101" s="113">
        <f t="shared" si="17"/>
        <v>100</v>
      </c>
      <c r="G101" s="113">
        <f t="shared" si="18"/>
        <v>1.6546207890882698</v>
      </c>
      <c r="H101" s="113">
        <f t="shared" si="18"/>
        <v>-3.333224208151579</v>
      </c>
      <c r="I101" s="113">
        <f t="shared" si="18"/>
        <v>5.7679310456394868</v>
      </c>
      <c r="J101" s="113">
        <f t="shared" si="20"/>
        <v>33.269028547251821</v>
      </c>
      <c r="K101" s="114">
        <v>105908.04264044411</v>
      </c>
      <c r="L101" s="114">
        <v>2662.71378</v>
      </c>
      <c r="M101" s="115">
        <v>100</v>
      </c>
      <c r="N101" s="115">
        <v>5.2310958573829085</v>
      </c>
      <c r="O101" s="116">
        <v>3.5677886490676443E-2</v>
      </c>
      <c r="P101" s="117">
        <v>319.87524027724618</v>
      </c>
    </row>
    <row r="102" spans="1:16" ht="13" x14ac:dyDescent="0.25">
      <c r="A102" s="13" t="s">
        <v>75</v>
      </c>
      <c r="B102" s="111">
        <v>2022</v>
      </c>
      <c r="C102" s="13" t="str">
        <f t="shared" si="8"/>
        <v>HDD22</v>
      </c>
      <c r="D102" s="112">
        <f t="shared" si="16"/>
        <v>11.573908376878659</v>
      </c>
      <c r="E102" s="112">
        <f t="shared" si="16"/>
        <v>7.8911115040090136</v>
      </c>
      <c r="F102" s="113">
        <f t="shared" si="17"/>
        <v>100</v>
      </c>
      <c r="G102" s="113">
        <f t="shared" si="18"/>
        <v>1.6547867127000524</v>
      </c>
      <c r="H102" s="113">
        <f t="shared" si="18"/>
        <v>-3.3372346124084729</v>
      </c>
      <c r="I102" s="113">
        <f t="shared" si="18"/>
        <v>5.7713541662395293</v>
      </c>
      <c r="J102" s="113">
        <f t="shared" si="20"/>
        <v>33.308528912170374</v>
      </c>
      <c r="K102" s="114">
        <v>106288.07514284045</v>
      </c>
      <c r="L102" s="114">
        <v>2673.4137799999999</v>
      </c>
      <c r="M102" s="115">
        <v>100</v>
      </c>
      <c r="N102" s="115">
        <v>5.2319638917128497</v>
      </c>
      <c r="O102" s="116">
        <v>3.5535090269490574E-2</v>
      </c>
      <c r="P102" s="117">
        <v>320.9720880517396</v>
      </c>
    </row>
    <row r="103" spans="1:16" ht="13" x14ac:dyDescent="0.25">
      <c r="A103" s="13" t="s">
        <v>75</v>
      </c>
      <c r="B103" s="111">
        <v>2023</v>
      </c>
      <c r="C103" s="13" t="str">
        <f t="shared" si="8"/>
        <v>HDD23</v>
      </c>
      <c r="D103" s="112">
        <f t="shared" si="16"/>
        <v>11.577730584741321</v>
      </c>
      <c r="E103" s="112">
        <f t="shared" si="16"/>
        <v>7.8951058891453689</v>
      </c>
      <c r="F103" s="113">
        <f t="shared" si="17"/>
        <v>99.999999999999986</v>
      </c>
      <c r="G103" s="113">
        <f t="shared" si="18"/>
        <v>1.6551171596687089</v>
      </c>
      <c r="H103" s="113">
        <f t="shared" si="18"/>
        <v>-3.3412289975448282</v>
      </c>
      <c r="I103" s="113">
        <f t="shared" si="18"/>
        <v>5.7746230793606763</v>
      </c>
      <c r="J103" s="113">
        <f t="shared" si="20"/>
        <v>33.346271708684981</v>
      </c>
      <c r="K103" s="114">
        <v>106695.10764523677</v>
      </c>
      <c r="L103" s="114">
        <v>2684.1137800000001</v>
      </c>
      <c r="M103" s="115">
        <v>99.999999999999986</v>
      </c>
      <c r="N103" s="115">
        <v>5.2336930640051227</v>
      </c>
      <c r="O103" s="116">
        <v>3.5393432539212254E-2</v>
      </c>
      <c r="P103" s="117">
        <v>322.02303471270892</v>
      </c>
    </row>
    <row r="104" spans="1:16" ht="13" x14ac:dyDescent="0.25">
      <c r="A104" s="13" t="s">
        <v>75</v>
      </c>
      <c r="B104" s="111">
        <v>2024</v>
      </c>
      <c r="C104" s="13" t="str">
        <f t="shared" si="8"/>
        <v>HDD24</v>
      </c>
      <c r="D104" s="112">
        <f t="shared" si="16"/>
        <v>11.581613187326637</v>
      </c>
      <c r="E104" s="112">
        <f t="shared" si="16"/>
        <v>7.8990843826254569</v>
      </c>
      <c r="F104" s="113">
        <f t="shared" si="17"/>
        <v>100</v>
      </c>
      <c r="G104" s="113">
        <f t="shared" si="18"/>
        <v>1.6554589447454569</v>
      </c>
      <c r="H104" s="113">
        <f t="shared" si="18"/>
        <v>-3.3452074910249161</v>
      </c>
      <c r="I104" s="113">
        <f t="shared" si="18"/>
        <v>5.77784903848542</v>
      </c>
      <c r="J104" s="113">
        <f t="shared" si="20"/>
        <v>33.383539511526891</v>
      </c>
      <c r="K104" s="114">
        <v>107110.16758100552</v>
      </c>
      <c r="L104" s="114">
        <v>2694.81378</v>
      </c>
      <c r="M104" s="115">
        <v>100</v>
      </c>
      <c r="N104" s="115">
        <v>5.2354821679177714</v>
      </c>
      <c r="O104" s="116">
        <v>3.5252899738400477E-2</v>
      </c>
      <c r="P104" s="117">
        <v>323.06354527983081</v>
      </c>
    </row>
    <row r="105" spans="1:16" ht="13" x14ac:dyDescent="0.25">
      <c r="A105" s="13" t="s">
        <v>75</v>
      </c>
      <c r="B105" s="111">
        <v>2025</v>
      </c>
      <c r="C105" s="13" t="str">
        <f t="shared" si="8"/>
        <v>HDD25</v>
      </c>
      <c r="D105" s="112">
        <f t="shared" si="16"/>
        <v>11.585555171969695</v>
      </c>
      <c r="E105" s="112">
        <f t="shared" si="16"/>
        <v>7.9030471103982238</v>
      </c>
      <c r="F105" s="113">
        <f t="shared" si="17"/>
        <v>100</v>
      </c>
      <c r="G105" s="113">
        <f t="shared" si="18"/>
        <v>1.6556883910055997</v>
      </c>
      <c r="H105" s="113">
        <f t="shared" si="18"/>
        <v>-3.3491702187976835</v>
      </c>
      <c r="I105" s="113">
        <f t="shared" si="18"/>
        <v>5.7810010212287297</v>
      </c>
      <c r="J105" s="113">
        <f t="shared" si="20"/>
        <v>33.419972807447614</v>
      </c>
      <c r="K105" s="114">
        <v>107533.22751677425</v>
      </c>
      <c r="L105" s="114">
        <v>2705.5137800000002</v>
      </c>
      <c r="M105" s="115">
        <v>100</v>
      </c>
      <c r="N105" s="115">
        <v>5.2366835675443006</v>
      </c>
      <c r="O105" s="116">
        <v>3.5113478520150058E-2</v>
      </c>
      <c r="P105" s="117">
        <v>324.08344250438199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17"/>
  <sheetViews>
    <sheetView showGridLines="0" zoomScale="80" zoomScaleNormal="80" workbookViewId="0"/>
  </sheetViews>
  <sheetFormatPr defaultRowHeight="14" x14ac:dyDescent="0.3"/>
  <cols>
    <col min="1" max="1" width="2.08203125" customWidth="1"/>
    <col min="2" max="2" width="24.08203125" bestFit="1" customWidth="1"/>
    <col min="3" max="3" width="49.58203125" bestFit="1" customWidth="1"/>
    <col min="4" max="5" width="9.58203125" style="1" bestFit="1" customWidth="1"/>
    <col min="6" max="6" width="12.5" style="1" bestFit="1" customWidth="1"/>
    <col min="7" max="7" width="9.58203125" style="1" customWidth="1"/>
    <col min="8" max="8" width="10.08203125" style="1" bestFit="1" customWidth="1"/>
  </cols>
  <sheetData>
    <row r="1" spans="2:8" ht="15.75" customHeight="1" x14ac:dyDescent="0.3"/>
    <row r="2" spans="2:8" ht="42" x14ac:dyDescent="0.3">
      <c r="B2" s="5"/>
      <c r="C2" s="5"/>
      <c r="D2" s="39" t="s">
        <v>93</v>
      </c>
      <c r="E2" s="39"/>
      <c r="F2" s="40" t="s">
        <v>94</v>
      </c>
      <c r="G2" s="39" t="s">
        <v>95</v>
      </c>
      <c r="H2" s="38"/>
    </row>
    <row r="3" spans="2:8" x14ac:dyDescent="0.3">
      <c r="B3" s="6"/>
      <c r="C3" s="6"/>
      <c r="D3" s="41" t="s">
        <v>35</v>
      </c>
      <c r="E3" s="41" t="s">
        <v>36</v>
      </c>
      <c r="F3" s="41" t="s">
        <v>38</v>
      </c>
      <c r="G3" s="41" t="s">
        <v>39</v>
      </c>
      <c r="H3" s="41" t="s">
        <v>40</v>
      </c>
    </row>
    <row r="4" spans="2:8" x14ac:dyDescent="0.3">
      <c r="B4" s="6" t="s">
        <v>337</v>
      </c>
      <c r="C4" s="6" t="s">
        <v>338</v>
      </c>
      <c r="D4" s="41" t="s">
        <v>339</v>
      </c>
      <c r="E4" s="41" t="s">
        <v>340</v>
      </c>
      <c r="F4" s="41" t="s">
        <v>341</v>
      </c>
      <c r="G4" s="41" t="s">
        <v>342</v>
      </c>
      <c r="H4" s="41" t="s">
        <v>343</v>
      </c>
    </row>
    <row r="5" spans="2:8" x14ac:dyDescent="0.3">
      <c r="B5" s="7" t="s">
        <v>344</v>
      </c>
      <c r="C5" s="7" t="s">
        <v>345</v>
      </c>
      <c r="D5" s="8">
        <v>1.007474</v>
      </c>
      <c r="E5" s="8">
        <v>1.006929</v>
      </c>
      <c r="F5" s="8" t="s">
        <v>346</v>
      </c>
      <c r="G5" s="8">
        <v>1.033514</v>
      </c>
      <c r="H5" s="8">
        <v>1.020337</v>
      </c>
    </row>
    <row r="6" spans="2:8" x14ac:dyDescent="0.3">
      <c r="B6" s="7" t="s">
        <v>37</v>
      </c>
      <c r="C6" s="7" t="s">
        <v>347</v>
      </c>
      <c r="D6" s="8">
        <v>8.3032999999999996E-3</v>
      </c>
      <c r="E6" s="8" t="s">
        <v>346</v>
      </c>
      <c r="F6" s="8" t="s">
        <v>346</v>
      </c>
      <c r="G6" s="8">
        <v>5.4320000000000002E-3</v>
      </c>
      <c r="H6" s="8" t="s">
        <v>346</v>
      </c>
    </row>
    <row r="7" spans="2:8" x14ac:dyDescent="0.3">
      <c r="B7" s="7" t="s">
        <v>348</v>
      </c>
      <c r="C7" s="7" t="s">
        <v>349</v>
      </c>
      <c r="D7" s="8" t="s">
        <v>346</v>
      </c>
      <c r="E7" s="8">
        <v>0.48573260000000001</v>
      </c>
      <c r="F7" s="8" t="s">
        <v>346</v>
      </c>
      <c r="G7" s="8" t="s">
        <v>346</v>
      </c>
      <c r="H7" s="8">
        <v>0.56767749999999995</v>
      </c>
    </row>
    <row r="8" spans="2:8" x14ac:dyDescent="0.3">
      <c r="B8" s="7" t="s">
        <v>350</v>
      </c>
      <c r="C8" s="7" t="s">
        <v>351</v>
      </c>
      <c r="D8" s="8">
        <v>-1.6466860000000001</v>
      </c>
      <c r="E8" s="8">
        <v>-0.98065360000000001</v>
      </c>
      <c r="F8" s="8">
        <v>-3.1203439999999998</v>
      </c>
      <c r="G8" s="8">
        <v>-2.2201490000000002</v>
      </c>
      <c r="H8" s="8">
        <v>-1.788826</v>
      </c>
    </row>
    <row r="9" spans="2:8" x14ac:dyDescent="0.3">
      <c r="B9" s="7" t="s">
        <v>352</v>
      </c>
      <c r="C9" s="7" t="s">
        <v>353</v>
      </c>
      <c r="D9" s="8">
        <v>0.1031922</v>
      </c>
      <c r="E9" s="8">
        <v>5.57355E-2</v>
      </c>
      <c r="F9" s="8">
        <v>0.24804689999999999</v>
      </c>
      <c r="G9" s="8">
        <v>0.15556030000000001</v>
      </c>
      <c r="H9" s="8">
        <v>0.12489169999999999</v>
      </c>
    </row>
    <row r="10" spans="2:8" x14ac:dyDescent="0.3">
      <c r="B10" s="7" t="s">
        <v>354</v>
      </c>
      <c r="C10" s="7" t="s">
        <v>355</v>
      </c>
      <c r="D10" s="8" t="s">
        <v>346</v>
      </c>
      <c r="E10" s="8" t="s">
        <v>346</v>
      </c>
      <c r="F10" s="8">
        <v>1.04884</v>
      </c>
      <c r="G10" s="8" t="s">
        <v>346</v>
      </c>
      <c r="H10" s="8" t="s">
        <v>346</v>
      </c>
    </row>
    <row r="11" spans="2:8" x14ac:dyDescent="0.3">
      <c r="B11" s="7" t="s">
        <v>356</v>
      </c>
      <c r="C11" s="7" t="s">
        <v>357</v>
      </c>
      <c r="D11" s="8" t="s">
        <v>346</v>
      </c>
      <c r="E11" s="8" t="s">
        <v>346</v>
      </c>
      <c r="F11" s="8">
        <v>0.4554243</v>
      </c>
      <c r="G11" s="8">
        <v>0.23087089999999999</v>
      </c>
      <c r="H11" s="8">
        <v>0.255691</v>
      </c>
    </row>
    <row r="12" spans="2:8" x14ac:dyDescent="0.3">
      <c r="B12" s="7" t="s">
        <v>358</v>
      </c>
      <c r="C12" s="7" t="s">
        <v>359</v>
      </c>
      <c r="D12" s="8">
        <v>-4.2741189999999998</v>
      </c>
      <c r="E12" s="8">
        <v>-6.6074109999999999</v>
      </c>
      <c r="F12" s="8">
        <v>5.686153</v>
      </c>
      <c r="G12" s="8">
        <v>-1.105985</v>
      </c>
      <c r="H12" s="8">
        <v>-2.724561</v>
      </c>
    </row>
    <row r="13" spans="2:8" s="1" customFormat="1" x14ac:dyDescent="0.3">
      <c r="B13" s="9"/>
      <c r="C13" s="9"/>
      <c r="D13" s="10"/>
      <c r="E13" s="10"/>
      <c r="F13" s="10"/>
      <c r="G13" s="10"/>
      <c r="H13" s="10"/>
    </row>
    <row r="14" spans="2:8" s="1" customFormat="1" x14ac:dyDescent="0.3">
      <c r="B14" s="9"/>
      <c r="C14" s="9"/>
      <c r="D14" s="10"/>
      <c r="E14" s="10"/>
      <c r="F14" s="10"/>
      <c r="G14" s="10"/>
      <c r="H14" s="10"/>
    </row>
    <row r="15" spans="2:8" ht="14.5" x14ac:dyDescent="0.35">
      <c r="B15" s="11"/>
    </row>
    <row r="16" spans="2:8" ht="14.5" x14ac:dyDescent="0.35">
      <c r="B16" s="3"/>
    </row>
    <row r="17" spans="2:2" ht="14.5" x14ac:dyDescent="0.35">
      <c r="B17"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zoomScale="70" zoomScaleNormal="70" workbookViewId="0"/>
  </sheetViews>
  <sheetFormatPr defaultRowHeight="14" x14ac:dyDescent="0.3"/>
  <sheetData>
    <row r="1" spans="1:1" x14ac:dyDescent="0.3">
      <c r="A1"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08"/>
  <sheetViews>
    <sheetView showGridLines="0" zoomScale="90" zoomScaleNormal="90" workbookViewId="0">
      <pane xSplit="1" ySplit="6" topLeftCell="B7" activePane="bottomRight" state="frozen"/>
      <selection activeCell="AM5" sqref="AM5"/>
      <selection pane="topRight" activeCell="AM5" sqref="AM5"/>
      <selection pane="bottomLeft" activeCell="AM5" sqref="AM5"/>
      <selection pane="bottomRight"/>
    </sheetView>
  </sheetViews>
  <sheetFormatPr defaultColWidth="8.58203125" defaultRowHeight="13" x14ac:dyDescent="0.3"/>
  <cols>
    <col min="1" max="1" width="10.58203125" style="4" bestFit="1" customWidth="1"/>
    <col min="2" max="2" width="10" style="4" bestFit="1" customWidth="1"/>
    <col min="3" max="3" width="10.08203125" style="4" bestFit="1" customWidth="1"/>
    <col min="4" max="4" width="11.58203125" style="4" bestFit="1" customWidth="1"/>
    <col min="5" max="5" width="12.5" style="4" customWidth="1"/>
    <col min="6" max="6" width="12.08203125" style="4" customWidth="1"/>
    <col min="7" max="8" width="11.08203125" style="4" customWidth="1"/>
    <col min="9" max="9" width="3" style="4" customWidth="1"/>
    <col min="10" max="10" width="11.58203125" style="4" customWidth="1"/>
    <col min="11" max="11" width="11.08203125" style="4" customWidth="1"/>
    <col min="12" max="12" width="14" style="4" customWidth="1"/>
    <col min="13" max="13" width="13.58203125" style="4" customWidth="1"/>
    <col min="14" max="14" width="14" style="4" customWidth="1"/>
    <col min="15" max="15" width="6.08203125" style="4" customWidth="1"/>
    <col min="16" max="16" width="10.08203125" style="4" bestFit="1" customWidth="1"/>
    <col min="17" max="18" width="10.08203125" style="4" customWidth="1"/>
    <col min="19" max="19" width="8.58203125" style="4"/>
    <col min="20" max="22" width="10" style="4" customWidth="1"/>
    <col min="23" max="23" width="17.75" style="4" customWidth="1"/>
    <col min="24" max="16384" width="8.58203125" style="4"/>
  </cols>
  <sheetData>
    <row r="1" spans="1:23" s="19" customFormat="1" ht="15.5" x14ac:dyDescent="0.35">
      <c r="A1" s="56" t="s">
        <v>104</v>
      </c>
      <c r="B1" s="24"/>
      <c r="C1" s="37"/>
    </row>
    <row r="2" spans="1:23" x14ac:dyDescent="0.3">
      <c r="N2" s="25"/>
    </row>
    <row r="3" spans="1:23" x14ac:dyDescent="0.3">
      <c r="D3" s="52" t="s">
        <v>21</v>
      </c>
      <c r="E3" s="53"/>
      <c r="F3" s="53"/>
      <c r="G3" s="53"/>
      <c r="H3" s="53"/>
      <c r="J3" s="27"/>
      <c r="K3" s="27"/>
      <c r="L3" s="52" t="s">
        <v>21</v>
      </c>
      <c r="M3" s="52"/>
      <c r="N3" s="28"/>
    </row>
    <row r="4" spans="1:23" s="17" customFormat="1" x14ac:dyDescent="0.3">
      <c r="D4" s="54" t="s">
        <v>336</v>
      </c>
      <c r="E4" s="55" t="s">
        <v>336</v>
      </c>
      <c r="F4" s="54" t="s">
        <v>336</v>
      </c>
      <c r="G4" s="54" t="s">
        <v>336</v>
      </c>
      <c r="H4" s="54" t="s">
        <v>336</v>
      </c>
      <c r="J4" s="29"/>
      <c r="K4" s="29"/>
      <c r="L4" s="54" t="s">
        <v>336</v>
      </c>
      <c r="M4" s="54" t="s">
        <v>336</v>
      </c>
      <c r="N4" s="27"/>
    </row>
    <row r="5" spans="1:23" s="16" customFormat="1" x14ac:dyDescent="0.3">
      <c r="D5" s="26">
        <f>INDEX(Controls!$D$22:$D$26,MATCH(D$6,Controls!$C$22:$C$26,0))</f>
        <v>0.5</v>
      </c>
      <c r="E5" s="26">
        <f>INDEX(Controls!$D$22:$D$26,MATCH(E$6,Controls!$C$22:$C$26,0))</f>
        <v>0.5</v>
      </c>
      <c r="F5" s="26">
        <f>INDEX(Controls!$D$22:$D$26,MATCH(F$6,Controls!$C$22:$C$26,0))</f>
        <v>1</v>
      </c>
      <c r="G5" s="26">
        <f>INDEX(Controls!$D$22:$D$26,MATCH(G$6,Controls!$C$22:$C$26,0))</f>
        <v>0.5</v>
      </c>
      <c r="H5" s="26">
        <f>INDEX(Controls!$D$22:$D$26,MATCH(H$6,Controls!$C$22:$C$26,0))</f>
        <v>0.5</v>
      </c>
      <c r="J5" s="4"/>
      <c r="K5" s="4"/>
      <c r="L5" s="26">
        <f>INDEX(Controls!$H$22:$H$23,MATCH(L$6,Controls!$G$22:$G$23,0))</f>
        <v>0.5</v>
      </c>
      <c r="M5" s="26">
        <f>INDEX(Controls!$H$22:$H$23,MATCH(M$6,Controls!$G$22:$G$23,0))</f>
        <v>0.5</v>
      </c>
      <c r="N5" s="27"/>
      <c r="Q5" s="4"/>
      <c r="R5" s="4"/>
      <c r="T5" s="23" t="s">
        <v>91</v>
      </c>
      <c r="U5" s="4"/>
      <c r="V5" s="4"/>
      <c r="W5" s="4"/>
    </row>
    <row r="6" spans="1:23" ht="39" x14ac:dyDescent="0.3">
      <c r="A6" s="48" t="str">
        <f>'Forecast drivers'!A5</f>
        <v>Company</v>
      </c>
      <c r="B6" s="48" t="str">
        <f>'Forecast drivers'!B5</f>
        <v>Year</v>
      </c>
      <c r="C6" s="31" t="str">
        <f>'Forecast drivers'!C5</f>
        <v>Code</v>
      </c>
      <c r="D6" s="30" t="s">
        <v>35</v>
      </c>
      <c r="E6" s="30" t="s">
        <v>36</v>
      </c>
      <c r="F6" s="30" t="s">
        <v>38</v>
      </c>
      <c r="G6" s="30" t="s">
        <v>39</v>
      </c>
      <c r="H6" s="30" t="s">
        <v>40</v>
      </c>
      <c r="J6" s="30" t="s">
        <v>53</v>
      </c>
      <c r="K6" s="30" t="s">
        <v>54</v>
      </c>
      <c r="L6" s="30" t="s">
        <v>85</v>
      </c>
      <c r="M6" s="30" t="s">
        <v>86</v>
      </c>
      <c r="N6" s="59" t="s">
        <v>108</v>
      </c>
      <c r="P6" s="30" t="s">
        <v>105</v>
      </c>
      <c r="Q6" s="30" t="s">
        <v>34</v>
      </c>
      <c r="R6" s="59" t="s">
        <v>106</v>
      </c>
      <c r="T6" s="15" t="s">
        <v>20</v>
      </c>
      <c r="U6" s="15" t="s">
        <v>77</v>
      </c>
      <c r="V6" s="15" t="s">
        <v>92</v>
      </c>
      <c r="W6" s="58" t="s">
        <v>101</v>
      </c>
    </row>
    <row r="7" spans="1:23" x14ac:dyDescent="0.3">
      <c r="A7" s="33" t="s">
        <v>4</v>
      </c>
      <c r="B7" s="49">
        <f>'Forecast drivers'!B6</f>
        <v>2021</v>
      </c>
      <c r="C7" s="33" t="str">
        <f>'Forecast drivers'!C6</f>
        <v>ANH21</v>
      </c>
      <c r="D7" s="42">
        <f>EXP(Coeffs!$D$12+(Coeffs!$D$5*'Forecast drivers'!D6)+(Coeffs!$D$6*'Forecast drivers'!F6)+(Coeffs!$D$8*'Forecast drivers'!I6)+(Coeffs!$D$9*'Forecast drivers'!J6))</f>
        <v>117.46873793748664</v>
      </c>
      <c r="E7" s="42">
        <f>EXP(Coeffs!$E$12+(Coeffs!$E$5*'Forecast drivers'!D6)+(Coeffs!$E$7*'Forecast drivers'!G6)+(Coeffs!$E$8*'Forecast drivers'!I6)+(Coeffs!$E$9*'Forecast drivers'!J6))</f>
        <v>130.68332146546683</v>
      </c>
      <c r="F7" s="42">
        <f>EXP(Coeffs!$F$12+(Coeffs!$F$8*'Forecast drivers'!I6)+(Coeffs!$F$9*'Forecast drivers'!J6)+(Coeffs!$F$10*'Forecast drivers'!E6)+(Coeffs!$F$11*'Forecast drivers'!H6))</f>
        <v>143.42889332874773</v>
      </c>
      <c r="G7" s="42">
        <f>EXP(Coeffs!$G$12+(Coeffs!$G$5*'Forecast drivers'!D6)+(Coeffs!$G$6*'Forecast drivers'!F6)+(Coeffs!$G$8*'Forecast drivers'!I6)+(Coeffs!$G$9*'Forecast drivers'!J6)+(Coeffs!$G$11*'Forecast drivers'!H6))</f>
        <v>257.1923335990648</v>
      </c>
      <c r="H7" s="42">
        <f>EXP(Coeffs!$H$12+(Coeffs!$H$5*'Forecast drivers'!D6)+(Coeffs!$H$7*'Forecast drivers'!G6)+(Coeffs!$H$8*'Forecast drivers'!I6)+(Coeffs!$H$9*'Forecast drivers'!J6)+(Coeffs!$H$11*'Forecast drivers'!H6))</f>
        <v>275.92098095279988</v>
      </c>
      <c r="J7" s="42">
        <f t="shared" ref="J7:J38" si="0">D$5*D7+E$5*E7</f>
        <v>124.07602970147673</v>
      </c>
      <c r="K7" s="42">
        <f t="shared" ref="K7:K38" si="1">F$5*F7</f>
        <v>143.42889332874773</v>
      </c>
      <c r="L7" s="43">
        <f t="shared" ref="L7:L38" si="2">J7+K7</f>
        <v>267.50492303022446</v>
      </c>
      <c r="M7" s="43">
        <f t="shared" ref="M7:M38" si="3">G7*$G$5+H7*$H$5</f>
        <v>266.55665727593237</v>
      </c>
      <c r="N7" s="60">
        <f>$L$5*L7+$M$5*M7</f>
        <v>267.03079015307844</v>
      </c>
      <c r="O7" s="17"/>
      <c r="P7" s="232">
        <f>Controls!$G$10*N7</f>
        <v>254.75489726055568</v>
      </c>
      <c r="Q7" s="93">
        <f>(INDEX(Controls!$G$13:$G$17,MATCH($B7,Controls!$C$13:$C$17,0),0))*$P7</f>
        <v>-3.5288189809717281</v>
      </c>
      <c r="R7" s="60">
        <f>P7+Q7</f>
        <v>251.22607827958396</v>
      </c>
      <c r="S7" s="233"/>
      <c r="T7" s="66" t="s">
        <v>4</v>
      </c>
      <c r="U7" s="57">
        <v>1666.640230282856</v>
      </c>
      <c r="V7" s="57">
        <f t="shared" ref="V7:V22" si="4">SUMIF($A$7:$A$106,$T7,N$7:N$106)</f>
        <v>1358.4519270399867</v>
      </c>
      <c r="W7" s="12">
        <f>U7/V7</f>
        <v>1.2268672870260484</v>
      </c>
    </row>
    <row r="8" spans="1:23" x14ac:dyDescent="0.3">
      <c r="A8" s="33" t="str">
        <f>'Forecast drivers'!A7</f>
        <v>ANH</v>
      </c>
      <c r="B8" s="49">
        <f>'Forecast drivers'!B7</f>
        <v>2022</v>
      </c>
      <c r="C8" s="33" t="str">
        <f>'Forecast drivers'!C7</f>
        <v>ANH22</v>
      </c>
      <c r="D8" s="42">
        <f>EXP(Coeffs!$D$12+(Coeffs!$D$5*'Forecast drivers'!D7)+(Coeffs!$D$6*'Forecast drivers'!F7)+(Coeffs!$D$8*'Forecast drivers'!I7)+(Coeffs!$D$9*'Forecast drivers'!J7))</f>
        <v>118.20437736411067</v>
      </c>
      <c r="E8" s="42">
        <f>EXP(Coeffs!$E$12+(Coeffs!$E$5*'Forecast drivers'!D7)+(Coeffs!$E$7*'Forecast drivers'!G7)+(Coeffs!$E$8*'Forecast drivers'!I7)+(Coeffs!$E$9*'Forecast drivers'!J7))</f>
        <v>131.53070401094169</v>
      </c>
      <c r="F8" s="42">
        <f>EXP(Coeffs!$F$12+(Coeffs!$F$8*'Forecast drivers'!I7)+(Coeffs!$F$9*'Forecast drivers'!J7)+(Coeffs!$F$10*'Forecast drivers'!E7)+(Coeffs!$F$11*'Forecast drivers'!H7))</f>
        <v>144.52172210800117</v>
      </c>
      <c r="G8" s="42">
        <f>EXP(Coeffs!$G$12+(Coeffs!$G$5*'Forecast drivers'!D7)+(Coeffs!$G$6*'Forecast drivers'!F7)+(Coeffs!$G$8*'Forecast drivers'!I7)+(Coeffs!$G$9*'Forecast drivers'!J7)+(Coeffs!$G$11*'Forecast drivers'!H7))</f>
        <v>259.26421254083772</v>
      </c>
      <c r="H8" s="42">
        <f>EXP(Coeffs!$H$12+(Coeffs!$H$5*'Forecast drivers'!D7)+(Coeffs!$H$7*'Forecast drivers'!G7)+(Coeffs!$H$8*'Forecast drivers'!I7)+(Coeffs!$H$9*'Forecast drivers'!J7)+(Coeffs!$H$11*'Forecast drivers'!H7))</f>
        <v>278.18716191748086</v>
      </c>
      <c r="J8" s="42">
        <f t="shared" si="0"/>
        <v>124.86754068752617</v>
      </c>
      <c r="K8" s="42">
        <f t="shared" si="1"/>
        <v>144.52172210800117</v>
      </c>
      <c r="L8" s="43">
        <f t="shared" si="2"/>
        <v>269.38926279552732</v>
      </c>
      <c r="M8" s="43">
        <f t="shared" si="3"/>
        <v>268.72568722915929</v>
      </c>
      <c r="N8" s="60">
        <f t="shared" ref="N8:N71" si="5">$L$5*L8+$M$5*M8</f>
        <v>269.05747501234328</v>
      </c>
      <c r="O8" s="17"/>
      <c r="P8" s="43">
        <f>Controls!$G$10*N8</f>
        <v>256.68841171709289</v>
      </c>
      <c r="Q8" s="93">
        <f>(INDEX(Controls!$G$13:$G$17,MATCH($B8,Controls!$C$13:$C$17,0),0))*$P8</f>
        <v>-5.2515915024718431</v>
      </c>
      <c r="R8" s="60">
        <f t="shared" ref="R8:R71" si="6">P8+Q8</f>
        <v>251.43682021462104</v>
      </c>
      <c r="S8" s="233"/>
      <c r="T8" s="66" t="s">
        <v>5</v>
      </c>
      <c r="U8" s="57">
        <v>1092.5739999999998</v>
      </c>
      <c r="V8" s="57">
        <f t="shared" si="4"/>
        <v>1223.373820987847</v>
      </c>
      <c r="W8" s="12">
        <f t="shared" ref="W8:W22" si="7">U8/V8</f>
        <v>0.89308270395860745</v>
      </c>
    </row>
    <row r="9" spans="1:23" x14ac:dyDescent="0.3">
      <c r="A9" s="33" t="str">
        <f>'Forecast drivers'!A8</f>
        <v>ANH</v>
      </c>
      <c r="B9" s="49">
        <f>'Forecast drivers'!B8</f>
        <v>2023</v>
      </c>
      <c r="C9" s="33" t="str">
        <f>'Forecast drivers'!C8</f>
        <v>ANH23</v>
      </c>
      <c r="D9" s="42">
        <f>EXP(Coeffs!$D$12+(Coeffs!$D$5*'Forecast drivers'!D8)+(Coeffs!$D$6*'Forecast drivers'!F8)+(Coeffs!$D$8*'Forecast drivers'!I8)+(Coeffs!$D$9*'Forecast drivers'!J8))</f>
        <v>119.47165807435576</v>
      </c>
      <c r="E9" s="42">
        <f>EXP(Coeffs!$E$12+(Coeffs!$E$5*'Forecast drivers'!D8)+(Coeffs!$E$7*'Forecast drivers'!G8)+(Coeffs!$E$8*'Forecast drivers'!I8)+(Coeffs!$E$9*'Forecast drivers'!J8))</f>
        <v>132.82118254779274</v>
      </c>
      <c r="F9" s="42">
        <f>EXP(Coeffs!$F$12+(Coeffs!$F$8*'Forecast drivers'!I8)+(Coeffs!$F$9*'Forecast drivers'!J8)+(Coeffs!$F$10*'Forecast drivers'!E8)+(Coeffs!$F$11*'Forecast drivers'!H8))</f>
        <v>145.57609231295922</v>
      </c>
      <c r="G9" s="42">
        <f>EXP(Coeffs!$G$12+(Coeffs!$G$5*'Forecast drivers'!D8)+(Coeffs!$G$6*'Forecast drivers'!F8)+(Coeffs!$G$8*'Forecast drivers'!I8)+(Coeffs!$G$9*'Forecast drivers'!J8)+(Coeffs!$G$11*'Forecast drivers'!H8))</f>
        <v>262.21622860898231</v>
      </c>
      <c r="H9" s="42">
        <f>EXP(Coeffs!$H$12+(Coeffs!$H$5*'Forecast drivers'!D8)+(Coeffs!$H$7*'Forecast drivers'!G8)+(Coeffs!$H$8*'Forecast drivers'!I8)+(Coeffs!$H$9*'Forecast drivers'!J8)+(Coeffs!$H$11*'Forecast drivers'!H8))</f>
        <v>281.50873367267945</v>
      </c>
      <c r="J9" s="42">
        <f t="shared" si="0"/>
        <v>126.14642031107425</v>
      </c>
      <c r="K9" s="42">
        <f t="shared" si="1"/>
        <v>145.57609231295922</v>
      </c>
      <c r="L9" s="43">
        <f t="shared" si="2"/>
        <v>271.72251262403347</v>
      </c>
      <c r="M9" s="43">
        <f t="shared" si="3"/>
        <v>271.86248114083088</v>
      </c>
      <c r="N9" s="60">
        <f t="shared" si="5"/>
        <v>271.79249688243215</v>
      </c>
      <c r="O9" s="17"/>
      <c r="P9" s="43">
        <f>Controls!$G$10*N9</f>
        <v>259.29769963898548</v>
      </c>
      <c r="Q9" s="93">
        <f>(INDEX(Controls!$G$13:$G$17,MATCH($B9,Controls!$C$13:$C$17,0),0))*$P9</f>
        <v>-6.9559276679101592</v>
      </c>
      <c r="R9" s="60">
        <f t="shared" si="6"/>
        <v>252.34177197107533</v>
      </c>
      <c r="S9" s="233"/>
      <c r="T9" s="66" t="s">
        <v>6</v>
      </c>
      <c r="U9" s="57">
        <v>1729.0120177858826</v>
      </c>
      <c r="V9" s="57">
        <f t="shared" si="4"/>
        <v>2078.4873459486757</v>
      </c>
      <c r="W9" s="12">
        <f t="shared" si="7"/>
        <v>0.83186073812574335</v>
      </c>
    </row>
    <row r="10" spans="1:23" x14ac:dyDescent="0.3">
      <c r="A10" s="33" t="str">
        <f>'Forecast drivers'!A9</f>
        <v>ANH</v>
      </c>
      <c r="B10" s="49">
        <f>'Forecast drivers'!B9</f>
        <v>2024</v>
      </c>
      <c r="C10" s="33" t="str">
        <f>'Forecast drivers'!C9</f>
        <v>ANH24</v>
      </c>
      <c r="D10" s="42">
        <f>EXP(Coeffs!$D$12+(Coeffs!$D$5*'Forecast drivers'!D9)+(Coeffs!$D$6*'Forecast drivers'!F9)+(Coeffs!$D$8*'Forecast drivers'!I9)+(Coeffs!$D$9*'Forecast drivers'!J9))</f>
        <v>120.31671839183849</v>
      </c>
      <c r="E10" s="42">
        <f>EXP(Coeffs!$E$12+(Coeffs!$E$5*'Forecast drivers'!D9)+(Coeffs!$E$7*'Forecast drivers'!G9)+(Coeffs!$E$8*'Forecast drivers'!I9)+(Coeffs!$E$9*'Forecast drivers'!J9))</f>
        <v>133.78748269441039</v>
      </c>
      <c r="F10" s="42">
        <f>EXP(Coeffs!$F$12+(Coeffs!$F$8*'Forecast drivers'!I9)+(Coeffs!$F$9*'Forecast drivers'!J9)+(Coeffs!$F$10*'Forecast drivers'!E9)+(Coeffs!$F$11*'Forecast drivers'!H9))</f>
        <v>146.64515658934516</v>
      </c>
      <c r="G10" s="42">
        <f>EXP(Coeffs!$G$12+(Coeffs!$G$5*'Forecast drivers'!D9)+(Coeffs!$G$6*'Forecast drivers'!F9)+(Coeffs!$G$8*'Forecast drivers'!I9)+(Coeffs!$G$9*'Forecast drivers'!J9)+(Coeffs!$G$11*'Forecast drivers'!H9))</f>
        <v>264.52832965784091</v>
      </c>
      <c r="H10" s="42">
        <f>EXP(Coeffs!$H$12+(Coeffs!$H$5*'Forecast drivers'!D9)+(Coeffs!$H$7*'Forecast drivers'!G9)+(Coeffs!$H$8*'Forecast drivers'!I9)+(Coeffs!$H$9*'Forecast drivers'!J9)+(Coeffs!$H$11*'Forecast drivers'!H9))</f>
        <v>284.02767725675227</v>
      </c>
      <c r="J10" s="42">
        <f t="shared" si="0"/>
        <v>127.05210054312444</v>
      </c>
      <c r="K10" s="42">
        <f t="shared" si="1"/>
        <v>146.64515658934516</v>
      </c>
      <c r="L10" s="43">
        <f>J10+K10</f>
        <v>273.69725713246959</v>
      </c>
      <c r="M10" s="43">
        <f t="shared" si="3"/>
        <v>274.27800345729656</v>
      </c>
      <c r="N10" s="60">
        <f t="shared" si="5"/>
        <v>273.98763029488305</v>
      </c>
      <c r="O10" s="17"/>
      <c r="P10" s="43">
        <f>Controls!$G$10*N10</f>
        <v>261.39191876121316</v>
      </c>
      <c r="Q10" s="93">
        <f>(INDEX(Controls!$G$13:$G$17,MATCH($B10,Controls!$C$13:$C$17,0),0))*$P10</f>
        <v>-8.5383861203415066</v>
      </c>
      <c r="R10" s="60">
        <f t="shared" si="6"/>
        <v>252.85353264087166</v>
      </c>
      <c r="S10" s="233"/>
      <c r="T10" s="66" t="s">
        <v>7</v>
      </c>
      <c r="U10" s="57">
        <v>806.27499999999998</v>
      </c>
      <c r="V10" s="57">
        <f t="shared" si="4"/>
        <v>717.12017955951319</v>
      </c>
      <c r="W10" s="12">
        <f t="shared" si="7"/>
        <v>1.1243234021043023</v>
      </c>
    </row>
    <row r="11" spans="1:23" x14ac:dyDescent="0.3">
      <c r="A11" s="33" t="str">
        <f>'Forecast drivers'!A10</f>
        <v>ANH</v>
      </c>
      <c r="B11" s="49">
        <f>'Forecast drivers'!B10</f>
        <v>2025</v>
      </c>
      <c r="C11" s="33" t="str">
        <f>'Forecast drivers'!C10</f>
        <v>ANH25</v>
      </c>
      <c r="D11" s="42">
        <f>EXP(Coeffs!$D$12+(Coeffs!$D$5*'Forecast drivers'!D10)+(Coeffs!$D$6*'Forecast drivers'!F10)+(Coeffs!$D$8*'Forecast drivers'!I10)+(Coeffs!$D$9*'Forecast drivers'!J10))</f>
        <v>121.13517313883803</v>
      </c>
      <c r="E11" s="42">
        <f>EXP(Coeffs!$E$12+(Coeffs!$E$5*'Forecast drivers'!D10)+(Coeffs!$E$7*'Forecast drivers'!G10)+(Coeffs!$E$8*'Forecast drivers'!I10)+(Coeffs!$E$9*'Forecast drivers'!J10))</f>
        <v>134.82921582330286</v>
      </c>
      <c r="F11" s="42">
        <f>EXP(Coeffs!$F$12+(Coeffs!$F$8*'Forecast drivers'!I10)+(Coeffs!$F$9*'Forecast drivers'!J10)+(Coeffs!$F$10*'Forecast drivers'!E10)+(Coeffs!$F$11*'Forecast drivers'!H10))</f>
        <v>148.40537292810697</v>
      </c>
      <c r="G11" s="42">
        <f>EXP(Coeffs!$G$12+(Coeffs!$G$5*'Forecast drivers'!D10)+(Coeffs!$G$6*'Forecast drivers'!F10)+(Coeffs!$G$8*'Forecast drivers'!I10)+(Coeffs!$G$9*'Forecast drivers'!J10)+(Coeffs!$G$11*'Forecast drivers'!H10))</f>
        <v>266.79804993347619</v>
      </c>
      <c r="H11" s="42">
        <f>EXP(Coeffs!$H$12+(Coeffs!$H$5*'Forecast drivers'!D10)+(Coeffs!$H$7*'Forecast drivers'!G10)+(Coeffs!$H$8*'Forecast drivers'!I10)+(Coeffs!$H$9*'Forecast drivers'!J10)+(Coeffs!$H$11*'Forecast drivers'!H10))</f>
        <v>286.76095403716738</v>
      </c>
      <c r="J11" s="42">
        <f t="shared" si="0"/>
        <v>127.98219448107045</v>
      </c>
      <c r="K11" s="42">
        <f t="shared" si="1"/>
        <v>148.40537292810697</v>
      </c>
      <c r="L11" s="43">
        <f t="shared" si="2"/>
        <v>276.38756740917745</v>
      </c>
      <c r="M11" s="43">
        <f t="shared" si="3"/>
        <v>276.77950198532176</v>
      </c>
      <c r="N11" s="60">
        <f t="shared" si="5"/>
        <v>276.5835346972496</v>
      </c>
      <c r="O11" s="245"/>
      <c r="P11" s="43">
        <f>Controls!$G$10*N11</f>
        <v>263.86848469933591</v>
      </c>
      <c r="Q11" s="93">
        <f>(INDEX(Controls!$G$13:$G$17,MATCH($B11,Controls!$C$13:$C$17,0),0))*$P11</f>
        <v>-10.0486788552987</v>
      </c>
      <c r="R11" s="60">
        <f t="shared" si="6"/>
        <v>253.81980584403721</v>
      </c>
      <c r="S11" s="233"/>
      <c r="T11" s="66" t="s">
        <v>78</v>
      </c>
      <c r="U11" s="57">
        <v>2274.2180648576882</v>
      </c>
      <c r="V11" s="57">
        <f t="shared" si="4"/>
        <v>2467.279713907019</v>
      </c>
      <c r="W11" s="12">
        <f t="shared" si="7"/>
        <v>0.92175121127891446</v>
      </c>
    </row>
    <row r="12" spans="1:23" x14ac:dyDescent="0.3">
      <c r="A12" s="33" t="str">
        <f>'Forecast drivers'!A11</f>
        <v>NES</v>
      </c>
      <c r="B12" s="49">
        <f>'Forecast drivers'!B11</f>
        <v>2021</v>
      </c>
      <c r="C12" s="33" t="str">
        <f>'Forecast drivers'!C11</f>
        <v>NES21</v>
      </c>
      <c r="D12" s="42">
        <f>EXP(Coeffs!$D$12+(Coeffs!$D$5*'Forecast drivers'!D11)+(Coeffs!$D$6*'Forecast drivers'!F11)+(Coeffs!$D$8*'Forecast drivers'!I11)+(Coeffs!$D$9*'Forecast drivers'!J11))</f>
        <v>104.17629402288362</v>
      </c>
      <c r="E12" s="42">
        <f>EXP(Coeffs!$E$12+(Coeffs!$E$5*'Forecast drivers'!D11)+(Coeffs!$E$7*'Forecast drivers'!G11)+(Coeffs!$E$8*'Forecast drivers'!I11)+(Coeffs!$E$9*'Forecast drivers'!J11))</f>
        <v>102.20820976409676</v>
      </c>
      <c r="F12" s="42">
        <f>EXP(Coeffs!$F$12+(Coeffs!$F$8*'Forecast drivers'!I11)+(Coeffs!$F$9*'Forecast drivers'!J11)+(Coeffs!$F$10*'Forecast drivers'!E11)+(Coeffs!$F$11*'Forecast drivers'!H11))</f>
        <v>129.61203247542275</v>
      </c>
      <c r="G12" s="42">
        <f>EXP(Coeffs!$G$12+(Coeffs!$G$5*'Forecast drivers'!D11)+(Coeffs!$G$6*'Forecast drivers'!F11)+(Coeffs!$G$8*'Forecast drivers'!I11)+(Coeffs!$G$9*'Forecast drivers'!J11)+(Coeffs!$G$11*'Forecast drivers'!H11))</f>
        <v>249.54819806271212</v>
      </c>
      <c r="H12" s="42">
        <f>EXP(Coeffs!$H$12+(Coeffs!$H$5*'Forecast drivers'!D11)+(Coeffs!$H$7*'Forecast drivers'!G11)+(Coeffs!$H$8*'Forecast drivers'!I11)+(Coeffs!$H$9*'Forecast drivers'!J11)+(Coeffs!$H$11*'Forecast drivers'!H11))</f>
        <v>250.48585856227481</v>
      </c>
      <c r="J12" s="42">
        <f t="shared" si="0"/>
        <v>103.19225189349019</v>
      </c>
      <c r="K12" s="42">
        <f t="shared" si="1"/>
        <v>129.61203247542275</v>
      </c>
      <c r="L12" s="43">
        <f t="shared" si="2"/>
        <v>232.80428436891293</v>
      </c>
      <c r="M12" s="43">
        <f t="shared" si="3"/>
        <v>250.01702831249347</v>
      </c>
      <c r="N12" s="60">
        <f t="shared" si="5"/>
        <v>241.41065634070321</v>
      </c>
      <c r="O12" s="17"/>
      <c r="P12" s="43">
        <f>Controls!$G$10*N12</f>
        <v>230.31256776951929</v>
      </c>
      <c r="Q12" s="93">
        <f>(INDEX(Controls!$G$13:$G$17,MATCH($B12,Controls!$C$13:$C$17,0),0))*$P12</f>
        <v>-3.1902482324811987</v>
      </c>
      <c r="R12" s="60">
        <f t="shared" si="6"/>
        <v>227.12231953703809</v>
      </c>
      <c r="S12" s="233"/>
      <c r="T12" s="66" t="s">
        <v>19</v>
      </c>
      <c r="U12" s="57">
        <v>585.75199999999995</v>
      </c>
      <c r="V12" s="57">
        <f t="shared" si="4"/>
        <v>689.58477196320769</v>
      </c>
      <c r="W12" s="12">
        <f t="shared" si="7"/>
        <v>0.84942711007436855</v>
      </c>
    </row>
    <row r="13" spans="1:23" x14ac:dyDescent="0.3">
      <c r="A13" s="33" t="str">
        <f>'Forecast drivers'!A12</f>
        <v>NES</v>
      </c>
      <c r="B13" s="49">
        <f>'Forecast drivers'!B12</f>
        <v>2022</v>
      </c>
      <c r="C13" s="33" t="str">
        <f>'Forecast drivers'!C12</f>
        <v>NES22</v>
      </c>
      <c r="D13" s="42">
        <f>EXP(Coeffs!$D$12+(Coeffs!$D$5*'Forecast drivers'!D12)+(Coeffs!$D$6*'Forecast drivers'!F12)+(Coeffs!$D$8*'Forecast drivers'!I12)+(Coeffs!$D$9*'Forecast drivers'!J12))</f>
        <v>104.61991708377927</v>
      </c>
      <c r="E13" s="42">
        <f>EXP(Coeffs!$E$12+(Coeffs!$E$5*'Forecast drivers'!D12)+(Coeffs!$E$7*'Forecast drivers'!G12)+(Coeffs!$E$8*'Forecast drivers'!I12)+(Coeffs!$E$9*'Forecast drivers'!J12))</f>
        <v>102.60989105248554</v>
      </c>
      <c r="F13" s="42">
        <f>EXP(Coeffs!$F$12+(Coeffs!$F$8*'Forecast drivers'!I12)+(Coeffs!$F$9*'Forecast drivers'!J12)+(Coeffs!$F$10*'Forecast drivers'!E12)+(Coeffs!$F$11*'Forecast drivers'!H12))</f>
        <v>130.89260428087721</v>
      </c>
      <c r="G13" s="42">
        <f>EXP(Coeffs!$G$12+(Coeffs!$G$5*'Forecast drivers'!D12)+(Coeffs!$G$6*'Forecast drivers'!F12)+(Coeffs!$G$8*'Forecast drivers'!I12)+(Coeffs!$G$9*'Forecast drivers'!J12)+(Coeffs!$G$11*'Forecast drivers'!H12))</f>
        <v>250.96715540699554</v>
      </c>
      <c r="H13" s="42">
        <f>EXP(Coeffs!$H$12+(Coeffs!$H$5*'Forecast drivers'!D12)+(Coeffs!$H$7*'Forecast drivers'!G12)+(Coeffs!$H$8*'Forecast drivers'!I12)+(Coeffs!$H$9*'Forecast drivers'!J12)+(Coeffs!$H$11*'Forecast drivers'!H12))</f>
        <v>251.83138586182935</v>
      </c>
      <c r="J13" s="42">
        <f t="shared" si="0"/>
        <v>103.6149040681324</v>
      </c>
      <c r="K13" s="42">
        <f t="shared" si="1"/>
        <v>130.89260428087721</v>
      </c>
      <c r="L13" s="43">
        <f t="shared" si="2"/>
        <v>234.50750834900961</v>
      </c>
      <c r="M13" s="43">
        <f t="shared" si="3"/>
        <v>251.39927063441246</v>
      </c>
      <c r="N13" s="60">
        <f t="shared" si="5"/>
        <v>242.95338949171105</v>
      </c>
      <c r="O13" s="17"/>
      <c r="P13" s="43">
        <f>Controls!$G$10*N13</f>
        <v>231.78437866129005</v>
      </c>
      <c r="Q13" s="93">
        <f>(INDEX(Controls!$G$13:$G$17,MATCH($B13,Controls!$C$13:$C$17,0),0))*$P13</f>
        <v>-4.7420795712621215</v>
      </c>
      <c r="R13" s="60">
        <f t="shared" si="6"/>
        <v>227.04229909002794</v>
      </c>
      <c r="S13" s="233"/>
      <c r="T13" s="66" t="s">
        <v>9</v>
      </c>
      <c r="U13" s="57">
        <v>3591.2803935425945</v>
      </c>
      <c r="V13" s="57">
        <f t="shared" si="4"/>
        <v>3450.1817228901264</v>
      </c>
      <c r="W13" s="12">
        <f t="shared" si="7"/>
        <v>1.0408960112785808</v>
      </c>
    </row>
    <row r="14" spans="1:23" x14ac:dyDescent="0.3">
      <c r="A14" s="33" t="str">
        <f>'Forecast drivers'!A13</f>
        <v>NES</v>
      </c>
      <c r="B14" s="49">
        <f>'Forecast drivers'!B13</f>
        <v>2023</v>
      </c>
      <c r="C14" s="33" t="str">
        <f>'Forecast drivers'!C13</f>
        <v>NES23</v>
      </c>
      <c r="D14" s="42">
        <f>EXP(Coeffs!$D$12+(Coeffs!$D$5*'Forecast drivers'!D13)+(Coeffs!$D$6*'Forecast drivers'!F13)+(Coeffs!$D$8*'Forecast drivers'!I13)+(Coeffs!$D$9*'Forecast drivers'!J13))</f>
        <v>105.18434650164592</v>
      </c>
      <c r="E14" s="42">
        <f>EXP(Coeffs!$E$12+(Coeffs!$E$5*'Forecast drivers'!D13)+(Coeffs!$E$7*'Forecast drivers'!G13)+(Coeffs!$E$8*'Forecast drivers'!I13)+(Coeffs!$E$9*'Forecast drivers'!J13))</f>
        <v>103.1313600814144</v>
      </c>
      <c r="F14" s="42">
        <f>EXP(Coeffs!$F$12+(Coeffs!$F$8*'Forecast drivers'!I13)+(Coeffs!$F$9*'Forecast drivers'!J13)+(Coeffs!$F$10*'Forecast drivers'!E13)+(Coeffs!$F$11*'Forecast drivers'!H13))</f>
        <v>132.1256356326997</v>
      </c>
      <c r="G14" s="42">
        <f>EXP(Coeffs!$G$12+(Coeffs!$G$5*'Forecast drivers'!D13)+(Coeffs!$G$6*'Forecast drivers'!F13)+(Coeffs!$G$8*'Forecast drivers'!I13)+(Coeffs!$G$9*'Forecast drivers'!J13)+(Coeffs!$G$11*'Forecast drivers'!H13))</f>
        <v>252.6611557853245</v>
      </c>
      <c r="H14" s="42">
        <f>EXP(Coeffs!$H$12+(Coeffs!$H$5*'Forecast drivers'!D13)+(Coeffs!$H$7*'Forecast drivers'!G13)+(Coeffs!$H$8*'Forecast drivers'!I13)+(Coeffs!$H$9*'Forecast drivers'!J13)+(Coeffs!$H$11*'Forecast drivers'!H13))</f>
        <v>253.45146877698542</v>
      </c>
      <c r="J14" s="42">
        <f t="shared" si="0"/>
        <v>104.15785329153016</v>
      </c>
      <c r="K14" s="42">
        <f t="shared" si="1"/>
        <v>132.1256356326997</v>
      </c>
      <c r="L14" s="43">
        <f t="shared" si="2"/>
        <v>236.28348892422986</v>
      </c>
      <c r="M14" s="43">
        <f t="shared" si="3"/>
        <v>253.05631228115496</v>
      </c>
      <c r="N14" s="60">
        <f t="shared" si="5"/>
        <v>244.66990060269239</v>
      </c>
      <c r="O14" s="17"/>
      <c r="P14" s="43">
        <f>Controls!$G$10*N14</f>
        <v>233.42197862297976</v>
      </c>
      <c r="Q14" s="93">
        <f>(INDEX(Controls!$G$13:$G$17,MATCH($B14,Controls!$C$13:$C$17,0),0))*$P14</f>
        <v>-6.2617848197747756</v>
      </c>
      <c r="R14" s="60">
        <f t="shared" si="6"/>
        <v>227.16019380320498</v>
      </c>
      <c r="S14" s="233"/>
      <c r="T14" s="66" t="s">
        <v>23</v>
      </c>
      <c r="U14" s="57">
        <v>970.76199999999994</v>
      </c>
      <c r="V14" s="57">
        <f t="shared" si="4"/>
        <v>1097.6785158324849</v>
      </c>
      <c r="W14" s="12">
        <f t="shared" si="7"/>
        <v>0.88437733452746792</v>
      </c>
    </row>
    <row r="15" spans="1:23" x14ac:dyDescent="0.3">
      <c r="A15" s="33" t="str">
        <f>'Forecast drivers'!A14</f>
        <v>NES</v>
      </c>
      <c r="B15" s="49">
        <f>'Forecast drivers'!B14</f>
        <v>2024</v>
      </c>
      <c r="C15" s="33" t="str">
        <f>'Forecast drivers'!C14</f>
        <v>NES24</v>
      </c>
      <c r="D15" s="42">
        <f>EXP(Coeffs!$D$12+(Coeffs!$D$5*'Forecast drivers'!D14)+(Coeffs!$D$6*'Forecast drivers'!F14)+(Coeffs!$D$8*'Forecast drivers'!I14)+(Coeffs!$D$9*'Forecast drivers'!J14))</f>
        <v>105.71941919975762</v>
      </c>
      <c r="E15" s="42">
        <f>EXP(Coeffs!$E$12+(Coeffs!$E$5*'Forecast drivers'!D14)+(Coeffs!$E$7*'Forecast drivers'!G14)+(Coeffs!$E$8*'Forecast drivers'!I14)+(Coeffs!$E$9*'Forecast drivers'!J14))</f>
        <v>103.6237312252992</v>
      </c>
      <c r="F15" s="42">
        <f>EXP(Coeffs!$F$12+(Coeffs!$F$8*'Forecast drivers'!I14)+(Coeffs!$F$9*'Forecast drivers'!J14)+(Coeffs!$F$10*'Forecast drivers'!E14)+(Coeffs!$F$11*'Forecast drivers'!H14))</f>
        <v>133.37050476508287</v>
      </c>
      <c r="G15" s="42">
        <f>EXP(Coeffs!$G$12+(Coeffs!$G$5*'Forecast drivers'!D14)+(Coeffs!$G$6*'Forecast drivers'!F14)+(Coeffs!$G$8*'Forecast drivers'!I14)+(Coeffs!$G$9*'Forecast drivers'!J14)+(Coeffs!$G$11*'Forecast drivers'!H14))</f>
        <v>254.26890941039656</v>
      </c>
      <c r="H15" s="42">
        <f>EXP(Coeffs!$H$12+(Coeffs!$H$5*'Forecast drivers'!D14)+(Coeffs!$H$7*'Forecast drivers'!G14)+(Coeffs!$H$8*'Forecast drivers'!I14)+(Coeffs!$H$9*'Forecast drivers'!J14)+(Coeffs!$H$11*'Forecast drivers'!H14))</f>
        <v>254.98348272233855</v>
      </c>
      <c r="J15" s="42">
        <f t="shared" si="0"/>
        <v>104.67157521252841</v>
      </c>
      <c r="K15" s="42">
        <f t="shared" si="1"/>
        <v>133.37050476508287</v>
      </c>
      <c r="L15" s="43">
        <f t="shared" si="2"/>
        <v>238.04207997761128</v>
      </c>
      <c r="M15" s="43">
        <f t="shared" si="3"/>
        <v>254.62619606636756</v>
      </c>
      <c r="N15" s="60">
        <f t="shared" si="5"/>
        <v>246.33413802198942</v>
      </c>
      <c r="O15" s="17"/>
      <c r="P15" s="43">
        <f>Controls!$G$10*N15</f>
        <v>235.00970801001839</v>
      </c>
      <c r="Q15" s="93">
        <f>(INDEX(Controls!$G$13:$G$17,MATCH($B15,Controls!$C$13:$C$17,0),0))*$P15</f>
        <v>-7.6766092790011786</v>
      </c>
      <c r="R15" s="60">
        <f t="shared" si="6"/>
        <v>227.3330987310172</v>
      </c>
      <c r="S15" s="233"/>
      <c r="T15" s="66" t="s">
        <v>10</v>
      </c>
      <c r="U15" s="57">
        <v>464.53432580668857</v>
      </c>
      <c r="V15" s="57">
        <f t="shared" si="4"/>
        <v>499.47348817292874</v>
      </c>
      <c r="W15" s="12">
        <f t="shared" si="7"/>
        <v>0.93004801417178828</v>
      </c>
    </row>
    <row r="16" spans="1:23" x14ac:dyDescent="0.3">
      <c r="A16" s="33" t="str">
        <f>'Forecast drivers'!A15</f>
        <v>NES</v>
      </c>
      <c r="B16" s="49">
        <f>'Forecast drivers'!B15</f>
        <v>2025</v>
      </c>
      <c r="C16" s="33" t="str">
        <f>'Forecast drivers'!C15</f>
        <v>NES25</v>
      </c>
      <c r="D16" s="42">
        <f>EXP(Coeffs!$D$12+(Coeffs!$D$5*'Forecast drivers'!D15)+(Coeffs!$D$6*'Forecast drivers'!F15)+(Coeffs!$D$8*'Forecast drivers'!I15)+(Coeffs!$D$9*'Forecast drivers'!J15))</f>
        <v>106.25777641251258</v>
      </c>
      <c r="E16" s="42">
        <f>EXP(Coeffs!$E$12+(Coeffs!$E$5*'Forecast drivers'!D15)+(Coeffs!$E$7*'Forecast drivers'!G15)+(Coeffs!$E$8*'Forecast drivers'!I15)+(Coeffs!$E$9*'Forecast drivers'!J15))</f>
        <v>104.12003328574114</v>
      </c>
      <c r="F16" s="42">
        <f>EXP(Coeffs!$F$12+(Coeffs!$F$8*'Forecast drivers'!I15)+(Coeffs!$F$9*'Forecast drivers'!J15)+(Coeffs!$F$10*'Forecast drivers'!E15)+(Coeffs!$F$11*'Forecast drivers'!H15))</f>
        <v>134.62473138689941</v>
      </c>
      <c r="G16" s="42">
        <f>EXP(Coeffs!$G$12+(Coeffs!$G$5*'Forecast drivers'!D15)+(Coeffs!$G$6*'Forecast drivers'!F15)+(Coeffs!$G$8*'Forecast drivers'!I15)+(Coeffs!$G$9*'Forecast drivers'!J15)+(Coeffs!$G$11*'Forecast drivers'!H15))</f>
        <v>255.87730759250783</v>
      </c>
      <c r="H16" s="42">
        <f>EXP(Coeffs!$H$12+(Coeffs!$H$5*'Forecast drivers'!D15)+(Coeffs!$H$7*'Forecast drivers'!G15)+(Coeffs!$H$8*'Forecast drivers'!I15)+(Coeffs!$H$9*'Forecast drivers'!J15)+(Coeffs!$H$11*'Forecast drivers'!H15))</f>
        <v>256.51836605844341</v>
      </c>
      <c r="J16" s="42">
        <f t="shared" si="0"/>
        <v>105.18890484912686</v>
      </c>
      <c r="K16" s="42">
        <f t="shared" si="1"/>
        <v>134.62473138689941</v>
      </c>
      <c r="L16" s="43">
        <f t="shared" si="2"/>
        <v>239.81363623602627</v>
      </c>
      <c r="M16" s="43">
        <f t="shared" si="3"/>
        <v>256.19783682547563</v>
      </c>
      <c r="N16" s="60">
        <f t="shared" si="5"/>
        <v>248.00573653075094</v>
      </c>
      <c r="O16" s="17"/>
      <c r="P16" s="43">
        <f>Controls!$G$10*N16</f>
        <v>236.60446008380103</v>
      </c>
      <c r="Q16" s="93">
        <f>(INDEX(Controls!$G$13:$G$17,MATCH($B16,Controls!$C$13:$C$17,0),0))*$P16</f>
        <v>-9.0104062174100203</v>
      </c>
      <c r="R16" s="60">
        <f t="shared" si="6"/>
        <v>227.59405386639102</v>
      </c>
      <c r="S16" s="233"/>
      <c r="T16" s="66" t="s">
        <v>11</v>
      </c>
      <c r="U16" s="57">
        <v>1405.0740000000001</v>
      </c>
      <c r="V16" s="57">
        <f t="shared" si="4"/>
        <v>1447.0034809340841</v>
      </c>
      <c r="W16" s="12">
        <f t="shared" si="7"/>
        <v>0.97102323423091053</v>
      </c>
    </row>
    <row r="17" spans="1:23" x14ac:dyDescent="0.3">
      <c r="A17" s="33" t="str">
        <f>'Forecast drivers'!A16</f>
        <v>NWT</v>
      </c>
      <c r="B17" s="49">
        <f>'Forecast drivers'!B16</f>
        <v>2021</v>
      </c>
      <c r="C17" s="33" t="str">
        <f>'Forecast drivers'!C16</f>
        <v>NWT21</v>
      </c>
      <c r="D17" s="42">
        <f>EXP(Coeffs!$D$12+(Coeffs!$D$5*'Forecast drivers'!D16)+(Coeffs!$D$6*'Forecast drivers'!F16)+(Coeffs!$D$8*'Forecast drivers'!I16)+(Coeffs!$D$9*'Forecast drivers'!J16))</f>
        <v>171.10629592879505</v>
      </c>
      <c r="E17" s="42">
        <f>EXP(Coeffs!$E$12+(Coeffs!$E$5*'Forecast drivers'!D16)+(Coeffs!$E$7*'Forecast drivers'!G16)+(Coeffs!$E$8*'Forecast drivers'!I16)+(Coeffs!$E$9*'Forecast drivers'!J16))</f>
        <v>162.11433093623398</v>
      </c>
      <c r="F17" s="42">
        <f>EXP(Coeffs!$F$12+(Coeffs!$F$8*'Forecast drivers'!I16)+(Coeffs!$F$9*'Forecast drivers'!J16)+(Coeffs!$F$10*'Forecast drivers'!E16)+(Coeffs!$F$11*'Forecast drivers'!H16))</f>
        <v>234.06361079914888</v>
      </c>
      <c r="G17" s="42">
        <f>EXP(Coeffs!$G$12+(Coeffs!$G$5*'Forecast drivers'!D16)+(Coeffs!$G$6*'Forecast drivers'!F16)+(Coeffs!$G$8*'Forecast drivers'!I16)+(Coeffs!$G$9*'Forecast drivers'!J16)+(Coeffs!$G$11*'Forecast drivers'!H16))</f>
        <v>427.1054057748172</v>
      </c>
      <c r="H17" s="42">
        <f>EXP(Coeffs!$H$12+(Coeffs!$H$5*'Forecast drivers'!D16)+(Coeffs!$H$7*'Forecast drivers'!G16)+(Coeffs!$H$8*'Forecast drivers'!I16)+(Coeffs!$H$9*'Forecast drivers'!J16)+(Coeffs!$H$11*'Forecast drivers'!H16))</f>
        <v>411.09626527844262</v>
      </c>
      <c r="J17" s="42">
        <f t="shared" si="0"/>
        <v>166.61031343251452</v>
      </c>
      <c r="K17" s="42">
        <f t="shared" si="1"/>
        <v>234.06361079914888</v>
      </c>
      <c r="L17" s="43">
        <f t="shared" si="2"/>
        <v>400.67392423166336</v>
      </c>
      <c r="M17" s="43">
        <f t="shared" si="3"/>
        <v>419.10083552662991</v>
      </c>
      <c r="N17" s="60">
        <f t="shared" si="5"/>
        <v>409.88737987914664</v>
      </c>
      <c r="O17" s="17"/>
      <c r="P17" s="43">
        <f>Controls!$G$10*N17</f>
        <v>391.04410876981615</v>
      </c>
      <c r="Q17" s="93">
        <f>(INDEX(Controls!$G$13:$G$17,MATCH($B17,Controls!$C$13:$C$17,0),0))*$P17</f>
        <v>-5.416672606739942</v>
      </c>
      <c r="R17" s="60">
        <f t="shared" si="6"/>
        <v>385.6274361630762</v>
      </c>
      <c r="S17" s="233"/>
      <c r="T17" s="66" t="s">
        <v>12</v>
      </c>
      <c r="U17" s="57">
        <v>1005.8486461108317</v>
      </c>
      <c r="V17" s="57">
        <f t="shared" si="4"/>
        <v>1064.1597351927683</v>
      </c>
      <c r="W17" s="12">
        <f t="shared" si="7"/>
        <v>0.9452045711244903</v>
      </c>
    </row>
    <row r="18" spans="1:23" x14ac:dyDescent="0.3">
      <c r="A18" s="33" t="str">
        <f>'Forecast drivers'!A17</f>
        <v>NWT</v>
      </c>
      <c r="B18" s="49">
        <f>'Forecast drivers'!B17</f>
        <v>2022</v>
      </c>
      <c r="C18" s="33" t="str">
        <f>'Forecast drivers'!C17</f>
        <v>NWT22</v>
      </c>
      <c r="D18" s="42">
        <f>EXP(Coeffs!$D$12+(Coeffs!$D$5*'Forecast drivers'!D17)+(Coeffs!$D$6*'Forecast drivers'!F17)+(Coeffs!$D$8*'Forecast drivers'!I17)+(Coeffs!$D$9*'Forecast drivers'!J17))</f>
        <v>171.7866298973951</v>
      </c>
      <c r="E18" s="42">
        <f>EXP(Coeffs!$E$12+(Coeffs!$E$5*'Forecast drivers'!D17)+(Coeffs!$E$7*'Forecast drivers'!G17)+(Coeffs!$E$8*'Forecast drivers'!I17)+(Coeffs!$E$9*'Forecast drivers'!J17))</f>
        <v>162.27864138561139</v>
      </c>
      <c r="F18" s="42">
        <f>EXP(Coeffs!$F$12+(Coeffs!$F$8*'Forecast drivers'!I17)+(Coeffs!$F$9*'Forecast drivers'!J17)+(Coeffs!$F$10*'Forecast drivers'!E17)+(Coeffs!$F$11*'Forecast drivers'!H17))</f>
        <v>236.51873976506022</v>
      </c>
      <c r="G18" s="42">
        <f>EXP(Coeffs!$G$12+(Coeffs!$G$5*'Forecast drivers'!D17)+(Coeffs!$G$6*'Forecast drivers'!F17)+(Coeffs!$G$8*'Forecast drivers'!I17)+(Coeffs!$G$9*'Forecast drivers'!J17)+(Coeffs!$G$11*'Forecast drivers'!H17))</f>
        <v>430.13073429404409</v>
      </c>
      <c r="H18" s="42">
        <f>EXP(Coeffs!$H$12+(Coeffs!$H$5*'Forecast drivers'!D17)+(Coeffs!$H$7*'Forecast drivers'!G17)+(Coeffs!$H$8*'Forecast drivers'!I17)+(Coeffs!$H$9*'Forecast drivers'!J17)+(Coeffs!$H$11*'Forecast drivers'!H17))</f>
        <v>412.69647634196139</v>
      </c>
      <c r="J18" s="42">
        <f t="shared" si="0"/>
        <v>167.03263564150325</v>
      </c>
      <c r="K18" s="42">
        <f t="shared" si="1"/>
        <v>236.51873976506022</v>
      </c>
      <c r="L18" s="43">
        <f t="shared" si="2"/>
        <v>403.55137540656347</v>
      </c>
      <c r="M18" s="43">
        <f t="shared" si="3"/>
        <v>421.41360531800274</v>
      </c>
      <c r="N18" s="60">
        <f t="shared" si="5"/>
        <v>412.4824903622831</v>
      </c>
      <c r="O18" s="17"/>
      <c r="P18" s="43">
        <f>Controls!$G$10*N18</f>
        <v>393.51991728662512</v>
      </c>
      <c r="Q18" s="93">
        <f>(INDEX(Controls!$G$13:$G$17,MATCH($B18,Controls!$C$13:$C$17,0),0))*$P18</f>
        <v>-8.0510290271831852</v>
      </c>
      <c r="R18" s="60">
        <f t="shared" si="6"/>
        <v>385.46888825944194</v>
      </c>
      <c r="S18" s="233"/>
      <c r="T18" s="66" t="s">
        <v>13</v>
      </c>
      <c r="U18" s="57">
        <v>383.1629999999999</v>
      </c>
      <c r="V18" s="57">
        <f t="shared" si="4"/>
        <v>358.08545592133487</v>
      </c>
      <c r="W18" s="12">
        <f t="shared" si="7"/>
        <v>1.0700322888404998</v>
      </c>
    </row>
    <row r="19" spans="1:23" x14ac:dyDescent="0.3">
      <c r="A19" s="33" t="str">
        <f>'Forecast drivers'!A18</f>
        <v>NWT</v>
      </c>
      <c r="B19" s="49">
        <f>'Forecast drivers'!B18</f>
        <v>2023</v>
      </c>
      <c r="C19" s="33" t="str">
        <f>'Forecast drivers'!C18</f>
        <v>NWT23</v>
      </c>
      <c r="D19" s="42">
        <f>EXP(Coeffs!$D$12+(Coeffs!$D$5*'Forecast drivers'!D18)+(Coeffs!$D$6*'Forecast drivers'!F18)+(Coeffs!$D$8*'Forecast drivers'!I18)+(Coeffs!$D$9*'Forecast drivers'!J18))</f>
        <v>172.53851596521375</v>
      </c>
      <c r="E19" s="42">
        <f>EXP(Coeffs!$E$12+(Coeffs!$E$5*'Forecast drivers'!D18)+(Coeffs!$E$7*'Forecast drivers'!G18)+(Coeffs!$E$8*'Forecast drivers'!I18)+(Coeffs!$E$9*'Forecast drivers'!J18))</f>
        <v>162.94716314942917</v>
      </c>
      <c r="F19" s="42">
        <f>EXP(Coeffs!$F$12+(Coeffs!$F$8*'Forecast drivers'!I18)+(Coeffs!$F$9*'Forecast drivers'!J18)+(Coeffs!$F$10*'Forecast drivers'!E18)+(Coeffs!$F$11*'Forecast drivers'!H18))</f>
        <v>239.04739502222807</v>
      </c>
      <c r="G19" s="42">
        <f>EXP(Coeffs!$G$12+(Coeffs!$G$5*'Forecast drivers'!D18)+(Coeffs!$G$6*'Forecast drivers'!F18)+(Coeffs!$G$8*'Forecast drivers'!I18)+(Coeffs!$G$9*'Forecast drivers'!J18)+(Coeffs!$G$11*'Forecast drivers'!H18))</f>
        <v>433.33619403738459</v>
      </c>
      <c r="H19" s="42">
        <f>EXP(Coeffs!$H$12+(Coeffs!$H$5*'Forecast drivers'!D18)+(Coeffs!$H$7*'Forecast drivers'!G18)+(Coeffs!$H$8*'Forecast drivers'!I18)+(Coeffs!$H$9*'Forecast drivers'!J18)+(Coeffs!$H$11*'Forecast drivers'!H18))</f>
        <v>415.76052700771368</v>
      </c>
      <c r="J19" s="42">
        <f t="shared" si="0"/>
        <v>167.74283955732147</v>
      </c>
      <c r="K19" s="42">
        <f t="shared" si="1"/>
        <v>239.04739502222807</v>
      </c>
      <c r="L19" s="43">
        <f t="shared" si="2"/>
        <v>406.79023457954952</v>
      </c>
      <c r="M19" s="43">
        <f t="shared" si="3"/>
        <v>424.54836052254916</v>
      </c>
      <c r="N19" s="60">
        <f t="shared" si="5"/>
        <v>415.66929755104934</v>
      </c>
      <c r="O19" s="17"/>
      <c r="P19" s="43">
        <f>Controls!$G$10*N19</f>
        <v>396.56022113135379</v>
      </c>
      <c r="Q19" s="93">
        <f>(INDEX(Controls!$G$13:$G$17,MATCH($B19,Controls!$C$13:$C$17,0),0))*$P19</f>
        <v>-10.638136080654307</v>
      </c>
      <c r="R19" s="60">
        <f t="shared" si="6"/>
        <v>385.92208505069948</v>
      </c>
      <c r="S19" s="233"/>
      <c r="T19" s="66" t="s">
        <v>15</v>
      </c>
      <c r="U19" s="57">
        <v>126.607</v>
      </c>
      <c r="V19" s="57">
        <f t="shared" si="4"/>
        <v>168.77976558454719</v>
      </c>
      <c r="W19" s="12">
        <f t="shared" si="7"/>
        <v>0.75013138904129173</v>
      </c>
    </row>
    <row r="20" spans="1:23" x14ac:dyDescent="0.3">
      <c r="A20" s="33" t="str">
        <f>'Forecast drivers'!A19</f>
        <v>NWT</v>
      </c>
      <c r="B20" s="49">
        <f>'Forecast drivers'!B19</f>
        <v>2024</v>
      </c>
      <c r="C20" s="33" t="str">
        <f>'Forecast drivers'!C19</f>
        <v>NWT24</v>
      </c>
      <c r="D20" s="42">
        <f>EXP(Coeffs!$D$12+(Coeffs!$D$5*'Forecast drivers'!D19)+(Coeffs!$D$6*'Forecast drivers'!F19)+(Coeffs!$D$8*'Forecast drivers'!I19)+(Coeffs!$D$9*'Forecast drivers'!J19))</f>
        <v>173.22520244354641</v>
      </c>
      <c r="E20" s="42">
        <f>EXP(Coeffs!$E$12+(Coeffs!$E$5*'Forecast drivers'!D19)+(Coeffs!$E$7*'Forecast drivers'!G19)+(Coeffs!$E$8*'Forecast drivers'!I19)+(Coeffs!$E$9*'Forecast drivers'!J19))</f>
        <v>163.5561125677221</v>
      </c>
      <c r="F20" s="42">
        <f>EXP(Coeffs!$F$12+(Coeffs!$F$8*'Forecast drivers'!I19)+(Coeffs!$F$9*'Forecast drivers'!J19)+(Coeffs!$F$10*'Forecast drivers'!E19)+(Coeffs!$F$11*'Forecast drivers'!H19))</f>
        <v>241.53750568413096</v>
      </c>
      <c r="G20" s="42">
        <f>EXP(Coeffs!$G$12+(Coeffs!$G$5*'Forecast drivers'!D19)+(Coeffs!$G$6*'Forecast drivers'!F19)+(Coeffs!$G$8*'Forecast drivers'!I19)+(Coeffs!$G$9*'Forecast drivers'!J19)+(Coeffs!$G$11*'Forecast drivers'!H19))</f>
        <v>436.34358350930819</v>
      </c>
      <c r="H20" s="42">
        <f>EXP(Coeffs!$H$12+(Coeffs!$H$5*'Forecast drivers'!D19)+(Coeffs!$H$7*'Forecast drivers'!G19)+(Coeffs!$H$8*'Forecast drivers'!I19)+(Coeffs!$H$9*'Forecast drivers'!J19)+(Coeffs!$H$11*'Forecast drivers'!H19))</f>
        <v>418.63896474786151</v>
      </c>
      <c r="J20" s="42">
        <f t="shared" si="0"/>
        <v>168.39065750563424</v>
      </c>
      <c r="K20" s="42">
        <f t="shared" si="1"/>
        <v>241.53750568413096</v>
      </c>
      <c r="L20" s="43">
        <f t="shared" si="2"/>
        <v>409.9281631897652</v>
      </c>
      <c r="M20" s="43">
        <f t="shared" si="3"/>
        <v>427.49127412858485</v>
      </c>
      <c r="N20" s="60">
        <f t="shared" si="5"/>
        <v>418.709718659175</v>
      </c>
      <c r="O20" s="17"/>
      <c r="P20" s="43">
        <f>Controls!$G$10*N20</f>
        <v>399.46086853079919</v>
      </c>
      <c r="Q20" s="93">
        <f>(INDEX(Controls!$G$13:$G$17,MATCH($B20,Controls!$C$13:$C$17,0),0))*$P20</f>
        <v>-13.048418450146233</v>
      </c>
      <c r="R20" s="60">
        <f t="shared" si="6"/>
        <v>386.41245008065295</v>
      </c>
      <c r="S20" s="233"/>
      <c r="T20" s="66" t="s">
        <v>16</v>
      </c>
      <c r="U20" s="57">
        <v>181.416</v>
      </c>
      <c r="V20" s="57">
        <f t="shared" si="4"/>
        <v>172.9295172618867</v>
      </c>
      <c r="W20" s="12">
        <f t="shared" si="7"/>
        <v>1.0490748073115896</v>
      </c>
    </row>
    <row r="21" spans="1:23" x14ac:dyDescent="0.3">
      <c r="A21" s="33" t="str">
        <f>'Forecast drivers'!A20</f>
        <v>NWT</v>
      </c>
      <c r="B21" s="49">
        <f>'Forecast drivers'!B20</f>
        <v>2025</v>
      </c>
      <c r="C21" s="33" t="str">
        <f>'Forecast drivers'!C20</f>
        <v>NWT25</v>
      </c>
      <c r="D21" s="42">
        <f>EXP(Coeffs!$D$12+(Coeffs!$D$5*'Forecast drivers'!D20)+(Coeffs!$D$6*'Forecast drivers'!F20)+(Coeffs!$D$8*'Forecast drivers'!I20)+(Coeffs!$D$9*'Forecast drivers'!J20))</f>
        <v>173.89474490952838</v>
      </c>
      <c r="E21" s="42">
        <f>EXP(Coeffs!$E$12+(Coeffs!$E$5*'Forecast drivers'!D20)+(Coeffs!$E$7*'Forecast drivers'!G20)+(Coeffs!$E$8*'Forecast drivers'!I20)+(Coeffs!$E$9*'Forecast drivers'!J20))</f>
        <v>164.14728661389077</v>
      </c>
      <c r="F21" s="42">
        <f>EXP(Coeffs!$F$12+(Coeffs!$F$8*'Forecast drivers'!I20)+(Coeffs!$F$9*'Forecast drivers'!J20)+(Coeffs!$F$10*'Forecast drivers'!E20)+(Coeffs!$F$11*'Forecast drivers'!H20))</f>
        <v>244.055076333551</v>
      </c>
      <c r="G21" s="42">
        <f>EXP(Coeffs!$G$12+(Coeffs!$G$5*'Forecast drivers'!D20)+(Coeffs!$G$6*'Forecast drivers'!F20)+(Coeffs!$G$8*'Forecast drivers'!I20)+(Coeffs!$G$9*'Forecast drivers'!J20)+(Coeffs!$G$11*'Forecast drivers'!H20))</f>
        <v>439.31846680427077</v>
      </c>
      <c r="H21" s="42">
        <f>EXP(Coeffs!$H$12+(Coeffs!$H$5*'Forecast drivers'!D20)+(Coeffs!$H$7*'Forecast drivers'!G20)+(Coeffs!$H$8*'Forecast drivers'!I20)+(Coeffs!$H$9*'Forecast drivers'!J20)+(Coeffs!$H$11*'Forecast drivers'!H20))</f>
        <v>421.48318699329542</v>
      </c>
      <c r="J21" s="42">
        <f t="shared" si="0"/>
        <v>169.02101576170958</v>
      </c>
      <c r="K21" s="42">
        <f t="shared" si="1"/>
        <v>244.055076333551</v>
      </c>
      <c r="L21" s="43">
        <f t="shared" si="2"/>
        <v>413.07609209526061</v>
      </c>
      <c r="M21" s="43">
        <f t="shared" si="3"/>
        <v>430.40082689878307</v>
      </c>
      <c r="N21" s="60">
        <f t="shared" si="5"/>
        <v>421.73845949702184</v>
      </c>
      <c r="O21" s="17"/>
      <c r="P21" s="43">
        <f>Controls!$G$10*N21</f>
        <v>402.35037262331304</v>
      </c>
      <c r="Q21" s="93">
        <f>(INDEX(Controls!$G$13:$G$17,MATCH($B21,Controls!$C$13:$C$17,0),0))*$P21</f>
        <v>-15.322366694940188</v>
      </c>
      <c r="R21" s="60">
        <f t="shared" si="6"/>
        <v>387.02800592837286</v>
      </c>
      <c r="S21" s="233"/>
      <c r="T21" s="66" t="s">
        <v>17</v>
      </c>
      <c r="U21" s="57">
        <v>645.00596481287812</v>
      </c>
      <c r="V21" s="57">
        <f t="shared" si="4"/>
        <v>631.11989366198497</v>
      </c>
      <c r="W21" s="12">
        <f t="shared" si="7"/>
        <v>1.0220022713439141</v>
      </c>
    </row>
    <row r="22" spans="1:23" x14ac:dyDescent="0.3">
      <c r="A22" s="33" t="str">
        <f>'Forecast drivers'!A21</f>
        <v>SRN</v>
      </c>
      <c r="B22" s="49">
        <f>'Forecast drivers'!B21</f>
        <v>2021</v>
      </c>
      <c r="C22" s="33" t="str">
        <f>'Forecast drivers'!C21</f>
        <v>SRN21</v>
      </c>
      <c r="D22" s="42">
        <f>EXP(Coeffs!$D$12+(Coeffs!$D$5*'Forecast drivers'!D21)+(Coeffs!$D$6*'Forecast drivers'!F21)+(Coeffs!$D$8*'Forecast drivers'!I21)+(Coeffs!$D$9*'Forecast drivers'!J21))</f>
        <v>52.837224295029287</v>
      </c>
      <c r="E22" s="42">
        <f>EXP(Coeffs!$E$12+(Coeffs!$E$5*'Forecast drivers'!D21)+(Coeffs!$E$7*'Forecast drivers'!G21)+(Coeffs!$E$8*'Forecast drivers'!I21)+(Coeffs!$E$9*'Forecast drivers'!J21))</f>
        <v>53.413543673996486</v>
      </c>
      <c r="F22" s="42">
        <f>EXP(Coeffs!$F$12+(Coeffs!$F$8*'Forecast drivers'!I21)+(Coeffs!$F$9*'Forecast drivers'!J21)+(Coeffs!$F$10*'Forecast drivers'!E21)+(Coeffs!$F$11*'Forecast drivers'!H21))</f>
        <v>84.481165796286788</v>
      </c>
      <c r="G22" s="42">
        <f>EXP(Coeffs!$G$12+(Coeffs!$G$5*'Forecast drivers'!D21)+(Coeffs!$G$6*'Forecast drivers'!F21)+(Coeffs!$G$8*'Forecast drivers'!I21)+(Coeffs!$G$9*'Forecast drivers'!J21)+(Coeffs!$G$11*'Forecast drivers'!H21))</f>
        <v>142.81370135686458</v>
      </c>
      <c r="H22" s="42">
        <f>EXP(Coeffs!$H$12+(Coeffs!$H$5*'Forecast drivers'!D21)+(Coeffs!$H$7*'Forecast drivers'!G21)+(Coeffs!$H$8*'Forecast drivers'!I21)+(Coeffs!$H$9*'Forecast drivers'!J21)+(Coeffs!$H$11*'Forecast drivers'!H21))</f>
        <v>145.61327256096553</v>
      </c>
      <c r="J22" s="42">
        <f t="shared" si="0"/>
        <v>53.125383984512887</v>
      </c>
      <c r="K22" s="42">
        <f t="shared" si="1"/>
        <v>84.481165796286788</v>
      </c>
      <c r="L22" s="43">
        <f t="shared" si="2"/>
        <v>137.60654978079967</v>
      </c>
      <c r="M22" s="43">
        <f t="shared" si="3"/>
        <v>144.21348695891504</v>
      </c>
      <c r="N22" s="60">
        <f t="shared" si="5"/>
        <v>140.91001836985737</v>
      </c>
      <c r="O22" s="17"/>
      <c r="P22" s="43">
        <f>Controls!$G$10*N22</f>
        <v>134.43212759179332</v>
      </c>
      <c r="Q22" s="93">
        <f>(INDEX(Controls!$G$13:$G$17,MATCH($B22,Controls!$C$13:$C$17,0),0))*$P22</f>
        <v>-1.862129633618564</v>
      </c>
      <c r="R22" s="60">
        <f t="shared" si="6"/>
        <v>132.56999795817475</v>
      </c>
      <c r="S22" s="233"/>
      <c r="T22" s="66" t="s">
        <v>18</v>
      </c>
      <c r="U22" s="57">
        <v>425.39670585955378</v>
      </c>
      <c r="V22" s="57">
        <f t="shared" si="4"/>
        <v>434.25575044823682</v>
      </c>
      <c r="W22" s="12">
        <f t="shared" si="7"/>
        <v>0.97959947662284541</v>
      </c>
    </row>
    <row r="23" spans="1:23" x14ac:dyDescent="0.3">
      <c r="A23" s="33" t="str">
        <f>'Forecast drivers'!A22</f>
        <v>SRN</v>
      </c>
      <c r="B23" s="49">
        <f>'Forecast drivers'!B22</f>
        <v>2022</v>
      </c>
      <c r="C23" s="33" t="str">
        <f>'Forecast drivers'!C22</f>
        <v>SRN22</v>
      </c>
      <c r="D23" s="42">
        <f>EXP(Coeffs!$D$12+(Coeffs!$D$5*'Forecast drivers'!D22)+(Coeffs!$D$6*'Forecast drivers'!F22)+(Coeffs!$D$8*'Forecast drivers'!I22)+(Coeffs!$D$9*'Forecast drivers'!J22))</f>
        <v>53.211295410449289</v>
      </c>
      <c r="E23" s="42">
        <f>EXP(Coeffs!$E$12+(Coeffs!$E$5*'Forecast drivers'!D22)+(Coeffs!$E$7*'Forecast drivers'!G22)+(Coeffs!$E$8*'Forecast drivers'!I22)+(Coeffs!$E$9*'Forecast drivers'!J22))</f>
        <v>53.778153617693285</v>
      </c>
      <c r="F23" s="42">
        <f>EXP(Coeffs!$F$12+(Coeffs!$F$8*'Forecast drivers'!I22)+(Coeffs!$F$9*'Forecast drivers'!J22)+(Coeffs!$F$10*'Forecast drivers'!E22)+(Coeffs!$F$11*'Forecast drivers'!H22))</f>
        <v>84.888644511250064</v>
      </c>
      <c r="G23" s="42">
        <f>EXP(Coeffs!$G$12+(Coeffs!$G$5*'Forecast drivers'!D22)+(Coeffs!$G$6*'Forecast drivers'!F22)+(Coeffs!$G$8*'Forecast drivers'!I22)+(Coeffs!$G$9*'Forecast drivers'!J22)+(Coeffs!$G$11*'Forecast drivers'!H22))</f>
        <v>143.93165717707026</v>
      </c>
      <c r="H23" s="42">
        <f>EXP(Coeffs!$H$12+(Coeffs!$H$5*'Forecast drivers'!D22)+(Coeffs!$H$7*'Forecast drivers'!G22)+(Coeffs!$H$8*'Forecast drivers'!I22)+(Coeffs!$H$9*'Forecast drivers'!J22)+(Coeffs!$H$11*'Forecast drivers'!H22))</f>
        <v>146.7090357213911</v>
      </c>
      <c r="J23" s="42">
        <f t="shared" si="0"/>
        <v>53.494724514071287</v>
      </c>
      <c r="K23" s="42">
        <f t="shared" si="1"/>
        <v>84.888644511250064</v>
      </c>
      <c r="L23" s="43">
        <f t="shared" si="2"/>
        <v>138.38336902532134</v>
      </c>
      <c r="M23" s="43">
        <f t="shared" si="3"/>
        <v>145.32034644923067</v>
      </c>
      <c r="N23" s="60">
        <f t="shared" si="5"/>
        <v>141.85185773727602</v>
      </c>
      <c r="O23" s="17"/>
      <c r="P23" s="43">
        <f>Controls!$G$10*N23</f>
        <v>135.33066888414817</v>
      </c>
      <c r="Q23" s="93">
        <f>(INDEX(Controls!$G$13:$G$17,MATCH($B23,Controls!$C$13:$C$17,0),0))*$P23</f>
        <v>-2.7687318877453539</v>
      </c>
      <c r="R23" s="60">
        <f t="shared" si="6"/>
        <v>132.56193699640281</v>
      </c>
      <c r="S23" s="233"/>
      <c r="T23" s="62" t="s">
        <v>33</v>
      </c>
      <c r="U23" s="63">
        <f>SUM(U7:U22)</f>
        <v>17353.559349058974</v>
      </c>
      <c r="V23" s="63">
        <f>SUM(V7:V22)</f>
        <v>17857.96508530663</v>
      </c>
      <c r="W23" s="130">
        <f>U23/V23</f>
        <v>0.97175457932423237</v>
      </c>
    </row>
    <row r="24" spans="1:23" x14ac:dyDescent="0.3">
      <c r="A24" s="33" t="str">
        <f>'Forecast drivers'!A23</f>
        <v>SRN</v>
      </c>
      <c r="B24" s="49">
        <f>'Forecast drivers'!B23</f>
        <v>2023</v>
      </c>
      <c r="C24" s="33" t="str">
        <f>'Forecast drivers'!C23</f>
        <v>SRN23</v>
      </c>
      <c r="D24" s="42">
        <f>EXP(Coeffs!$D$12+(Coeffs!$D$5*'Forecast drivers'!D23)+(Coeffs!$D$6*'Forecast drivers'!F23)+(Coeffs!$D$8*'Forecast drivers'!I23)+(Coeffs!$D$9*'Forecast drivers'!J23))</f>
        <v>53.825853408828763</v>
      </c>
      <c r="E24" s="42">
        <f>EXP(Coeffs!$E$12+(Coeffs!$E$5*'Forecast drivers'!D23)+(Coeffs!$E$7*'Forecast drivers'!G23)+(Coeffs!$E$8*'Forecast drivers'!I23)+(Coeffs!$E$9*'Forecast drivers'!J23))</f>
        <v>54.359125200848148</v>
      </c>
      <c r="F24" s="42">
        <f>EXP(Coeffs!$F$12+(Coeffs!$F$8*'Forecast drivers'!I23)+(Coeffs!$F$9*'Forecast drivers'!J23)+(Coeffs!$F$10*'Forecast drivers'!E23)+(Coeffs!$F$11*'Forecast drivers'!H23))</f>
        <v>85.32060394877486</v>
      </c>
      <c r="G24" s="42">
        <f>EXP(Coeffs!$G$12+(Coeffs!$G$5*'Forecast drivers'!D23)+(Coeffs!$G$6*'Forecast drivers'!F23)+(Coeffs!$G$8*'Forecast drivers'!I23)+(Coeffs!$G$9*'Forecast drivers'!J23)+(Coeffs!$G$11*'Forecast drivers'!H23))</f>
        <v>145.56864991100335</v>
      </c>
      <c r="H24" s="42">
        <f>EXP(Coeffs!$H$12+(Coeffs!$H$5*'Forecast drivers'!D23)+(Coeffs!$H$7*'Forecast drivers'!G23)+(Coeffs!$H$8*'Forecast drivers'!I23)+(Coeffs!$H$9*'Forecast drivers'!J23)+(Coeffs!$H$11*'Forecast drivers'!H23))</f>
        <v>148.47901228418419</v>
      </c>
      <c r="J24" s="42">
        <f t="shared" si="0"/>
        <v>54.092489304838452</v>
      </c>
      <c r="K24" s="42">
        <f t="shared" si="1"/>
        <v>85.32060394877486</v>
      </c>
      <c r="L24" s="43">
        <f t="shared" si="2"/>
        <v>139.41309325361331</v>
      </c>
      <c r="M24" s="43">
        <f t="shared" si="3"/>
        <v>147.02383109759376</v>
      </c>
      <c r="N24" s="60">
        <f t="shared" si="5"/>
        <v>143.21846217560352</v>
      </c>
      <c r="O24" s="17"/>
      <c r="P24" s="43">
        <f>Controls!$G$10*N24</f>
        <v>136.63444802168644</v>
      </c>
      <c r="Q24" s="93">
        <f>(INDEX(Controls!$G$13:$G$17,MATCH($B24,Controls!$C$13:$C$17,0),0))*$P24</f>
        <v>-3.6653596954655954</v>
      </c>
      <c r="R24" s="60">
        <f t="shared" si="6"/>
        <v>132.96908832622086</v>
      </c>
      <c r="S24" s="233"/>
    </row>
    <row r="25" spans="1:23" x14ac:dyDescent="0.3">
      <c r="A25" s="33" t="str">
        <f>'Forecast drivers'!A24</f>
        <v>SRN</v>
      </c>
      <c r="B25" s="49">
        <f>'Forecast drivers'!B24</f>
        <v>2024</v>
      </c>
      <c r="C25" s="33" t="str">
        <f>'Forecast drivers'!C24</f>
        <v>SRN24</v>
      </c>
      <c r="D25" s="42">
        <f>EXP(Coeffs!$D$12+(Coeffs!$D$5*'Forecast drivers'!D24)+(Coeffs!$D$6*'Forecast drivers'!F24)+(Coeffs!$D$8*'Forecast drivers'!I24)+(Coeffs!$D$9*'Forecast drivers'!J24))</f>
        <v>54.270920820623772</v>
      </c>
      <c r="E25" s="42">
        <f>EXP(Coeffs!$E$12+(Coeffs!$E$5*'Forecast drivers'!D24)+(Coeffs!$E$7*'Forecast drivers'!G24)+(Coeffs!$E$8*'Forecast drivers'!I24)+(Coeffs!$E$9*'Forecast drivers'!J24))</f>
        <v>54.794451054628588</v>
      </c>
      <c r="F25" s="42">
        <f>EXP(Coeffs!$F$12+(Coeffs!$F$8*'Forecast drivers'!I24)+(Coeffs!$F$9*'Forecast drivers'!J24)+(Coeffs!$F$10*'Forecast drivers'!E24)+(Coeffs!$F$11*'Forecast drivers'!H24))</f>
        <v>85.742310460169151</v>
      </c>
      <c r="G25" s="42">
        <f>EXP(Coeffs!$G$12+(Coeffs!$G$5*'Forecast drivers'!D24)+(Coeffs!$G$6*'Forecast drivers'!F24)+(Coeffs!$G$8*'Forecast drivers'!I24)+(Coeffs!$G$9*'Forecast drivers'!J24)+(Coeffs!$G$11*'Forecast drivers'!H24))</f>
        <v>146.89266132791764</v>
      </c>
      <c r="H25" s="42">
        <f>EXP(Coeffs!$H$12+(Coeffs!$H$5*'Forecast drivers'!D24)+(Coeffs!$H$7*'Forecast drivers'!G24)+(Coeffs!$H$8*'Forecast drivers'!I24)+(Coeffs!$H$9*'Forecast drivers'!J24)+(Coeffs!$H$11*'Forecast drivers'!H24))</f>
        <v>149.78171102919688</v>
      </c>
      <c r="J25" s="42">
        <f t="shared" si="0"/>
        <v>54.532685937626184</v>
      </c>
      <c r="K25" s="42">
        <f t="shared" si="1"/>
        <v>85.742310460169151</v>
      </c>
      <c r="L25" s="43">
        <f t="shared" si="2"/>
        <v>140.27499639779535</v>
      </c>
      <c r="M25" s="43">
        <f t="shared" si="3"/>
        <v>148.33718617855726</v>
      </c>
      <c r="N25" s="60">
        <f t="shared" si="5"/>
        <v>144.3060912881763</v>
      </c>
      <c r="O25" s="17"/>
      <c r="P25" s="43">
        <f>Controls!$G$10*N25</f>
        <v>137.67207683846905</v>
      </c>
      <c r="Q25" s="93">
        <f>(INDEX(Controls!$G$13:$G$17,MATCH($B25,Controls!$C$13:$C$17,0),0))*$P25</f>
        <v>-4.4970684465192452</v>
      </c>
      <c r="R25" s="60">
        <f t="shared" si="6"/>
        <v>133.1750083919498</v>
      </c>
      <c r="S25" s="233"/>
    </row>
    <row r="26" spans="1:23" x14ac:dyDescent="0.3">
      <c r="A26" s="33" t="str">
        <f>'Forecast drivers'!A25</f>
        <v>SRN</v>
      </c>
      <c r="B26" s="49">
        <f>'Forecast drivers'!B25</f>
        <v>2025</v>
      </c>
      <c r="C26" s="33" t="str">
        <f>'Forecast drivers'!C25</f>
        <v>SRN25</v>
      </c>
      <c r="D26" s="42">
        <f>EXP(Coeffs!$D$12+(Coeffs!$D$5*'Forecast drivers'!D25)+(Coeffs!$D$6*'Forecast drivers'!F25)+(Coeffs!$D$8*'Forecast drivers'!I25)+(Coeffs!$D$9*'Forecast drivers'!J25))</f>
        <v>56.151723555896893</v>
      </c>
      <c r="E26" s="42">
        <f>EXP(Coeffs!$E$12+(Coeffs!$E$5*'Forecast drivers'!D25)+(Coeffs!$E$7*'Forecast drivers'!G25)+(Coeffs!$E$8*'Forecast drivers'!I25)+(Coeffs!$E$9*'Forecast drivers'!J25))</f>
        <v>55.628188345066214</v>
      </c>
      <c r="F26" s="42">
        <f>EXP(Coeffs!$F$12+(Coeffs!$F$8*'Forecast drivers'!I25)+(Coeffs!$F$9*'Forecast drivers'!J25)+(Coeffs!$F$10*'Forecast drivers'!E25)+(Coeffs!$F$11*'Forecast drivers'!H25))</f>
        <v>86.199566173428323</v>
      </c>
      <c r="G26" s="42">
        <f>EXP(Coeffs!$G$12+(Coeffs!$G$5*'Forecast drivers'!D25)+(Coeffs!$G$6*'Forecast drivers'!F25)+(Coeffs!$G$8*'Forecast drivers'!I25)+(Coeffs!$G$9*'Forecast drivers'!J25)+(Coeffs!$G$11*'Forecast drivers'!H25))</f>
        <v>150.77143864400995</v>
      </c>
      <c r="H26" s="42">
        <f>EXP(Coeffs!$H$12+(Coeffs!$H$5*'Forecast drivers'!D25)+(Coeffs!$H$7*'Forecast drivers'!G25)+(Coeffs!$H$8*'Forecast drivers'!I25)+(Coeffs!$H$9*'Forecast drivers'!J25)+(Coeffs!$H$11*'Forecast drivers'!H25))</f>
        <v>152.38451706257032</v>
      </c>
      <c r="J26" s="42">
        <f t="shared" si="0"/>
        <v>55.88995595048155</v>
      </c>
      <c r="K26" s="42">
        <f t="shared" si="1"/>
        <v>86.199566173428323</v>
      </c>
      <c r="L26" s="43">
        <f t="shared" si="2"/>
        <v>142.08952212390989</v>
      </c>
      <c r="M26" s="43">
        <f t="shared" si="3"/>
        <v>151.57797785329012</v>
      </c>
      <c r="N26" s="60">
        <f t="shared" si="5"/>
        <v>146.8337499886</v>
      </c>
      <c r="O26" s="17"/>
      <c r="P26" s="43">
        <f>Controls!$G$10*N26</f>
        <v>140.08353445415094</v>
      </c>
      <c r="Q26" s="93">
        <f>(INDEX(Controls!$G$13:$G$17,MATCH($B26,Controls!$C$13:$C$17,0),0))*$P26</f>
        <v>-5.3346819808696777</v>
      </c>
      <c r="R26" s="60">
        <f t="shared" si="6"/>
        <v>134.74885247328126</v>
      </c>
      <c r="S26" s="233"/>
      <c r="U26" s="65" t="s">
        <v>102</v>
      </c>
      <c r="V26" s="64"/>
      <c r="W26" s="67">
        <f>PERCENTILE($W$7:$W$22,0.25)</f>
        <v>0.89090636160082259</v>
      </c>
    </row>
    <row r="27" spans="1:23" x14ac:dyDescent="0.3">
      <c r="A27" s="33" t="str">
        <f>'Forecast drivers'!A26</f>
        <v>SVT</v>
      </c>
      <c r="B27" s="49">
        <f>'Forecast drivers'!B26</f>
        <v>2021</v>
      </c>
      <c r="C27" s="33" t="str">
        <f>'Forecast drivers'!C26</f>
        <v>SVT21</v>
      </c>
      <c r="D27" s="42">
        <f>EXP(Coeffs!$D$12+(Coeffs!$D$5*'Forecast drivers'!D26)+(Coeffs!$D$6*'Forecast drivers'!F26)+(Coeffs!$D$8*'Forecast drivers'!I26)+(Coeffs!$D$9*'Forecast drivers'!J26))</f>
        <v>176.12426755250283</v>
      </c>
      <c r="E27" s="42">
        <f>EXP(Coeffs!$E$12+(Coeffs!$E$5*'Forecast drivers'!D26)+(Coeffs!$E$7*'Forecast drivers'!G26)+(Coeffs!$E$8*'Forecast drivers'!I26)+(Coeffs!$E$9*'Forecast drivers'!J26))</f>
        <v>168.35970214557557</v>
      </c>
      <c r="F27" s="42">
        <f>EXP(Coeffs!$F$12+(Coeffs!$F$8*'Forecast drivers'!I26)+(Coeffs!$F$9*'Forecast drivers'!J26)+(Coeffs!$F$10*'Forecast drivers'!E26)+(Coeffs!$F$11*'Forecast drivers'!H26))</f>
        <v>295.25976762782119</v>
      </c>
      <c r="G27" s="42">
        <f>EXP(Coeffs!$G$12+(Coeffs!$G$5*'Forecast drivers'!D26)+(Coeffs!$G$6*'Forecast drivers'!F26)+(Coeffs!$G$8*'Forecast drivers'!I26)+(Coeffs!$G$9*'Forecast drivers'!J26)+(Coeffs!$G$11*'Forecast drivers'!H26))</f>
        <v>476.55919890511763</v>
      </c>
      <c r="H27" s="42">
        <f>EXP(Coeffs!$H$12+(Coeffs!$H$5*'Forecast drivers'!D26)+(Coeffs!$H$7*'Forecast drivers'!G26)+(Coeffs!$H$8*'Forecast drivers'!I26)+(Coeffs!$H$9*'Forecast drivers'!J26)+(Coeffs!$H$11*'Forecast drivers'!H26))</f>
        <v>455.15762323154462</v>
      </c>
      <c r="J27" s="42">
        <f t="shared" si="0"/>
        <v>172.2419848490392</v>
      </c>
      <c r="K27" s="42">
        <f t="shared" si="1"/>
        <v>295.25976762782119</v>
      </c>
      <c r="L27" s="43">
        <f t="shared" si="2"/>
        <v>467.50175247686036</v>
      </c>
      <c r="M27" s="43">
        <f t="shared" si="3"/>
        <v>465.85841106833112</v>
      </c>
      <c r="N27" s="60">
        <f t="shared" si="5"/>
        <v>466.68008177259571</v>
      </c>
      <c r="O27" s="17"/>
      <c r="P27" s="43">
        <f>Controls!$G$10*N27</f>
        <v>445.2259464811936</v>
      </c>
      <c r="Q27" s="93">
        <f>(INDEX(Controls!$G$13:$G$17,MATCH($B27,Controls!$C$13:$C$17,0),0))*$P27</f>
        <v>-6.1671896699871587</v>
      </c>
      <c r="R27" s="60">
        <f t="shared" si="6"/>
        <v>439.05875681120642</v>
      </c>
      <c r="S27" s="233"/>
    </row>
    <row r="28" spans="1:23" x14ac:dyDescent="0.3">
      <c r="A28" s="33" t="str">
        <f>'Forecast drivers'!A27</f>
        <v>SVT</v>
      </c>
      <c r="B28" s="49">
        <f>'Forecast drivers'!B27</f>
        <v>2022</v>
      </c>
      <c r="C28" s="33" t="str">
        <f>'Forecast drivers'!C27</f>
        <v>SVT22</v>
      </c>
      <c r="D28" s="42">
        <f>EXP(Coeffs!$D$12+(Coeffs!$D$5*'Forecast drivers'!D27)+(Coeffs!$D$6*'Forecast drivers'!F27)+(Coeffs!$D$8*'Forecast drivers'!I27)+(Coeffs!$D$9*'Forecast drivers'!J27))</f>
        <v>178.54556788738199</v>
      </c>
      <c r="E28" s="42">
        <f>EXP(Coeffs!$E$12+(Coeffs!$E$5*'Forecast drivers'!D27)+(Coeffs!$E$7*'Forecast drivers'!G27)+(Coeffs!$E$8*'Forecast drivers'!I27)+(Coeffs!$E$9*'Forecast drivers'!J27))</f>
        <v>169.20429599883792</v>
      </c>
      <c r="F28" s="42">
        <f>EXP(Coeffs!$F$12+(Coeffs!$F$8*'Forecast drivers'!I27)+(Coeffs!$F$9*'Forecast drivers'!J27)+(Coeffs!$F$10*'Forecast drivers'!E27)+(Coeffs!$F$11*'Forecast drivers'!H27))</f>
        <v>296.5563965981284</v>
      </c>
      <c r="G28" s="42">
        <f>EXP(Coeffs!$G$12+(Coeffs!$G$5*'Forecast drivers'!D27)+(Coeffs!$G$6*'Forecast drivers'!F27)+(Coeffs!$G$8*'Forecast drivers'!I27)+(Coeffs!$G$9*'Forecast drivers'!J27)+(Coeffs!$G$11*'Forecast drivers'!H27))</f>
        <v>482.02504101239543</v>
      </c>
      <c r="H28" s="42">
        <f>EXP(Coeffs!$H$12+(Coeffs!$H$5*'Forecast drivers'!D27)+(Coeffs!$H$7*'Forecast drivers'!G27)+(Coeffs!$H$8*'Forecast drivers'!I27)+(Coeffs!$H$9*'Forecast drivers'!J27)+(Coeffs!$H$11*'Forecast drivers'!H27))</f>
        <v>457.70437737876784</v>
      </c>
      <c r="J28" s="42">
        <f t="shared" si="0"/>
        <v>173.87493194310997</v>
      </c>
      <c r="K28" s="42">
        <f t="shared" si="1"/>
        <v>296.5563965981284</v>
      </c>
      <c r="L28" s="43">
        <f t="shared" si="2"/>
        <v>470.43132854123837</v>
      </c>
      <c r="M28" s="43">
        <f t="shared" si="3"/>
        <v>469.86470919558167</v>
      </c>
      <c r="N28" s="60">
        <f t="shared" si="5"/>
        <v>470.14801886841002</v>
      </c>
      <c r="O28" s="17"/>
      <c r="P28" s="43">
        <f>Controls!$G$10*N28</f>
        <v>448.53445617793602</v>
      </c>
      <c r="Q28" s="93">
        <f>(INDEX(Controls!$G$13:$G$17,MATCH($B28,Controls!$C$13:$C$17,0),0))*$P28</f>
        <v>-9.1765721828767077</v>
      </c>
      <c r="R28" s="60">
        <f t="shared" si="6"/>
        <v>439.3578839950593</v>
      </c>
      <c r="S28" s="233"/>
    </row>
    <row r="29" spans="1:23" x14ac:dyDescent="0.3">
      <c r="A29" s="33" t="str">
        <f>'Forecast drivers'!A28</f>
        <v>SVT</v>
      </c>
      <c r="B29" s="49">
        <f>'Forecast drivers'!B28</f>
        <v>2023</v>
      </c>
      <c r="C29" s="33" t="str">
        <f>'Forecast drivers'!C28</f>
        <v>SVT23</v>
      </c>
      <c r="D29" s="42">
        <f>EXP(Coeffs!$D$12+(Coeffs!$D$5*'Forecast drivers'!D28)+(Coeffs!$D$6*'Forecast drivers'!F28)+(Coeffs!$D$8*'Forecast drivers'!I28)+(Coeffs!$D$9*'Forecast drivers'!J28))</f>
        <v>181.19345474657166</v>
      </c>
      <c r="E29" s="42">
        <f>EXP(Coeffs!$E$12+(Coeffs!$E$5*'Forecast drivers'!D28)+(Coeffs!$E$7*'Forecast drivers'!G28)+(Coeffs!$E$8*'Forecast drivers'!I28)+(Coeffs!$E$9*'Forecast drivers'!J28))</f>
        <v>170.26191763722855</v>
      </c>
      <c r="F29" s="42">
        <f>EXP(Coeffs!$F$12+(Coeffs!$F$8*'Forecast drivers'!I28)+(Coeffs!$F$9*'Forecast drivers'!J28)+(Coeffs!$F$10*'Forecast drivers'!E28)+(Coeffs!$F$11*'Forecast drivers'!H28))</f>
        <v>297.85072507768098</v>
      </c>
      <c r="G29" s="42">
        <f>EXP(Coeffs!$G$12+(Coeffs!$G$5*'Forecast drivers'!D28)+(Coeffs!$G$6*'Forecast drivers'!F28)+(Coeffs!$G$8*'Forecast drivers'!I28)+(Coeffs!$G$9*'Forecast drivers'!J28)+(Coeffs!$G$11*'Forecast drivers'!H28))</f>
        <v>488.11166380509144</v>
      </c>
      <c r="H29" s="42">
        <f>EXP(Coeffs!$H$12+(Coeffs!$H$5*'Forecast drivers'!D28)+(Coeffs!$H$7*'Forecast drivers'!G28)+(Coeffs!$H$8*'Forecast drivers'!I28)+(Coeffs!$H$9*'Forecast drivers'!J28)+(Coeffs!$H$11*'Forecast drivers'!H28))</f>
        <v>460.83322255265182</v>
      </c>
      <c r="J29" s="42">
        <f t="shared" si="0"/>
        <v>175.72768619190009</v>
      </c>
      <c r="K29" s="42">
        <f t="shared" si="1"/>
        <v>297.85072507768098</v>
      </c>
      <c r="L29" s="43">
        <f t="shared" si="2"/>
        <v>473.57841126958107</v>
      </c>
      <c r="M29" s="43">
        <f t="shared" si="3"/>
        <v>474.47244317887163</v>
      </c>
      <c r="N29" s="60">
        <f t="shared" si="5"/>
        <v>474.02542722422635</v>
      </c>
      <c r="O29" s="17"/>
      <c r="P29" s="43">
        <f>Controls!$G$10*N29</f>
        <v>452.23361299336148</v>
      </c>
      <c r="Q29" s="93">
        <f>(INDEX(Controls!$G$13:$G$17,MATCH($B29,Controls!$C$13:$C$17,0),0))*$P29</f>
        <v>-12.131632117674757</v>
      </c>
      <c r="R29" s="60">
        <f t="shared" si="6"/>
        <v>440.10198087568671</v>
      </c>
      <c r="S29" s="233"/>
    </row>
    <row r="30" spans="1:23" x14ac:dyDescent="0.3">
      <c r="A30" s="33" t="str">
        <f>'Forecast drivers'!A29</f>
        <v>SVT</v>
      </c>
      <c r="B30" s="49">
        <f>'Forecast drivers'!B29</f>
        <v>2024</v>
      </c>
      <c r="C30" s="33" t="str">
        <f>'Forecast drivers'!C29</f>
        <v>SVT24</v>
      </c>
      <c r="D30" s="42">
        <f>EXP(Coeffs!$D$12+(Coeffs!$D$5*'Forecast drivers'!D29)+(Coeffs!$D$6*'Forecast drivers'!F29)+(Coeffs!$D$8*'Forecast drivers'!I29)+(Coeffs!$D$9*'Forecast drivers'!J29))</f>
        <v>183.81233103584748</v>
      </c>
      <c r="E30" s="42">
        <f>EXP(Coeffs!$E$12+(Coeffs!$E$5*'Forecast drivers'!D29)+(Coeffs!$E$7*'Forecast drivers'!G29)+(Coeffs!$E$8*'Forecast drivers'!I29)+(Coeffs!$E$9*'Forecast drivers'!J29))</f>
        <v>171.28940038496242</v>
      </c>
      <c r="F30" s="42">
        <f>EXP(Coeffs!$F$12+(Coeffs!$F$8*'Forecast drivers'!I29)+(Coeffs!$F$9*'Forecast drivers'!J29)+(Coeffs!$F$10*'Forecast drivers'!E29)+(Coeffs!$F$11*'Forecast drivers'!H29))</f>
        <v>299.1392908504514</v>
      </c>
      <c r="G30" s="42">
        <f>EXP(Coeffs!$G$12+(Coeffs!$G$5*'Forecast drivers'!D29)+(Coeffs!$G$6*'Forecast drivers'!F29)+(Coeffs!$G$8*'Forecast drivers'!I29)+(Coeffs!$G$9*'Forecast drivers'!J29)+(Coeffs!$G$11*'Forecast drivers'!H29))</f>
        <v>494.10836760454572</v>
      </c>
      <c r="H30" s="42">
        <f>EXP(Coeffs!$H$12+(Coeffs!$H$5*'Forecast drivers'!D29)+(Coeffs!$H$7*'Forecast drivers'!G29)+(Coeffs!$H$8*'Forecast drivers'!I29)+(Coeffs!$H$9*'Forecast drivers'!J29)+(Coeffs!$H$11*'Forecast drivers'!H29))</f>
        <v>463.87582517235251</v>
      </c>
      <c r="J30" s="42">
        <f t="shared" si="0"/>
        <v>177.55086571040493</v>
      </c>
      <c r="K30" s="42">
        <f t="shared" si="1"/>
        <v>299.1392908504514</v>
      </c>
      <c r="L30" s="43">
        <f t="shared" si="2"/>
        <v>476.69015656085634</v>
      </c>
      <c r="M30" s="43">
        <f t="shared" si="3"/>
        <v>478.99209638844911</v>
      </c>
      <c r="N30" s="60">
        <f t="shared" si="5"/>
        <v>477.8411264746527</v>
      </c>
      <c r="O30" s="17"/>
      <c r="P30" s="43">
        <f>Controls!$G$10*N30</f>
        <v>455.87389758362275</v>
      </c>
      <c r="Q30" s="93">
        <f>(INDEX(Controls!$G$13:$G$17,MATCH($B30,Controls!$C$13:$C$17,0),0))*$P30</f>
        <v>-14.891154164983202</v>
      </c>
      <c r="R30" s="60">
        <f t="shared" si="6"/>
        <v>440.98274341863953</v>
      </c>
      <c r="S30" s="233"/>
    </row>
    <row r="31" spans="1:23" x14ac:dyDescent="0.3">
      <c r="A31" s="33" t="str">
        <f>'Forecast drivers'!A30</f>
        <v>SVT</v>
      </c>
      <c r="B31" s="49">
        <f>'Forecast drivers'!B30</f>
        <v>2025</v>
      </c>
      <c r="C31" s="33" t="str">
        <f>'Forecast drivers'!C30</f>
        <v>SVT25</v>
      </c>
      <c r="D31" s="42">
        <f>EXP(Coeffs!$D$12+(Coeffs!$D$5*'Forecast drivers'!D30)+(Coeffs!$D$6*'Forecast drivers'!F30)+(Coeffs!$D$8*'Forecast drivers'!I30)+(Coeffs!$D$9*'Forecast drivers'!J30))</f>
        <v>186.45092655675342</v>
      </c>
      <c r="E31" s="42">
        <f>EXP(Coeffs!$E$12+(Coeffs!$E$5*'Forecast drivers'!D30)+(Coeffs!$E$7*'Forecast drivers'!G30)+(Coeffs!$E$8*'Forecast drivers'!I30)+(Coeffs!$E$9*'Forecast drivers'!J30))</f>
        <v>172.33028945515369</v>
      </c>
      <c r="F31" s="42">
        <f>EXP(Coeffs!$F$12+(Coeffs!$F$8*'Forecast drivers'!I30)+(Coeffs!$F$9*'Forecast drivers'!J30)+(Coeffs!$F$10*'Forecast drivers'!E30)+(Coeffs!$F$11*'Forecast drivers'!H30))</f>
        <v>300.46828210817972</v>
      </c>
      <c r="G31" s="42">
        <f>EXP(Coeffs!$G$12+(Coeffs!$G$5*'Forecast drivers'!D30)+(Coeffs!$G$6*'Forecast drivers'!F30)+(Coeffs!$G$8*'Forecast drivers'!I30)+(Coeffs!$G$9*'Forecast drivers'!J30)+(Coeffs!$G$11*'Forecast drivers'!H30))</f>
        <v>500.17635184873927</v>
      </c>
      <c r="H31" s="42">
        <f>EXP(Coeffs!$H$12+(Coeffs!$H$5*'Forecast drivers'!D30)+(Coeffs!$H$7*'Forecast drivers'!G30)+(Coeffs!$H$8*'Forecast drivers'!I30)+(Coeffs!$H$9*'Forecast drivers'!J30)+(Coeffs!$H$11*'Forecast drivers'!H30))</f>
        <v>466.9785325948875</v>
      </c>
      <c r="J31" s="42">
        <f t="shared" si="0"/>
        <v>179.39060800595354</v>
      </c>
      <c r="K31" s="42">
        <f t="shared" si="1"/>
        <v>300.46828210817972</v>
      </c>
      <c r="L31" s="43">
        <f t="shared" si="2"/>
        <v>479.85889011413326</v>
      </c>
      <c r="M31" s="43">
        <f t="shared" si="3"/>
        <v>483.57744222181339</v>
      </c>
      <c r="N31" s="60">
        <f t="shared" si="5"/>
        <v>481.71816616797332</v>
      </c>
      <c r="O31" s="17"/>
      <c r="P31" s="43">
        <f>Controls!$G$10*N31</f>
        <v>459.57270268464043</v>
      </c>
      <c r="Q31" s="93">
        <f>(INDEX(Controls!$G$13:$G$17,MATCH($B31,Controls!$C$13:$C$17,0),0))*$P31</f>
        <v>-17.501515973768903</v>
      </c>
      <c r="R31" s="60">
        <f t="shared" si="6"/>
        <v>442.07118671087153</v>
      </c>
      <c r="S31" s="233"/>
    </row>
    <row r="32" spans="1:23" x14ac:dyDescent="0.3">
      <c r="A32" s="33" t="str">
        <f>'Forecast drivers'!A31</f>
        <v>SWB</v>
      </c>
      <c r="B32" s="49">
        <f>'Forecast drivers'!B31</f>
        <v>2021</v>
      </c>
      <c r="C32" s="33" t="str">
        <f>'Forecast drivers'!C31</f>
        <v>SWB21</v>
      </c>
      <c r="D32" s="42">
        <f>EXP(Coeffs!$D$12+(Coeffs!$D$5*'Forecast drivers'!D31)+(Coeffs!$D$6*'Forecast drivers'!F31)+(Coeffs!$D$8*'Forecast drivers'!I31)+(Coeffs!$D$9*'Forecast drivers'!J31))</f>
        <v>56.571600256444917</v>
      </c>
      <c r="E32" s="42">
        <f>EXP(Coeffs!$E$12+(Coeffs!$E$5*'Forecast drivers'!D31)+(Coeffs!$E$7*'Forecast drivers'!G31)+(Coeffs!$E$8*'Forecast drivers'!I31)+(Coeffs!$E$9*'Forecast drivers'!J31))</f>
        <v>56.394915249009173</v>
      </c>
      <c r="F32" s="42">
        <f>EXP(Coeffs!$F$12+(Coeffs!$F$8*'Forecast drivers'!I31)+(Coeffs!$F$9*'Forecast drivers'!J31)+(Coeffs!$F$10*'Forecast drivers'!E31)+(Coeffs!$F$11*'Forecast drivers'!H31))</f>
        <v>82.412064591986152</v>
      </c>
      <c r="G32" s="42">
        <f>EXP(Coeffs!$G$12+(Coeffs!$G$5*'Forecast drivers'!D31)+(Coeffs!$G$6*'Forecast drivers'!F31)+(Coeffs!$G$8*'Forecast drivers'!I31)+(Coeffs!$G$9*'Forecast drivers'!J31)+(Coeffs!$G$11*'Forecast drivers'!H31))</f>
        <v>130.9614374936846</v>
      </c>
      <c r="H32" s="42">
        <f>EXP(Coeffs!$H$12+(Coeffs!$H$5*'Forecast drivers'!D31)+(Coeffs!$H$7*'Forecast drivers'!G31)+(Coeffs!$H$8*'Forecast drivers'!I31)+(Coeffs!$H$9*'Forecast drivers'!J31)+(Coeffs!$H$11*'Forecast drivers'!H31))</f>
        <v>134.25718130816486</v>
      </c>
      <c r="J32" s="42">
        <f t="shared" si="0"/>
        <v>56.483257752727042</v>
      </c>
      <c r="K32" s="42">
        <f t="shared" si="1"/>
        <v>82.412064591986152</v>
      </c>
      <c r="L32" s="43">
        <f t="shared" si="2"/>
        <v>138.89532234471318</v>
      </c>
      <c r="M32" s="43">
        <f t="shared" si="3"/>
        <v>132.60930940092473</v>
      </c>
      <c r="N32" s="60">
        <f t="shared" si="5"/>
        <v>135.75231587281894</v>
      </c>
      <c r="O32" s="17"/>
      <c r="P32" s="43">
        <f>Controls!$G$10*N32</f>
        <v>129.51153409401616</v>
      </c>
      <c r="Q32" s="93">
        <f>(INDEX(Controls!$G$13:$G$17,MATCH($B32,Controls!$C$13:$C$17,0),0))*$P32</f>
        <v>-1.793970458194184</v>
      </c>
      <c r="R32" s="60">
        <f t="shared" si="6"/>
        <v>127.71756363582197</v>
      </c>
      <c r="S32" s="233"/>
    </row>
    <row r="33" spans="1:19" x14ac:dyDescent="0.3">
      <c r="A33" s="33" t="str">
        <f>'Forecast drivers'!A32</f>
        <v>SWB</v>
      </c>
      <c r="B33" s="49">
        <f>'Forecast drivers'!B32</f>
        <v>2022</v>
      </c>
      <c r="C33" s="33" t="str">
        <f>'Forecast drivers'!C32</f>
        <v>SWB22</v>
      </c>
      <c r="D33" s="42">
        <f>EXP(Coeffs!$D$12+(Coeffs!$D$5*'Forecast drivers'!D32)+(Coeffs!$D$6*'Forecast drivers'!F32)+(Coeffs!$D$8*'Forecast drivers'!I32)+(Coeffs!$D$9*'Forecast drivers'!J32))</f>
        <v>56.882819660072123</v>
      </c>
      <c r="E33" s="42">
        <f>EXP(Coeffs!$E$12+(Coeffs!$E$5*'Forecast drivers'!D32)+(Coeffs!$E$7*'Forecast drivers'!G32)+(Coeffs!$E$8*'Forecast drivers'!I32)+(Coeffs!$E$9*'Forecast drivers'!J32))</f>
        <v>56.800747476259161</v>
      </c>
      <c r="F33" s="42">
        <f>EXP(Coeffs!$F$12+(Coeffs!$F$8*'Forecast drivers'!I32)+(Coeffs!$F$9*'Forecast drivers'!J32)+(Coeffs!$F$10*'Forecast drivers'!E32)+(Coeffs!$F$11*'Forecast drivers'!H32))</f>
        <v>82.891112807829757</v>
      </c>
      <c r="G33" s="42">
        <f>EXP(Coeffs!$G$12+(Coeffs!$G$5*'Forecast drivers'!D32)+(Coeffs!$G$6*'Forecast drivers'!F32)+(Coeffs!$G$8*'Forecast drivers'!I32)+(Coeffs!$G$9*'Forecast drivers'!J32)+(Coeffs!$G$11*'Forecast drivers'!H32))</f>
        <v>131.8333847519113</v>
      </c>
      <c r="H33" s="42">
        <f>EXP(Coeffs!$H$12+(Coeffs!$H$5*'Forecast drivers'!D32)+(Coeffs!$H$7*'Forecast drivers'!G32)+(Coeffs!$H$8*'Forecast drivers'!I32)+(Coeffs!$H$9*'Forecast drivers'!J32)+(Coeffs!$H$11*'Forecast drivers'!H32))</f>
        <v>135.41180657474993</v>
      </c>
      <c r="J33" s="42">
        <f t="shared" si="0"/>
        <v>56.841783568165638</v>
      </c>
      <c r="K33" s="42">
        <f t="shared" si="1"/>
        <v>82.891112807829757</v>
      </c>
      <c r="L33" s="43">
        <f t="shared" si="2"/>
        <v>139.73289637599538</v>
      </c>
      <c r="M33" s="43">
        <f t="shared" si="3"/>
        <v>133.62259566333063</v>
      </c>
      <c r="N33" s="60">
        <f t="shared" si="5"/>
        <v>136.677746019663</v>
      </c>
      <c r="O33" s="17"/>
      <c r="P33" s="43">
        <f>Controls!$G$10*N33</f>
        <v>130.39442052762155</v>
      </c>
      <c r="Q33" s="93">
        <f>(INDEX(Controls!$G$13:$G$17,MATCH($B33,Controls!$C$13:$C$17,0),0))*$P33</f>
        <v>-2.6677411194055787</v>
      </c>
      <c r="R33" s="60">
        <f t="shared" si="6"/>
        <v>127.72667940821597</v>
      </c>
      <c r="S33" s="233"/>
    </row>
    <row r="34" spans="1:19" x14ac:dyDescent="0.3">
      <c r="A34" s="33" t="str">
        <f>'Forecast drivers'!A33</f>
        <v>SWB</v>
      </c>
      <c r="B34" s="49">
        <f>'Forecast drivers'!B33</f>
        <v>2023</v>
      </c>
      <c r="C34" s="33" t="str">
        <f>'Forecast drivers'!C33</f>
        <v>SWB23</v>
      </c>
      <c r="D34" s="42">
        <f>EXP(Coeffs!$D$12+(Coeffs!$D$5*'Forecast drivers'!D33)+(Coeffs!$D$6*'Forecast drivers'!F33)+(Coeffs!$D$8*'Forecast drivers'!I33)+(Coeffs!$D$9*'Forecast drivers'!J33))</f>
        <v>57.272479733501036</v>
      </c>
      <c r="E34" s="42">
        <f>EXP(Coeffs!$E$12+(Coeffs!$E$5*'Forecast drivers'!D33)+(Coeffs!$E$7*'Forecast drivers'!G33)+(Coeffs!$E$8*'Forecast drivers'!I33)+(Coeffs!$E$9*'Forecast drivers'!J33))</f>
        <v>57.193549888494907</v>
      </c>
      <c r="F34" s="42">
        <f>EXP(Coeffs!$F$12+(Coeffs!$F$8*'Forecast drivers'!I33)+(Coeffs!$F$9*'Forecast drivers'!J33)+(Coeffs!$F$10*'Forecast drivers'!E33)+(Coeffs!$F$11*'Forecast drivers'!H33))</f>
        <v>83.398370502990574</v>
      </c>
      <c r="G34" s="42">
        <f>EXP(Coeffs!$G$12+(Coeffs!$G$5*'Forecast drivers'!D33)+(Coeffs!$G$6*'Forecast drivers'!F33)+(Coeffs!$G$8*'Forecast drivers'!I33)+(Coeffs!$G$9*'Forecast drivers'!J33)+(Coeffs!$G$11*'Forecast drivers'!H33))</f>
        <v>132.89910630354939</v>
      </c>
      <c r="H34" s="42">
        <f>EXP(Coeffs!$H$12+(Coeffs!$H$5*'Forecast drivers'!D33)+(Coeffs!$H$7*'Forecast drivers'!G33)+(Coeffs!$H$8*'Forecast drivers'!I33)+(Coeffs!$H$9*'Forecast drivers'!J33)+(Coeffs!$H$11*'Forecast drivers'!H33))</f>
        <v>136.5088973776117</v>
      </c>
      <c r="J34" s="42">
        <f t="shared" si="0"/>
        <v>57.233014810997972</v>
      </c>
      <c r="K34" s="42">
        <f t="shared" si="1"/>
        <v>83.398370502990574</v>
      </c>
      <c r="L34" s="43">
        <f t="shared" si="2"/>
        <v>140.63138531398855</v>
      </c>
      <c r="M34" s="43">
        <f t="shared" si="3"/>
        <v>134.70400184058053</v>
      </c>
      <c r="N34" s="60">
        <f t="shared" si="5"/>
        <v>137.66769357728452</v>
      </c>
      <c r="O34" s="17"/>
      <c r="P34" s="43">
        <f>Controls!$G$10*N34</f>
        <v>131.33885838885334</v>
      </c>
      <c r="Q34" s="93">
        <f>(INDEX(Controls!$G$13:$G$17,MATCH($B34,Controls!$C$13:$C$17,0),0))*$P34</f>
        <v>-3.5233000532234637</v>
      </c>
      <c r="R34" s="60">
        <f t="shared" si="6"/>
        <v>127.81555833562987</v>
      </c>
      <c r="S34" s="233"/>
    </row>
    <row r="35" spans="1:19" x14ac:dyDescent="0.3">
      <c r="A35" s="33" t="str">
        <f>'Forecast drivers'!A34</f>
        <v>SWB</v>
      </c>
      <c r="B35" s="49">
        <f>'Forecast drivers'!B34</f>
        <v>2024</v>
      </c>
      <c r="C35" s="33" t="str">
        <f>'Forecast drivers'!C34</f>
        <v>SWB24</v>
      </c>
      <c r="D35" s="42">
        <f>EXP(Coeffs!$D$12+(Coeffs!$D$5*'Forecast drivers'!D34)+(Coeffs!$D$6*'Forecast drivers'!F34)+(Coeffs!$D$8*'Forecast drivers'!I34)+(Coeffs!$D$9*'Forecast drivers'!J34))</f>
        <v>57.656687525928923</v>
      </c>
      <c r="E35" s="42">
        <f>EXP(Coeffs!$E$12+(Coeffs!$E$5*'Forecast drivers'!D34)+(Coeffs!$E$7*'Forecast drivers'!G34)+(Coeffs!$E$8*'Forecast drivers'!I34)+(Coeffs!$E$9*'Forecast drivers'!J34))</f>
        <v>57.852796887934609</v>
      </c>
      <c r="F35" s="42">
        <f>EXP(Coeffs!$F$12+(Coeffs!$F$8*'Forecast drivers'!I34)+(Coeffs!$F$9*'Forecast drivers'!J34)+(Coeffs!$F$10*'Forecast drivers'!E34)+(Coeffs!$F$11*'Forecast drivers'!H34))</f>
        <v>83.895646477874095</v>
      </c>
      <c r="G35" s="42">
        <f>EXP(Coeffs!$G$12+(Coeffs!$G$5*'Forecast drivers'!D34)+(Coeffs!$G$6*'Forecast drivers'!F34)+(Coeffs!$G$8*'Forecast drivers'!I34)+(Coeffs!$G$9*'Forecast drivers'!J34)+(Coeffs!$G$11*'Forecast drivers'!H34))</f>
        <v>133.95520175606697</v>
      </c>
      <c r="H35" s="42">
        <f>EXP(Coeffs!$H$12+(Coeffs!$H$5*'Forecast drivers'!D34)+(Coeffs!$H$7*'Forecast drivers'!G34)+(Coeffs!$H$8*'Forecast drivers'!I34)+(Coeffs!$H$9*'Forecast drivers'!J34)+(Coeffs!$H$11*'Forecast drivers'!H34))</f>
        <v>138.35608468534343</v>
      </c>
      <c r="J35" s="42">
        <f t="shared" si="0"/>
        <v>57.754742206931766</v>
      </c>
      <c r="K35" s="42">
        <f t="shared" si="1"/>
        <v>83.895646477874095</v>
      </c>
      <c r="L35" s="43">
        <f t="shared" si="2"/>
        <v>141.65038868480588</v>
      </c>
      <c r="M35" s="43">
        <f t="shared" si="3"/>
        <v>136.1556432207052</v>
      </c>
      <c r="N35" s="60">
        <f t="shared" si="5"/>
        <v>138.90301595275554</v>
      </c>
      <c r="O35" s="17"/>
      <c r="P35" s="43">
        <f>Controls!$G$10*N35</f>
        <v>132.51739073962221</v>
      </c>
      <c r="Q35" s="93">
        <f>(INDEX(Controls!$G$13:$G$17,MATCH($B35,Controls!$C$13:$C$17,0),0))*$P35</f>
        <v>-4.328690248563869</v>
      </c>
      <c r="R35" s="60">
        <f t="shared" si="6"/>
        <v>128.18870049105834</v>
      </c>
      <c r="S35" s="233"/>
    </row>
    <row r="36" spans="1:19" x14ac:dyDescent="0.3">
      <c r="A36" s="33" t="str">
        <f>'Forecast drivers'!A35</f>
        <v>SWB</v>
      </c>
      <c r="B36" s="49">
        <f>'Forecast drivers'!B35</f>
        <v>2025</v>
      </c>
      <c r="C36" s="33" t="str">
        <f>'Forecast drivers'!C35</f>
        <v>SWB25</v>
      </c>
      <c r="D36" s="42">
        <f>EXP(Coeffs!$D$12+(Coeffs!$D$5*'Forecast drivers'!D35)+(Coeffs!$D$6*'Forecast drivers'!F35)+(Coeffs!$D$8*'Forecast drivers'!I35)+(Coeffs!$D$9*'Forecast drivers'!J35))</f>
        <v>58.029569370343516</v>
      </c>
      <c r="E36" s="42">
        <f>EXP(Coeffs!$E$12+(Coeffs!$E$5*'Forecast drivers'!D35)+(Coeffs!$E$7*'Forecast drivers'!G35)+(Coeffs!$E$8*'Forecast drivers'!I35)+(Coeffs!$E$9*'Forecast drivers'!J35))</f>
        <v>58.950082146163503</v>
      </c>
      <c r="F36" s="42">
        <f>EXP(Coeffs!$F$12+(Coeffs!$F$8*'Forecast drivers'!I35)+(Coeffs!$F$9*'Forecast drivers'!J35)+(Coeffs!$F$10*'Forecast drivers'!E35)+(Coeffs!$F$11*'Forecast drivers'!H35))</f>
        <v>84.433760839890837</v>
      </c>
      <c r="G36" s="42">
        <f>EXP(Coeffs!$G$12+(Coeffs!$G$5*'Forecast drivers'!D35)+(Coeffs!$G$6*'Forecast drivers'!F35)+(Coeffs!$G$8*'Forecast drivers'!I35)+(Coeffs!$G$9*'Forecast drivers'!J35)+(Coeffs!$G$11*'Forecast drivers'!H35))</f>
        <v>135.01681642638346</v>
      </c>
      <c r="H36" s="42">
        <f>EXP(Coeffs!$H$12+(Coeffs!$H$5*'Forecast drivers'!D35)+(Coeffs!$H$7*'Forecast drivers'!G35)+(Coeffs!$H$8*'Forecast drivers'!I35)+(Coeffs!$H$9*'Forecast drivers'!J35)+(Coeffs!$H$11*'Forecast drivers'!H35))</f>
        <v>141.47201254007086</v>
      </c>
      <c r="J36" s="42">
        <f t="shared" si="0"/>
        <v>58.489825758253509</v>
      </c>
      <c r="K36" s="42">
        <f t="shared" si="1"/>
        <v>84.433760839890837</v>
      </c>
      <c r="L36" s="43">
        <f t="shared" si="2"/>
        <v>142.92358659814434</v>
      </c>
      <c r="M36" s="43">
        <f t="shared" si="3"/>
        <v>138.24441448322716</v>
      </c>
      <c r="N36" s="60">
        <f t="shared" si="5"/>
        <v>140.58400054068574</v>
      </c>
      <c r="O36" s="17"/>
      <c r="P36" s="43">
        <f>Controls!$G$10*N36</f>
        <v>134.12109739737971</v>
      </c>
      <c r="Q36" s="93">
        <f>(INDEX(Controls!$G$13:$G$17,MATCH($B36,Controls!$C$13:$C$17,0),0))*$P36</f>
        <v>-5.1076195666268553</v>
      </c>
      <c r="R36" s="60">
        <f t="shared" si="6"/>
        <v>129.01347783075286</v>
      </c>
      <c r="S36" s="233"/>
    </row>
    <row r="37" spans="1:19" x14ac:dyDescent="0.3">
      <c r="A37" s="33" t="str">
        <f>'Forecast drivers'!A36</f>
        <v>TMS</v>
      </c>
      <c r="B37" s="49">
        <f>'Forecast drivers'!B36</f>
        <v>2021</v>
      </c>
      <c r="C37" s="33" t="str">
        <f>'Forecast drivers'!C36</f>
        <v>TMS21</v>
      </c>
      <c r="D37" s="42">
        <f>EXP(Coeffs!$D$12+(Coeffs!$D$5*'Forecast drivers'!D36)+(Coeffs!$D$6*'Forecast drivers'!F36)+(Coeffs!$D$8*'Forecast drivers'!I36)+(Coeffs!$D$9*'Forecast drivers'!J36))</f>
        <v>194.97221819063657</v>
      </c>
      <c r="E37" s="42">
        <f>EXP(Coeffs!$E$12+(Coeffs!$E$5*'Forecast drivers'!D36)+(Coeffs!$E$7*'Forecast drivers'!G36)+(Coeffs!$E$8*'Forecast drivers'!I36)+(Coeffs!$E$9*'Forecast drivers'!J36))</f>
        <v>182.43343085925895</v>
      </c>
      <c r="F37" s="42">
        <f>EXP(Coeffs!$F$12+(Coeffs!$F$8*'Forecast drivers'!I36)+(Coeffs!$F$9*'Forecast drivers'!J36)+(Coeffs!$F$10*'Forecast drivers'!E36)+(Coeffs!$F$11*'Forecast drivers'!H36))</f>
        <v>488.42647371047025</v>
      </c>
      <c r="G37" s="42">
        <f>EXP(Coeffs!$G$12+(Coeffs!$G$5*'Forecast drivers'!D36)+(Coeffs!$G$6*'Forecast drivers'!F36)+(Coeffs!$G$8*'Forecast drivers'!I36)+(Coeffs!$G$9*'Forecast drivers'!J36)+(Coeffs!$G$11*'Forecast drivers'!H36))</f>
        <v>676.88665866646625</v>
      </c>
      <c r="H37" s="42">
        <f>EXP(Coeffs!$H$12+(Coeffs!$H$5*'Forecast drivers'!D36)+(Coeffs!$H$7*'Forecast drivers'!G36)+(Coeffs!$H$8*'Forecast drivers'!I36)+(Coeffs!$H$9*'Forecast drivers'!J36)+(Coeffs!$H$11*'Forecast drivers'!H36))</f>
        <v>660.3019452261517</v>
      </c>
      <c r="J37" s="42">
        <f t="shared" si="0"/>
        <v>188.70282452494774</v>
      </c>
      <c r="K37" s="42">
        <f t="shared" si="1"/>
        <v>488.42647371047025</v>
      </c>
      <c r="L37" s="43">
        <f t="shared" si="2"/>
        <v>677.12929823541799</v>
      </c>
      <c r="M37" s="43">
        <f t="shared" si="3"/>
        <v>668.59430194630897</v>
      </c>
      <c r="N37" s="60">
        <f t="shared" si="5"/>
        <v>672.86180009086343</v>
      </c>
      <c r="O37" s="17"/>
      <c r="P37" s="43">
        <f>Controls!$G$10*N37</f>
        <v>641.92911482018587</v>
      </c>
      <c r="Q37" s="93">
        <f>(INDEX(Controls!$G$13:$G$17,MATCH($B37,Controls!$C$13:$C$17,0),0))*$P37</f>
        <v>-8.891886551248593</v>
      </c>
      <c r="R37" s="60">
        <f t="shared" si="6"/>
        <v>633.03722826893727</v>
      </c>
      <c r="S37" s="233"/>
    </row>
    <row r="38" spans="1:19" x14ac:dyDescent="0.3">
      <c r="A38" s="33" t="str">
        <f>'Forecast drivers'!A37</f>
        <v>TMS</v>
      </c>
      <c r="B38" s="49">
        <f>'Forecast drivers'!B37</f>
        <v>2022</v>
      </c>
      <c r="C38" s="33" t="str">
        <f>'Forecast drivers'!C37</f>
        <v>TMS22</v>
      </c>
      <c r="D38" s="42">
        <f>EXP(Coeffs!$D$12+(Coeffs!$D$5*'Forecast drivers'!D37)+(Coeffs!$D$6*'Forecast drivers'!F37)+(Coeffs!$D$8*'Forecast drivers'!I37)+(Coeffs!$D$9*'Forecast drivers'!J37))</f>
        <v>196.66728166969469</v>
      </c>
      <c r="E38" s="42">
        <f>EXP(Coeffs!$E$12+(Coeffs!$E$5*'Forecast drivers'!D37)+(Coeffs!$E$7*'Forecast drivers'!G37)+(Coeffs!$E$8*'Forecast drivers'!I37)+(Coeffs!$E$9*'Forecast drivers'!J37))</f>
        <v>183.7306571964065</v>
      </c>
      <c r="F38" s="42">
        <f>EXP(Coeffs!$F$12+(Coeffs!$F$8*'Forecast drivers'!I37)+(Coeffs!$F$9*'Forecast drivers'!J37)+(Coeffs!$F$10*'Forecast drivers'!E37)+(Coeffs!$F$11*'Forecast drivers'!H37))</f>
        <v>495.61943830216637</v>
      </c>
      <c r="G38" s="42">
        <f>EXP(Coeffs!$G$12+(Coeffs!$G$5*'Forecast drivers'!D37)+(Coeffs!$G$6*'Forecast drivers'!F37)+(Coeffs!$G$8*'Forecast drivers'!I37)+(Coeffs!$G$9*'Forecast drivers'!J37)+(Coeffs!$G$11*'Forecast drivers'!H37))</f>
        <v>685.05718352819099</v>
      </c>
      <c r="H38" s="42">
        <f>EXP(Coeffs!$H$12+(Coeffs!$H$5*'Forecast drivers'!D37)+(Coeffs!$H$7*'Forecast drivers'!G37)+(Coeffs!$H$8*'Forecast drivers'!I37)+(Coeffs!$H$9*'Forecast drivers'!J37)+(Coeffs!$H$11*'Forecast drivers'!H37))</f>
        <v>667.53426826380178</v>
      </c>
      <c r="J38" s="42">
        <f t="shared" si="0"/>
        <v>190.19896943305059</v>
      </c>
      <c r="K38" s="42">
        <f t="shared" si="1"/>
        <v>495.61943830216637</v>
      </c>
      <c r="L38" s="43">
        <f t="shared" si="2"/>
        <v>685.81840773521697</v>
      </c>
      <c r="M38" s="43">
        <f t="shared" si="3"/>
        <v>676.29572589599638</v>
      </c>
      <c r="N38" s="60">
        <f t="shared" si="5"/>
        <v>681.05706681560673</v>
      </c>
      <c r="O38" s="17"/>
      <c r="P38" s="43">
        <f>Controls!$G$10*N38</f>
        <v>649.74763017299597</v>
      </c>
      <c r="Q38" s="93">
        <f>(INDEX(Controls!$G$13:$G$17,MATCH($B38,Controls!$C$13:$C$17,0),0))*$P38</f>
        <v>-13.293195086377576</v>
      </c>
      <c r="R38" s="60">
        <f t="shared" si="6"/>
        <v>636.45443508661845</v>
      </c>
      <c r="S38" s="233"/>
    </row>
    <row r="39" spans="1:19" x14ac:dyDescent="0.3">
      <c r="A39" s="33" t="str">
        <f>'Forecast drivers'!A38</f>
        <v>TMS</v>
      </c>
      <c r="B39" s="49">
        <f>'Forecast drivers'!B38</f>
        <v>2023</v>
      </c>
      <c r="C39" s="33" t="str">
        <f>'Forecast drivers'!C38</f>
        <v>TMS23</v>
      </c>
      <c r="D39" s="42">
        <f>EXP(Coeffs!$D$12+(Coeffs!$D$5*'Forecast drivers'!D38)+(Coeffs!$D$6*'Forecast drivers'!F38)+(Coeffs!$D$8*'Forecast drivers'!I38)+(Coeffs!$D$9*'Forecast drivers'!J38))</f>
        <v>198.93872390263198</v>
      </c>
      <c r="E39" s="42">
        <f>EXP(Coeffs!$E$12+(Coeffs!$E$5*'Forecast drivers'!D38)+(Coeffs!$E$7*'Forecast drivers'!G38)+(Coeffs!$E$8*'Forecast drivers'!I38)+(Coeffs!$E$9*'Forecast drivers'!J38))</f>
        <v>185.59048505654181</v>
      </c>
      <c r="F39" s="42">
        <f>EXP(Coeffs!$F$12+(Coeffs!$F$8*'Forecast drivers'!I38)+(Coeffs!$F$9*'Forecast drivers'!J38)+(Coeffs!$F$10*'Forecast drivers'!E38)+(Coeffs!$F$11*'Forecast drivers'!H38))</f>
        <v>502.26545660724366</v>
      </c>
      <c r="G39" s="42">
        <f>EXP(Coeffs!$G$12+(Coeffs!$G$5*'Forecast drivers'!D38)+(Coeffs!$G$6*'Forecast drivers'!F38)+(Coeffs!$G$8*'Forecast drivers'!I38)+(Coeffs!$G$9*'Forecast drivers'!J38)+(Coeffs!$G$11*'Forecast drivers'!H38))</f>
        <v>695.10800516500308</v>
      </c>
      <c r="H39" s="42">
        <f>EXP(Coeffs!$H$12+(Coeffs!$H$5*'Forecast drivers'!D38)+(Coeffs!$H$7*'Forecast drivers'!G38)+(Coeffs!$H$8*'Forecast drivers'!I38)+(Coeffs!$H$9*'Forecast drivers'!J38)+(Coeffs!$H$11*'Forecast drivers'!H38))</f>
        <v>676.62325745000737</v>
      </c>
      <c r="J39" s="42">
        <f t="shared" ref="J39:J70" si="8">D$5*D39+E$5*E39</f>
        <v>192.26460447958689</v>
      </c>
      <c r="K39" s="42">
        <f t="shared" ref="K39:K70" si="9">F$5*F39</f>
        <v>502.26545660724366</v>
      </c>
      <c r="L39" s="43">
        <f t="shared" ref="L39:L70" si="10">J39+K39</f>
        <v>694.53006108683053</v>
      </c>
      <c r="M39" s="43">
        <f t="shared" ref="M39:M70" si="11">G39*$G$5+H39*$H$5</f>
        <v>685.86563130750528</v>
      </c>
      <c r="N39" s="60">
        <f t="shared" si="5"/>
        <v>690.19784619716791</v>
      </c>
      <c r="O39" s="17"/>
      <c r="P39" s="43">
        <f>Controls!$G$10*N39</f>
        <v>658.46819123974069</v>
      </c>
      <c r="Q39" s="93">
        <f>(INDEX(Controls!$G$13:$G$17,MATCH($B39,Controls!$C$13:$C$17,0),0))*$P39</f>
        <v>-17.664086940455938</v>
      </c>
      <c r="R39" s="60">
        <f t="shared" si="6"/>
        <v>640.80410429928475</v>
      </c>
      <c r="S39" s="233"/>
    </row>
    <row r="40" spans="1:19" x14ac:dyDescent="0.3">
      <c r="A40" s="33" t="str">
        <f>'Forecast drivers'!A39</f>
        <v>TMS</v>
      </c>
      <c r="B40" s="49">
        <f>'Forecast drivers'!B39</f>
        <v>2024</v>
      </c>
      <c r="C40" s="33" t="str">
        <f>'Forecast drivers'!C39</f>
        <v>TMS24</v>
      </c>
      <c r="D40" s="42">
        <f>EXP(Coeffs!$D$12+(Coeffs!$D$5*'Forecast drivers'!D39)+(Coeffs!$D$6*'Forecast drivers'!F39)+(Coeffs!$D$8*'Forecast drivers'!I39)+(Coeffs!$D$9*'Forecast drivers'!J39))</f>
        <v>201.11225487627252</v>
      </c>
      <c r="E40" s="42">
        <f>EXP(Coeffs!$E$12+(Coeffs!$E$5*'Forecast drivers'!D39)+(Coeffs!$E$7*'Forecast drivers'!G39)+(Coeffs!$E$8*'Forecast drivers'!I39)+(Coeffs!$E$9*'Forecast drivers'!J39))</f>
        <v>187.38408492639869</v>
      </c>
      <c r="F40" s="42">
        <f>EXP(Coeffs!$F$12+(Coeffs!$F$8*'Forecast drivers'!I39)+(Coeffs!$F$9*'Forecast drivers'!J39)+(Coeffs!$F$10*'Forecast drivers'!E39)+(Coeffs!$F$11*'Forecast drivers'!H39))</f>
        <v>508.31647941979986</v>
      </c>
      <c r="G40" s="42">
        <f>EXP(Coeffs!$G$12+(Coeffs!$G$5*'Forecast drivers'!D39)+(Coeffs!$G$6*'Forecast drivers'!F39)+(Coeffs!$G$8*'Forecast drivers'!I39)+(Coeffs!$G$9*'Forecast drivers'!J39)+(Coeffs!$G$11*'Forecast drivers'!H39))</f>
        <v>704.62279149154563</v>
      </c>
      <c r="H40" s="42">
        <f>EXP(Coeffs!$H$12+(Coeffs!$H$5*'Forecast drivers'!D39)+(Coeffs!$H$7*'Forecast drivers'!G39)+(Coeffs!$H$8*'Forecast drivers'!I39)+(Coeffs!$H$9*'Forecast drivers'!J39)+(Coeffs!$H$11*'Forecast drivers'!H39))</f>
        <v>685.24710149508849</v>
      </c>
      <c r="J40" s="42">
        <f t="shared" si="8"/>
        <v>194.24816990133559</v>
      </c>
      <c r="K40" s="42">
        <f t="shared" si="9"/>
        <v>508.31647941979986</v>
      </c>
      <c r="L40" s="43">
        <f t="shared" si="10"/>
        <v>702.56464932113545</v>
      </c>
      <c r="M40" s="43">
        <f t="shared" si="11"/>
        <v>694.93494649331706</v>
      </c>
      <c r="N40" s="60">
        <f t="shared" si="5"/>
        <v>698.74979790722625</v>
      </c>
      <c r="O40" s="17"/>
      <c r="P40" s="43">
        <f>Controls!$G$10*N40</f>
        <v>666.62699411795643</v>
      </c>
      <c r="Q40" s="93">
        <f>(INDEX(Controls!$G$13:$G$17,MATCH($B40,Controls!$C$13:$C$17,0),0))*$P40</f>
        <v>-21.775419458248141</v>
      </c>
      <c r="R40" s="60">
        <f t="shared" si="6"/>
        <v>644.85157465970826</v>
      </c>
      <c r="S40" s="233"/>
    </row>
    <row r="41" spans="1:19" x14ac:dyDescent="0.3">
      <c r="A41" s="33" t="str">
        <f>'Forecast drivers'!A40</f>
        <v>TMS</v>
      </c>
      <c r="B41" s="49">
        <f>'Forecast drivers'!B40</f>
        <v>2025</v>
      </c>
      <c r="C41" s="33" t="str">
        <f>'Forecast drivers'!C40</f>
        <v>TMS25</v>
      </c>
      <c r="D41" s="42">
        <f>EXP(Coeffs!$D$12+(Coeffs!$D$5*'Forecast drivers'!D40)+(Coeffs!$D$6*'Forecast drivers'!F40)+(Coeffs!$D$8*'Forecast drivers'!I40)+(Coeffs!$D$9*'Forecast drivers'!J40))</f>
        <v>203.24618387467112</v>
      </c>
      <c r="E41" s="42">
        <f>EXP(Coeffs!$E$12+(Coeffs!$E$5*'Forecast drivers'!D40)+(Coeffs!$E$7*'Forecast drivers'!G40)+(Coeffs!$E$8*'Forecast drivers'!I40)+(Coeffs!$E$9*'Forecast drivers'!J40))</f>
        <v>189.1446792259936</v>
      </c>
      <c r="F41" s="42">
        <f>EXP(Coeffs!$F$12+(Coeffs!$F$8*'Forecast drivers'!I40)+(Coeffs!$F$9*'Forecast drivers'!J40)+(Coeffs!$F$10*'Forecast drivers'!E40)+(Coeffs!$F$11*'Forecast drivers'!H40))</f>
        <v>514.59230985497936</v>
      </c>
      <c r="G41" s="42">
        <f>EXP(Coeffs!$G$12+(Coeffs!$G$5*'Forecast drivers'!D40)+(Coeffs!$G$6*'Forecast drivers'!F40)+(Coeffs!$G$8*'Forecast drivers'!I40)+(Coeffs!$G$9*'Forecast drivers'!J40)+(Coeffs!$G$11*'Forecast drivers'!H40))</f>
        <v>713.97061930885695</v>
      </c>
      <c r="H41" s="42">
        <f>EXP(Coeffs!$H$12+(Coeffs!$H$5*'Forecast drivers'!D40)+(Coeffs!$H$7*'Forecast drivers'!G40)+(Coeffs!$H$8*'Forecast drivers'!I40)+(Coeffs!$H$9*'Forecast drivers'!J40)+(Coeffs!$H$11*'Forecast drivers'!H40))</f>
        <v>693.71474539756559</v>
      </c>
      <c r="J41" s="42">
        <f t="shared" si="8"/>
        <v>196.19543155033236</v>
      </c>
      <c r="K41" s="42">
        <f t="shared" si="9"/>
        <v>514.59230985497936</v>
      </c>
      <c r="L41" s="43">
        <f t="shared" si="10"/>
        <v>710.78774140531175</v>
      </c>
      <c r="M41" s="43">
        <f t="shared" si="11"/>
        <v>703.84268235321133</v>
      </c>
      <c r="N41" s="60">
        <f t="shared" si="5"/>
        <v>707.3152118792616</v>
      </c>
      <c r="O41" s="17"/>
      <c r="P41" s="43">
        <f>Controls!$G$10*N41</f>
        <v>674.79864037339041</v>
      </c>
      <c r="Q41" s="93">
        <f>(INDEX(Controls!$G$13:$G$17,MATCH($B41,Controls!$C$13:$C$17,0),0))*$P41</f>
        <v>-25.697782123662098</v>
      </c>
      <c r="R41" s="60">
        <f t="shared" si="6"/>
        <v>649.10085824972828</v>
      </c>
      <c r="S41" s="233"/>
    </row>
    <row r="42" spans="1:19" x14ac:dyDescent="0.3">
      <c r="A42" s="33" t="str">
        <f>'Forecast drivers'!A41</f>
        <v>WSH</v>
      </c>
      <c r="B42" s="49">
        <f>'Forecast drivers'!B41</f>
        <v>2021</v>
      </c>
      <c r="C42" s="33" t="str">
        <f>'Forecast drivers'!C41</f>
        <v>WSH21</v>
      </c>
      <c r="D42" s="42">
        <f>EXP(Coeffs!$D$12+(Coeffs!$D$5*'Forecast drivers'!D41)+(Coeffs!$D$6*'Forecast drivers'!F41)+(Coeffs!$D$8*'Forecast drivers'!I41)+(Coeffs!$D$9*'Forecast drivers'!J41))</f>
        <v>92.159373114597017</v>
      </c>
      <c r="E42" s="42">
        <f>EXP(Coeffs!$E$12+(Coeffs!$E$5*'Forecast drivers'!D41)+(Coeffs!$E$7*'Forecast drivers'!G41)+(Coeffs!$E$8*'Forecast drivers'!I41)+(Coeffs!$E$9*'Forecast drivers'!J41))</f>
        <v>90.472263185957516</v>
      </c>
      <c r="F42" s="42">
        <f>EXP(Coeffs!$F$12+(Coeffs!$F$8*'Forecast drivers'!I41)+(Coeffs!$F$9*'Forecast drivers'!J41)+(Coeffs!$F$10*'Forecast drivers'!E41)+(Coeffs!$F$11*'Forecast drivers'!H41))</f>
        <v>128.77024601943171</v>
      </c>
      <c r="G42" s="42">
        <f>EXP(Coeffs!$G$12+(Coeffs!$G$5*'Forecast drivers'!D41)+(Coeffs!$G$6*'Forecast drivers'!F41)+(Coeffs!$G$8*'Forecast drivers'!I41)+(Coeffs!$G$9*'Forecast drivers'!J41)+(Coeffs!$G$11*'Forecast drivers'!H41))</f>
        <v>213.48095377876768</v>
      </c>
      <c r="H42" s="42">
        <f>EXP(Coeffs!$H$12+(Coeffs!$H$5*'Forecast drivers'!D41)+(Coeffs!$H$7*'Forecast drivers'!G41)+(Coeffs!$H$8*'Forecast drivers'!I41)+(Coeffs!$H$9*'Forecast drivers'!J41)+(Coeffs!$H$11*'Forecast drivers'!H41))</f>
        <v>220.61288525772585</v>
      </c>
      <c r="J42" s="42">
        <f t="shared" si="8"/>
        <v>91.315818150277266</v>
      </c>
      <c r="K42" s="42">
        <f t="shared" si="9"/>
        <v>128.77024601943171</v>
      </c>
      <c r="L42" s="43">
        <f t="shared" si="10"/>
        <v>220.08606416970898</v>
      </c>
      <c r="M42" s="43">
        <f t="shared" si="11"/>
        <v>217.04691951824677</v>
      </c>
      <c r="N42" s="60">
        <f t="shared" si="5"/>
        <v>218.56649184397787</v>
      </c>
      <c r="O42" s="17"/>
      <c r="P42" s="43">
        <f>Controls!$G$10*N42</f>
        <v>208.51859121711382</v>
      </c>
      <c r="Q42" s="93">
        <f>(INDEX(Controls!$G$13:$G$17,MATCH($B42,Controls!$C$13:$C$17,0),0))*$P42</f>
        <v>-2.8883619921930563</v>
      </c>
      <c r="R42" s="60">
        <f t="shared" si="6"/>
        <v>205.63022922492075</v>
      </c>
      <c r="S42" s="233"/>
    </row>
    <row r="43" spans="1:19" x14ac:dyDescent="0.3">
      <c r="A43" s="33" t="str">
        <f>'Forecast drivers'!A42</f>
        <v>WSH</v>
      </c>
      <c r="B43" s="49">
        <f>'Forecast drivers'!B42</f>
        <v>2022</v>
      </c>
      <c r="C43" s="33" t="str">
        <f>'Forecast drivers'!C42</f>
        <v>WSH22</v>
      </c>
      <c r="D43" s="42">
        <f>EXP(Coeffs!$D$12+(Coeffs!$D$5*'Forecast drivers'!D42)+(Coeffs!$D$6*'Forecast drivers'!F42)+(Coeffs!$D$8*'Forecast drivers'!I42)+(Coeffs!$D$9*'Forecast drivers'!J42))</f>
        <v>92.389924907026568</v>
      </c>
      <c r="E43" s="42">
        <f>EXP(Coeffs!$E$12+(Coeffs!$E$5*'Forecast drivers'!D42)+(Coeffs!$E$7*'Forecast drivers'!G42)+(Coeffs!$E$8*'Forecast drivers'!I42)+(Coeffs!$E$9*'Forecast drivers'!J42))</f>
        <v>90.739268448306817</v>
      </c>
      <c r="F43" s="42">
        <f>EXP(Coeffs!$F$12+(Coeffs!$F$8*'Forecast drivers'!I42)+(Coeffs!$F$9*'Forecast drivers'!J42)+(Coeffs!$F$10*'Forecast drivers'!E42)+(Coeffs!$F$11*'Forecast drivers'!H42))</f>
        <v>128.86271528238419</v>
      </c>
      <c r="G43" s="42">
        <f>EXP(Coeffs!$G$12+(Coeffs!$G$5*'Forecast drivers'!D42)+(Coeffs!$G$6*'Forecast drivers'!F42)+(Coeffs!$G$8*'Forecast drivers'!I42)+(Coeffs!$G$9*'Forecast drivers'!J42)+(Coeffs!$G$11*'Forecast drivers'!H42))</f>
        <v>214.02573527863342</v>
      </c>
      <c r="H43" s="42">
        <f>EXP(Coeffs!$H$12+(Coeffs!$H$5*'Forecast drivers'!D42)+(Coeffs!$H$7*'Forecast drivers'!G42)+(Coeffs!$H$8*'Forecast drivers'!I42)+(Coeffs!$H$9*'Forecast drivers'!J42)+(Coeffs!$H$11*'Forecast drivers'!H42))</f>
        <v>221.20387923518535</v>
      </c>
      <c r="J43" s="42">
        <f t="shared" si="8"/>
        <v>91.564596677666685</v>
      </c>
      <c r="K43" s="42">
        <f t="shared" si="9"/>
        <v>128.86271528238419</v>
      </c>
      <c r="L43" s="43">
        <f t="shared" si="10"/>
        <v>220.42731196005087</v>
      </c>
      <c r="M43" s="43">
        <f t="shared" si="11"/>
        <v>217.61480725690939</v>
      </c>
      <c r="N43" s="60">
        <f t="shared" si="5"/>
        <v>219.02105960848013</v>
      </c>
      <c r="O43" s="17"/>
      <c r="P43" s="43">
        <f>Controls!$G$10*N43</f>
        <v>208.95226167166081</v>
      </c>
      <c r="Q43" s="93">
        <f>(INDEX(Controls!$G$13:$G$17,MATCH($B43,Controls!$C$13:$C$17,0),0))*$P43</f>
        <v>-4.274956997383204</v>
      </c>
      <c r="R43" s="60">
        <f t="shared" si="6"/>
        <v>204.67730467427759</v>
      </c>
      <c r="S43" s="233"/>
    </row>
    <row r="44" spans="1:19" x14ac:dyDescent="0.3">
      <c r="A44" s="33" t="str">
        <f>'Forecast drivers'!A43</f>
        <v>WSH</v>
      </c>
      <c r="B44" s="49">
        <f>'Forecast drivers'!B43</f>
        <v>2023</v>
      </c>
      <c r="C44" s="33" t="str">
        <f>'Forecast drivers'!C43</f>
        <v>WSH23</v>
      </c>
      <c r="D44" s="42">
        <f>EXP(Coeffs!$D$12+(Coeffs!$D$5*'Forecast drivers'!D43)+(Coeffs!$D$6*'Forecast drivers'!F43)+(Coeffs!$D$8*'Forecast drivers'!I43)+(Coeffs!$D$9*'Forecast drivers'!J43))</f>
        <v>92.658303069268925</v>
      </c>
      <c r="E44" s="42">
        <f>EXP(Coeffs!$E$12+(Coeffs!$E$5*'Forecast drivers'!D43)+(Coeffs!$E$7*'Forecast drivers'!G43)+(Coeffs!$E$8*'Forecast drivers'!I43)+(Coeffs!$E$9*'Forecast drivers'!J43))</f>
        <v>91.043943993589039</v>
      </c>
      <c r="F44" s="42">
        <f>EXP(Coeffs!$F$12+(Coeffs!$F$8*'Forecast drivers'!I43)+(Coeffs!$F$9*'Forecast drivers'!J43)+(Coeffs!$F$10*'Forecast drivers'!E43)+(Coeffs!$F$11*'Forecast drivers'!H43))</f>
        <v>128.95190730470023</v>
      </c>
      <c r="G44" s="42">
        <f>EXP(Coeffs!$G$12+(Coeffs!$G$5*'Forecast drivers'!D43)+(Coeffs!$G$6*'Forecast drivers'!F43)+(Coeffs!$G$8*'Forecast drivers'!I43)+(Coeffs!$G$9*'Forecast drivers'!J43)+(Coeffs!$G$11*'Forecast drivers'!H43))</f>
        <v>214.66623693459204</v>
      </c>
      <c r="H44" s="42">
        <f>EXP(Coeffs!$H$12+(Coeffs!$H$5*'Forecast drivers'!D43)+(Coeffs!$H$7*'Forecast drivers'!G43)+(Coeffs!$H$8*'Forecast drivers'!I43)+(Coeffs!$H$9*'Forecast drivers'!J43)+(Coeffs!$H$11*'Forecast drivers'!H43))</f>
        <v>221.89333519914379</v>
      </c>
      <c r="J44" s="42">
        <f t="shared" si="8"/>
        <v>91.851123531428982</v>
      </c>
      <c r="K44" s="42">
        <f t="shared" si="9"/>
        <v>128.95190730470023</v>
      </c>
      <c r="L44" s="43">
        <f t="shared" si="10"/>
        <v>220.80303083612921</v>
      </c>
      <c r="M44" s="43">
        <f t="shared" si="11"/>
        <v>218.27978606686793</v>
      </c>
      <c r="N44" s="60">
        <f t="shared" si="5"/>
        <v>219.54140845149857</v>
      </c>
      <c r="O44" s="17"/>
      <c r="P44" s="43">
        <f>Controls!$G$10*N44</f>
        <v>209.44868912846016</v>
      </c>
      <c r="Q44" s="93">
        <f>(INDEX(Controls!$G$13:$G$17,MATCH($B44,Controls!$C$13:$C$17,0),0))*$P44</f>
        <v>-5.6186766552290806</v>
      </c>
      <c r="R44" s="60">
        <f t="shared" si="6"/>
        <v>203.83001247323108</v>
      </c>
      <c r="S44" s="233"/>
    </row>
    <row r="45" spans="1:19" x14ac:dyDescent="0.3">
      <c r="A45" s="33" t="str">
        <f>'Forecast drivers'!A44</f>
        <v>WSH</v>
      </c>
      <c r="B45" s="49">
        <f>'Forecast drivers'!B44</f>
        <v>2024</v>
      </c>
      <c r="C45" s="33" t="str">
        <f>'Forecast drivers'!C44</f>
        <v>WSH24</v>
      </c>
      <c r="D45" s="42">
        <f>EXP(Coeffs!$D$12+(Coeffs!$D$5*'Forecast drivers'!D44)+(Coeffs!$D$6*'Forecast drivers'!F44)+(Coeffs!$D$8*'Forecast drivers'!I44)+(Coeffs!$D$9*'Forecast drivers'!J44))</f>
        <v>92.896341315049867</v>
      </c>
      <c r="E45" s="42">
        <f>EXP(Coeffs!$E$12+(Coeffs!$E$5*'Forecast drivers'!D44)+(Coeffs!$E$7*'Forecast drivers'!G44)+(Coeffs!$E$8*'Forecast drivers'!I44)+(Coeffs!$E$9*'Forecast drivers'!J44))</f>
        <v>91.318179182912019</v>
      </c>
      <c r="F45" s="42">
        <f>EXP(Coeffs!$F$12+(Coeffs!$F$8*'Forecast drivers'!I44)+(Coeffs!$F$9*'Forecast drivers'!J44)+(Coeffs!$F$10*'Forecast drivers'!E44)+(Coeffs!$F$11*'Forecast drivers'!H44))</f>
        <v>129.08129053280655</v>
      </c>
      <c r="G45" s="42">
        <f>EXP(Coeffs!$G$12+(Coeffs!$G$5*'Forecast drivers'!D44)+(Coeffs!$G$6*'Forecast drivers'!F44)+(Coeffs!$G$8*'Forecast drivers'!I44)+(Coeffs!$G$9*'Forecast drivers'!J44)+(Coeffs!$G$11*'Forecast drivers'!H44))</f>
        <v>215.23998806298803</v>
      </c>
      <c r="H45" s="42">
        <f>EXP(Coeffs!$H$12+(Coeffs!$H$5*'Forecast drivers'!D44)+(Coeffs!$H$7*'Forecast drivers'!G44)+(Coeffs!$H$8*'Forecast drivers'!I44)+(Coeffs!$H$9*'Forecast drivers'!J44)+(Coeffs!$H$11*'Forecast drivers'!H44))</f>
        <v>222.51229452473376</v>
      </c>
      <c r="J45" s="42">
        <f t="shared" si="8"/>
        <v>92.107260248980936</v>
      </c>
      <c r="K45" s="42">
        <f t="shared" si="9"/>
        <v>129.08129053280655</v>
      </c>
      <c r="L45" s="43">
        <f t="shared" si="10"/>
        <v>221.18855078178748</v>
      </c>
      <c r="M45" s="43">
        <f t="shared" si="11"/>
        <v>218.87614129386088</v>
      </c>
      <c r="N45" s="60">
        <f t="shared" si="5"/>
        <v>220.0323460378242</v>
      </c>
      <c r="O45" s="17"/>
      <c r="P45" s="43">
        <f>Controls!$G$10*N45</f>
        <v>209.91705741772762</v>
      </c>
      <c r="Q45" s="93">
        <f>(INDEX(Controls!$G$13:$G$17,MATCH($B45,Controls!$C$13:$C$17,0),0))*$P45</f>
        <v>-6.8569560144504988</v>
      </c>
      <c r="R45" s="60">
        <f t="shared" si="6"/>
        <v>203.06010140327712</v>
      </c>
      <c r="S45" s="233"/>
    </row>
    <row r="46" spans="1:19" x14ac:dyDescent="0.3">
      <c r="A46" s="33" t="str">
        <f>'Forecast drivers'!A45</f>
        <v>WSH</v>
      </c>
      <c r="B46" s="49">
        <f>'Forecast drivers'!B45</f>
        <v>2025</v>
      </c>
      <c r="C46" s="33" t="str">
        <f>'Forecast drivers'!C45</f>
        <v>WSH25</v>
      </c>
      <c r="D46" s="42">
        <f>EXP(Coeffs!$D$12+(Coeffs!$D$5*'Forecast drivers'!D45)+(Coeffs!$D$6*'Forecast drivers'!F45)+(Coeffs!$D$8*'Forecast drivers'!I45)+(Coeffs!$D$9*'Forecast drivers'!J45))</f>
        <v>93.117870616650592</v>
      </c>
      <c r="E46" s="42">
        <f>EXP(Coeffs!$E$12+(Coeffs!$E$5*'Forecast drivers'!D45)+(Coeffs!$E$7*'Forecast drivers'!G45)+(Coeffs!$E$8*'Forecast drivers'!I45)+(Coeffs!$E$9*'Forecast drivers'!J45))</f>
        <v>91.576774536182384</v>
      </c>
      <c r="F46" s="42">
        <f>EXP(Coeffs!$F$12+(Coeffs!$F$8*'Forecast drivers'!I45)+(Coeffs!$F$9*'Forecast drivers'!J45)+(Coeffs!$F$10*'Forecast drivers'!E45)+(Coeffs!$F$11*'Forecast drivers'!H45))</f>
        <v>129.24994963729955</v>
      </c>
      <c r="G46" s="42">
        <f>EXP(Coeffs!$G$12+(Coeffs!$G$5*'Forecast drivers'!D45)+(Coeffs!$G$6*'Forecast drivers'!F45)+(Coeffs!$G$8*'Forecast drivers'!I45)+(Coeffs!$G$9*'Forecast drivers'!J45)+(Coeffs!$G$11*'Forecast drivers'!H45))</f>
        <v>215.77790114745983</v>
      </c>
      <c r="H46" s="42">
        <f>EXP(Coeffs!$H$12+(Coeffs!$H$5*'Forecast drivers'!D45)+(Coeffs!$H$7*'Forecast drivers'!G45)+(Coeffs!$H$8*'Forecast drivers'!I45)+(Coeffs!$H$9*'Forecast drivers'!J45)+(Coeffs!$H$11*'Forecast drivers'!H45))</f>
        <v>223.09639398792447</v>
      </c>
      <c r="J46" s="42">
        <f t="shared" si="8"/>
        <v>92.347322576416488</v>
      </c>
      <c r="K46" s="42">
        <f t="shared" si="9"/>
        <v>129.24994963729955</v>
      </c>
      <c r="L46" s="43">
        <f t="shared" si="10"/>
        <v>221.59727221371605</v>
      </c>
      <c r="M46" s="43">
        <f t="shared" si="11"/>
        <v>219.43714756769214</v>
      </c>
      <c r="N46" s="60">
        <f t="shared" si="5"/>
        <v>220.51720989070409</v>
      </c>
      <c r="O46" s="17"/>
      <c r="P46" s="43">
        <f>Controls!$G$10*N46</f>
        <v>210.37963119416352</v>
      </c>
      <c r="Q46" s="93">
        <f>(INDEX(Controls!$G$13:$G$17,MATCH($B46,Controls!$C$13:$C$17,0),0))*$P46</f>
        <v>-8.0117083856193094</v>
      </c>
      <c r="R46" s="60">
        <f t="shared" si="6"/>
        <v>202.36792280854422</v>
      </c>
      <c r="S46" s="233"/>
    </row>
    <row r="47" spans="1:19" x14ac:dyDescent="0.3">
      <c r="A47" s="33" t="str">
        <f>'Forecast drivers'!A46</f>
        <v>WSX</v>
      </c>
      <c r="B47" s="49">
        <f>'Forecast drivers'!B46</f>
        <v>2021</v>
      </c>
      <c r="C47" s="33" t="str">
        <f>'Forecast drivers'!C46</f>
        <v>WSX21</v>
      </c>
      <c r="D47" s="42">
        <f>EXP(Coeffs!$D$12+(Coeffs!$D$5*'Forecast drivers'!D46)+(Coeffs!$D$6*'Forecast drivers'!F46)+(Coeffs!$D$8*'Forecast drivers'!I46)+(Coeffs!$D$9*'Forecast drivers'!J46))</f>
        <v>36.812821245644045</v>
      </c>
      <c r="E47" s="42">
        <f>EXP(Coeffs!$E$12+(Coeffs!$E$5*'Forecast drivers'!D46)+(Coeffs!$E$7*'Forecast drivers'!G46)+(Coeffs!$E$8*'Forecast drivers'!I46)+(Coeffs!$E$9*'Forecast drivers'!J46))</f>
        <v>40.415106816821613</v>
      </c>
      <c r="F47" s="42">
        <f>EXP(Coeffs!$F$12+(Coeffs!$F$8*'Forecast drivers'!I46)+(Coeffs!$F$9*'Forecast drivers'!J46)+(Coeffs!$F$10*'Forecast drivers'!E46)+(Coeffs!$F$11*'Forecast drivers'!H46))</f>
        <v>64.255923652233079</v>
      </c>
      <c r="G47" s="42">
        <f>EXP(Coeffs!$G$12+(Coeffs!$G$5*'Forecast drivers'!D46)+(Coeffs!$G$6*'Forecast drivers'!F46)+(Coeffs!$G$8*'Forecast drivers'!I46)+(Coeffs!$G$9*'Forecast drivers'!J46)+(Coeffs!$G$11*'Forecast drivers'!H46))</f>
        <v>95.169247471456529</v>
      </c>
      <c r="H47" s="42">
        <f>EXP(Coeffs!$H$12+(Coeffs!$H$5*'Forecast drivers'!D46)+(Coeffs!$H$7*'Forecast drivers'!G46)+(Coeffs!$H$8*'Forecast drivers'!I46)+(Coeffs!$H$9*'Forecast drivers'!J46)+(Coeffs!$H$11*'Forecast drivers'!H46))</f>
        <v>94.995127962742359</v>
      </c>
      <c r="J47" s="42">
        <f t="shared" si="8"/>
        <v>38.613964031232825</v>
      </c>
      <c r="K47" s="42">
        <f t="shared" si="9"/>
        <v>64.255923652233079</v>
      </c>
      <c r="L47" s="43">
        <f t="shared" si="10"/>
        <v>102.8698876834659</v>
      </c>
      <c r="M47" s="43">
        <f t="shared" si="11"/>
        <v>95.082187717099444</v>
      </c>
      <c r="N47" s="60">
        <f t="shared" si="5"/>
        <v>98.976037700282674</v>
      </c>
      <c r="O47" s="17"/>
      <c r="P47" s="43">
        <f>Controls!$G$10*N47</f>
        <v>94.425928564783945</v>
      </c>
      <c r="Q47" s="93">
        <f>(INDEX(Controls!$G$13:$G$17,MATCH($B47,Controls!$C$13:$C$17,0),0))*$P47</f>
        <v>-1.3079709658122523</v>
      </c>
      <c r="R47" s="60">
        <f t="shared" si="6"/>
        <v>93.117957598971699</v>
      </c>
      <c r="S47" s="233"/>
    </row>
    <row r="48" spans="1:19" x14ac:dyDescent="0.3">
      <c r="A48" s="33" t="str">
        <f>'Forecast drivers'!A47</f>
        <v>WSX</v>
      </c>
      <c r="B48" s="49">
        <f>'Forecast drivers'!B47</f>
        <v>2022</v>
      </c>
      <c r="C48" s="33" t="str">
        <f>'Forecast drivers'!C47</f>
        <v>WSX22</v>
      </c>
      <c r="D48" s="42">
        <f>EXP(Coeffs!$D$12+(Coeffs!$D$5*'Forecast drivers'!D47)+(Coeffs!$D$6*'Forecast drivers'!F47)+(Coeffs!$D$8*'Forecast drivers'!I47)+(Coeffs!$D$9*'Forecast drivers'!J47))</f>
        <v>36.97337271650747</v>
      </c>
      <c r="E48" s="42">
        <f>EXP(Coeffs!$E$12+(Coeffs!$E$5*'Forecast drivers'!D47)+(Coeffs!$E$7*'Forecast drivers'!G47)+(Coeffs!$E$8*'Forecast drivers'!I47)+(Coeffs!$E$9*'Forecast drivers'!J47))</f>
        <v>40.61616661756527</v>
      </c>
      <c r="F48" s="42">
        <f>EXP(Coeffs!$F$12+(Coeffs!$F$8*'Forecast drivers'!I47)+(Coeffs!$F$9*'Forecast drivers'!J47)+(Coeffs!$F$10*'Forecast drivers'!E47)+(Coeffs!$F$11*'Forecast drivers'!H47))</f>
        <v>64.443068652263108</v>
      </c>
      <c r="G48" s="42">
        <f>EXP(Coeffs!$G$12+(Coeffs!$G$5*'Forecast drivers'!D47)+(Coeffs!$G$6*'Forecast drivers'!F47)+(Coeffs!$G$8*'Forecast drivers'!I47)+(Coeffs!$G$9*'Forecast drivers'!J47)+(Coeffs!$G$11*'Forecast drivers'!H47))</f>
        <v>95.594655849198162</v>
      </c>
      <c r="H48" s="42">
        <f>EXP(Coeffs!$H$12+(Coeffs!$H$5*'Forecast drivers'!D47)+(Coeffs!$H$7*'Forecast drivers'!G47)+(Coeffs!$H$8*'Forecast drivers'!I47)+(Coeffs!$H$9*'Forecast drivers'!J47)+(Coeffs!$H$11*'Forecast drivers'!H47))</f>
        <v>95.448660811577938</v>
      </c>
      <c r="J48" s="42">
        <f t="shared" si="8"/>
        <v>38.79476966703637</v>
      </c>
      <c r="K48" s="42">
        <f t="shared" si="9"/>
        <v>64.443068652263108</v>
      </c>
      <c r="L48" s="43">
        <f t="shared" si="10"/>
        <v>103.23783831929947</v>
      </c>
      <c r="M48" s="43">
        <f t="shared" si="11"/>
        <v>95.52165833038805</v>
      </c>
      <c r="N48" s="60">
        <f t="shared" si="5"/>
        <v>99.37974832484376</v>
      </c>
      <c r="O48" s="17"/>
      <c r="P48" s="43">
        <f>Controls!$G$10*N48</f>
        <v>94.81107987495345</v>
      </c>
      <c r="Q48" s="93">
        <f>(INDEX(Controls!$G$13:$G$17,MATCH($B48,Controls!$C$13:$C$17,0),0))*$P48</f>
        <v>-1.9397410973123761</v>
      </c>
      <c r="R48" s="60">
        <f t="shared" si="6"/>
        <v>92.871338777641071</v>
      </c>
      <c r="S48" s="233"/>
    </row>
    <row r="49" spans="1:19" x14ac:dyDescent="0.3">
      <c r="A49" s="33" t="str">
        <f>'Forecast drivers'!A48</f>
        <v>WSX</v>
      </c>
      <c r="B49" s="49">
        <f>'Forecast drivers'!B48</f>
        <v>2023</v>
      </c>
      <c r="C49" s="33" t="str">
        <f>'Forecast drivers'!C48</f>
        <v>WSX23</v>
      </c>
      <c r="D49" s="42">
        <f>EXP(Coeffs!$D$12+(Coeffs!$D$5*'Forecast drivers'!D48)+(Coeffs!$D$6*'Forecast drivers'!F48)+(Coeffs!$D$8*'Forecast drivers'!I48)+(Coeffs!$D$9*'Forecast drivers'!J48))</f>
        <v>37.189446239673217</v>
      </c>
      <c r="E49" s="42">
        <f>EXP(Coeffs!$E$12+(Coeffs!$E$5*'Forecast drivers'!D48)+(Coeffs!$E$7*'Forecast drivers'!G48)+(Coeffs!$E$8*'Forecast drivers'!I48)+(Coeffs!$E$9*'Forecast drivers'!J48))</f>
        <v>40.877955050513108</v>
      </c>
      <c r="F49" s="42">
        <f>EXP(Coeffs!$F$12+(Coeffs!$F$8*'Forecast drivers'!I48)+(Coeffs!$F$9*'Forecast drivers'!J48)+(Coeffs!$F$10*'Forecast drivers'!E48)+(Coeffs!$F$11*'Forecast drivers'!H48))</f>
        <v>64.631897847859477</v>
      </c>
      <c r="G49" s="42">
        <f>EXP(Coeffs!$G$12+(Coeffs!$G$5*'Forecast drivers'!D48)+(Coeffs!$G$6*'Forecast drivers'!F48)+(Coeffs!$G$8*'Forecast drivers'!I48)+(Coeffs!$G$9*'Forecast drivers'!J48)+(Coeffs!$G$11*'Forecast drivers'!H48))</f>
        <v>96.167511812744891</v>
      </c>
      <c r="H49" s="42">
        <f>EXP(Coeffs!$H$12+(Coeffs!$H$5*'Forecast drivers'!D48)+(Coeffs!$H$7*'Forecast drivers'!G48)+(Coeffs!$H$8*'Forecast drivers'!I48)+(Coeffs!$H$9*'Forecast drivers'!J48)+(Coeffs!$H$11*'Forecast drivers'!H48))</f>
        <v>96.047171800495974</v>
      </c>
      <c r="J49" s="42">
        <f t="shared" si="8"/>
        <v>39.033700645093163</v>
      </c>
      <c r="K49" s="42">
        <f t="shared" si="9"/>
        <v>64.631897847859477</v>
      </c>
      <c r="L49" s="43">
        <f t="shared" si="10"/>
        <v>103.66559849295264</v>
      </c>
      <c r="M49" s="43">
        <f t="shared" si="11"/>
        <v>96.10734180662044</v>
      </c>
      <c r="N49" s="60">
        <f t="shared" si="5"/>
        <v>99.886470149786533</v>
      </c>
      <c r="O49" s="17"/>
      <c r="P49" s="43">
        <f>Controls!$G$10*N49</f>
        <v>95.294506772574408</v>
      </c>
      <c r="Q49" s="93">
        <f>(INDEX(Controls!$G$13:$G$17,MATCH($B49,Controls!$C$13:$C$17,0),0))*$P49</f>
        <v>-2.5563732234496883</v>
      </c>
      <c r="R49" s="60">
        <f t="shared" si="6"/>
        <v>92.738133549124726</v>
      </c>
      <c r="S49" s="233"/>
    </row>
    <row r="50" spans="1:19" x14ac:dyDescent="0.3">
      <c r="A50" s="33" t="str">
        <f>'Forecast drivers'!A49</f>
        <v>WSX</v>
      </c>
      <c r="B50" s="49">
        <f>'Forecast drivers'!B49</f>
        <v>2024</v>
      </c>
      <c r="C50" s="33" t="str">
        <f>'Forecast drivers'!C49</f>
        <v>WSX24</v>
      </c>
      <c r="D50" s="42">
        <f>EXP(Coeffs!$D$12+(Coeffs!$D$5*'Forecast drivers'!D49)+(Coeffs!$D$6*'Forecast drivers'!F49)+(Coeffs!$D$8*'Forecast drivers'!I49)+(Coeffs!$D$9*'Forecast drivers'!J49))</f>
        <v>37.396528653465161</v>
      </c>
      <c r="E50" s="42">
        <f>EXP(Coeffs!$E$12+(Coeffs!$E$5*'Forecast drivers'!D49)+(Coeffs!$E$7*'Forecast drivers'!G49)+(Coeffs!$E$8*'Forecast drivers'!I49)+(Coeffs!$E$9*'Forecast drivers'!J49))</f>
        <v>41.130183622187488</v>
      </c>
      <c r="F50" s="42">
        <f>EXP(Coeffs!$F$12+(Coeffs!$F$8*'Forecast drivers'!I49)+(Coeffs!$F$9*'Forecast drivers'!J49)+(Coeffs!$F$10*'Forecast drivers'!E49)+(Coeffs!$F$11*'Forecast drivers'!H49))</f>
        <v>64.820292071494066</v>
      </c>
      <c r="G50" s="42">
        <f>EXP(Coeffs!$G$12+(Coeffs!$G$5*'Forecast drivers'!D49)+(Coeffs!$G$6*'Forecast drivers'!F49)+(Coeffs!$G$8*'Forecast drivers'!I49)+(Coeffs!$G$9*'Forecast drivers'!J49)+(Coeffs!$G$11*'Forecast drivers'!H49))</f>
        <v>96.71693635723517</v>
      </c>
      <c r="H50" s="42">
        <f>EXP(Coeffs!$H$12+(Coeffs!$H$5*'Forecast drivers'!D49)+(Coeffs!$H$7*'Forecast drivers'!G49)+(Coeffs!$H$8*'Forecast drivers'!I49)+(Coeffs!$H$9*'Forecast drivers'!J49)+(Coeffs!$H$11*'Forecast drivers'!H49))</f>
        <v>96.622988035348413</v>
      </c>
      <c r="J50" s="42">
        <f t="shared" si="8"/>
        <v>39.263356137826321</v>
      </c>
      <c r="K50" s="42">
        <f t="shared" si="9"/>
        <v>64.820292071494066</v>
      </c>
      <c r="L50" s="43">
        <f t="shared" si="10"/>
        <v>104.08364820932039</v>
      </c>
      <c r="M50" s="43">
        <f t="shared" si="11"/>
        <v>96.669962196291792</v>
      </c>
      <c r="N50" s="60">
        <f t="shared" si="5"/>
        <v>100.37680520280608</v>
      </c>
      <c r="O50" s="17"/>
      <c r="P50" s="43">
        <f>Controls!$G$10*N50</f>
        <v>95.762300228091789</v>
      </c>
      <c r="Q50" s="93">
        <f>(INDEX(Controls!$G$13:$G$17,MATCH($B50,Controls!$C$13:$C$17,0),0))*$P50</f>
        <v>-3.1280825321400245</v>
      </c>
      <c r="R50" s="60">
        <f t="shared" si="6"/>
        <v>92.634217695951762</v>
      </c>
      <c r="S50" s="233"/>
    </row>
    <row r="51" spans="1:19" x14ac:dyDescent="0.3">
      <c r="A51" s="33" t="str">
        <f>'Forecast drivers'!A50</f>
        <v>WSX</v>
      </c>
      <c r="B51" s="49">
        <f>'Forecast drivers'!B50</f>
        <v>2025</v>
      </c>
      <c r="C51" s="33" t="str">
        <f>'Forecast drivers'!C50</f>
        <v>WSX25</v>
      </c>
      <c r="D51" s="42">
        <f>EXP(Coeffs!$D$12+(Coeffs!$D$5*'Forecast drivers'!D50)+(Coeffs!$D$6*'Forecast drivers'!F50)+(Coeffs!$D$8*'Forecast drivers'!I50)+(Coeffs!$D$9*'Forecast drivers'!J50))</f>
        <v>37.596849841039827</v>
      </c>
      <c r="E51" s="42">
        <f>EXP(Coeffs!$E$12+(Coeffs!$E$5*'Forecast drivers'!D50)+(Coeffs!$E$7*'Forecast drivers'!G50)+(Coeffs!$E$8*'Forecast drivers'!I50)+(Coeffs!$E$9*'Forecast drivers'!J50))</f>
        <v>41.375652625269076</v>
      </c>
      <c r="F51" s="42">
        <f>EXP(Coeffs!$F$12+(Coeffs!$F$8*'Forecast drivers'!I50)+(Coeffs!$F$9*'Forecast drivers'!J50)+(Coeffs!$F$10*'Forecast drivers'!E50)+(Coeffs!$F$11*'Forecast drivers'!H50))</f>
        <v>65.006795830263385</v>
      </c>
      <c r="G51" s="42">
        <f>EXP(Coeffs!$G$12+(Coeffs!$G$5*'Forecast drivers'!D50)+(Coeffs!$G$6*'Forecast drivers'!F50)+(Coeffs!$G$8*'Forecast drivers'!I50)+(Coeffs!$G$9*'Forecast drivers'!J50)+(Coeffs!$G$11*'Forecast drivers'!H50))</f>
        <v>97.249005729986919</v>
      </c>
      <c r="H51" s="42">
        <f>EXP(Coeffs!$H$12+(Coeffs!$H$5*'Forecast drivers'!D50)+(Coeffs!$H$7*'Forecast drivers'!G50)+(Coeffs!$H$8*'Forecast drivers'!I50)+(Coeffs!$H$9*'Forecast drivers'!J50)+(Coeffs!$H$11*'Forecast drivers'!H50))</f>
        <v>97.182607324016118</v>
      </c>
      <c r="J51" s="42">
        <f t="shared" si="8"/>
        <v>39.486251233154448</v>
      </c>
      <c r="K51" s="42">
        <f t="shared" si="9"/>
        <v>65.006795830263385</v>
      </c>
      <c r="L51" s="43">
        <f t="shared" si="10"/>
        <v>104.49304706341783</v>
      </c>
      <c r="M51" s="43">
        <f t="shared" si="11"/>
        <v>97.215806527001519</v>
      </c>
      <c r="N51" s="60">
        <f t="shared" si="5"/>
        <v>100.85442679520968</v>
      </c>
      <c r="O51" s="17"/>
      <c r="P51" s="43">
        <f>Controls!$G$10*N51</f>
        <v>96.217964683986366</v>
      </c>
      <c r="Q51" s="93">
        <f>(INDEX(Controls!$G$13:$G$17,MATCH($B51,Controls!$C$13:$C$17,0),0))*$P51</f>
        <v>-3.6641868327759579</v>
      </c>
      <c r="R51" s="60">
        <f t="shared" si="6"/>
        <v>92.553777851210413</v>
      </c>
      <c r="S51" s="233"/>
    </row>
    <row r="52" spans="1:19" x14ac:dyDescent="0.3">
      <c r="A52" s="33" t="str">
        <f>'Forecast drivers'!A51</f>
        <v>YKY</v>
      </c>
      <c r="B52" s="49">
        <f>'Forecast drivers'!B51</f>
        <v>2021</v>
      </c>
      <c r="C52" s="33" t="str">
        <f>'Forecast drivers'!C51</f>
        <v>YKY21</v>
      </c>
      <c r="D52" s="42">
        <f>EXP(Coeffs!$D$12+(Coeffs!$D$5*'Forecast drivers'!D51)+(Coeffs!$D$6*'Forecast drivers'!F51)+(Coeffs!$D$8*'Forecast drivers'!I51)+(Coeffs!$D$9*'Forecast drivers'!J51))</f>
        <v>125.15539927946357</v>
      </c>
      <c r="E52" s="42">
        <f>EXP(Coeffs!$E$12+(Coeffs!$E$5*'Forecast drivers'!D51)+(Coeffs!$E$7*'Forecast drivers'!G51)+(Coeffs!$E$8*'Forecast drivers'!I51)+(Coeffs!$E$9*'Forecast drivers'!J51))</f>
        <v>122.16042960196843</v>
      </c>
      <c r="F52" s="42">
        <f>EXP(Coeffs!$F$12+(Coeffs!$F$8*'Forecast drivers'!I51)+(Coeffs!$F$9*'Forecast drivers'!J51)+(Coeffs!$F$10*'Forecast drivers'!E51)+(Coeffs!$F$11*'Forecast drivers'!H51))</f>
        <v>149.15416166961109</v>
      </c>
      <c r="G52" s="42">
        <f>EXP(Coeffs!$G$12+(Coeffs!$G$5*'Forecast drivers'!D51)+(Coeffs!$G$6*'Forecast drivers'!F51)+(Coeffs!$G$8*'Forecast drivers'!I51)+(Coeffs!$G$9*'Forecast drivers'!J51)+(Coeffs!$G$11*'Forecast drivers'!H51))</f>
        <v>301.04502322973474</v>
      </c>
      <c r="H52" s="42">
        <f>EXP(Coeffs!$H$12+(Coeffs!$H$5*'Forecast drivers'!D51)+(Coeffs!$H$7*'Forecast drivers'!G51)+(Coeffs!$H$8*'Forecast drivers'!I51)+(Coeffs!$H$9*'Forecast drivers'!J51)+(Coeffs!$H$11*'Forecast drivers'!H51))</f>
        <v>297.85652395140818</v>
      </c>
      <c r="J52" s="42">
        <f t="shared" si="8"/>
        <v>123.657914440716</v>
      </c>
      <c r="K52" s="42">
        <f t="shared" si="9"/>
        <v>149.15416166961109</v>
      </c>
      <c r="L52" s="43">
        <f t="shared" si="10"/>
        <v>272.8120761103271</v>
      </c>
      <c r="M52" s="43">
        <f t="shared" si="11"/>
        <v>299.45077359057143</v>
      </c>
      <c r="N52" s="60">
        <f t="shared" si="5"/>
        <v>286.13142485044926</v>
      </c>
      <c r="O52" s="17"/>
      <c r="P52" s="43">
        <f>Controls!$G$10*N52</f>
        <v>272.97744091235938</v>
      </c>
      <c r="Q52" s="93">
        <f>(INDEX(Controls!$G$13:$G$17,MATCH($B52,Controls!$C$13:$C$17,0),0))*$P52</f>
        <v>-3.781234375578657</v>
      </c>
      <c r="R52" s="60">
        <f t="shared" si="6"/>
        <v>269.19620653678072</v>
      </c>
      <c r="S52" s="233"/>
    </row>
    <row r="53" spans="1:19" x14ac:dyDescent="0.3">
      <c r="A53" s="33" t="str">
        <f>'Forecast drivers'!A52</f>
        <v>YKY</v>
      </c>
      <c r="B53" s="49">
        <f>'Forecast drivers'!B52</f>
        <v>2022</v>
      </c>
      <c r="C53" s="33" t="str">
        <f>'Forecast drivers'!C52</f>
        <v>YKY22</v>
      </c>
      <c r="D53" s="42">
        <f>EXP(Coeffs!$D$12+(Coeffs!$D$5*'Forecast drivers'!D52)+(Coeffs!$D$6*'Forecast drivers'!F52)+(Coeffs!$D$8*'Forecast drivers'!I52)+(Coeffs!$D$9*'Forecast drivers'!J52))</f>
        <v>125.6373856112984</v>
      </c>
      <c r="E53" s="42">
        <f>EXP(Coeffs!$E$12+(Coeffs!$E$5*'Forecast drivers'!D52)+(Coeffs!$E$7*'Forecast drivers'!G52)+(Coeffs!$E$8*'Forecast drivers'!I52)+(Coeffs!$E$9*'Forecast drivers'!J52))</f>
        <v>122.65367674863261</v>
      </c>
      <c r="F53" s="42">
        <f>EXP(Coeffs!$F$12+(Coeffs!$F$8*'Forecast drivers'!I52)+(Coeffs!$F$9*'Forecast drivers'!J52)+(Coeffs!$F$10*'Forecast drivers'!E52)+(Coeffs!$F$11*'Forecast drivers'!H52))</f>
        <v>149.48043225494462</v>
      </c>
      <c r="G53" s="42">
        <f>EXP(Coeffs!$G$12+(Coeffs!$G$5*'Forecast drivers'!D52)+(Coeffs!$G$6*'Forecast drivers'!F52)+(Coeffs!$G$8*'Forecast drivers'!I52)+(Coeffs!$G$9*'Forecast drivers'!J52)+(Coeffs!$G$11*'Forecast drivers'!H52))</f>
        <v>302.05929381557564</v>
      </c>
      <c r="H53" s="42">
        <f>EXP(Coeffs!$H$12+(Coeffs!$H$5*'Forecast drivers'!D52)+(Coeffs!$H$7*'Forecast drivers'!G52)+(Coeffs!$H$8*'Forecast drivers'!I52)+(Coeffs!$H$9*'Forecast drivers'!J52)+(Coeffs!$H$11*'Forecast drivers'!H52))</f>
        <v>298.91231352346938</v>
      </c>
      <c r="J53" s="42">
        <f t="shared" si="8"/>
        <v>124.1455311799655</v>
      </c>
      <c r="K53" s="42">
        <f t="shared" si="9"/>
        <v>149.48043225494462</v>
      </c>
      <c r="L53" s="43">
        <f t="shared" si="10"/>
        <v>273.62596343491009</v>
      </c>
      <c r="M53" s="43">
        <f t="shared" si="11"/>
        <v>300.48580366952251</v>
      </c>
      <c r="N53" s="60">
        <f t="shared" si="5"/>
        <v>287.0558835522163</v>
      </c>
      <c r="O53" s="17"/>
      <c r="P53" s="43">
        <f>Controls!$G$10*N53</f>
        <v>273.85940055999134</v>
      </c>
      <c r="Q53" s="93">
        <f>(INDEX(Controls!$G$13:$G$17,MATCH($B53,Controls!$C$13:$C$17,0),0))*$P53</f>
        <v>-5.6028929831003884</v>
      </c>
      <c r="R53" s="60">
        <f t="shared" si="6"/>
        <v>268.25650757689095</v>
      </c>
      <c r="S53" s="233"/>
    </row>
    <row r="54" spans="1:19" x14ac:dyDescent="0.3">
      <c r="A54" s="33" t="str">
        <f>'Forecast drivers'!A53</f>
        <v>YKY</v>
      </c>
      <c r="B54" s="49">
        <f>'Forecast drivers'!B53</f>
        <v>2023</v>
      </c>
      <c r="C54" s="33" t="str">
        <f>'Forecast drivers'!C53</f>
        <v>YKY23</v>
      </c>
      <c r="D54" s="42">
        <f>EXP(Coeffs!$D$12+(Coeffs!$D$5*'Forecast drivers'!D53)+(Coeffs!$D$6*'Forecast drivers'!F53)+(Coeffs!$D$8*'Forecast drivers'!I53)+(Coeffs!$D$9*'Forecast drivers'!J53))</f>
        <v>126.23146611855185</v>
      </c>
      <c r="E54" s="42">
        <f>EXP(Coeffs!$E$12+(Coeffs!$E$5*'Forecast drivers'!D53)+(Coeffs!$E$7*'Forecast drivers'!G53)+(Coeffs!$E$8*'Forecast drivers'!I53)+(Coeffs!$E$9*'Forecast drivers'!J53))</f>
        <v>123.52217655303505</v>
      </c>
      <c r="F54" s="42">
        <f>EXP(Coeffs!$F$12+(Coeffs!$F$8*'Forecast drivers'!I53)+(Coeffs!$F$9*'Forecast drivers'!J53)+(Coeffs!$F$10*'Forecast drivers'!E53)+(Coeffs!$F$11*'Forecast drivers'!H53))</f>
        <v>149.79627565118417</v>
      </c>
      <c r="G54" s="42">
        <f>EXP(Coeffs!$G$12+(Coeffs!$G$5*'Forecast drivers'!D53)+(Coeffs!$G$6*'Forecast drivers'!F53)+(Coeffs!$G$8*'Forecast drivers'!I53)+(Coeffs!$G$9*'Forecast drivers'!J53)+(Coeffs!$G$11*'Forecast drivers'!H53))</f>
        <v>303.34155374670172</v>
      </c>
      <c r="H54" s="42">
        <f>EXP(Coeffs!$H$12+(Coeffs!$H$5*'Forecast drivers'!D53)+(Coeffs!$H$7*'Forecast drivers'!G53)+(Coeffs!$H$8*'Forecast drivers'!I53)+(Coeffs!$H$9*'Forecast drivers'!J53)+(Coeffs!$H$11*'Forecast drivers'!H53))</f>
        <v>300.98671718008546</v>
      </c>
      <c r="J54" s="42">
        <f t="shared" si="8"/>
        <v>124.87682133579345</v>
      </c>
      <c r="K54" s="42">
        <f t="shared" si="9"/>
        <v>149.79627565118417</v>
      </c>
      <c r="L54" s="43">
        <f t="shared" si="10"/>
        <v>274.67309698697761</v>
      </c>
      <c r="M54" s="43">
        <f t="shared" si="11"/>
        <v>302.16413546339356</v>
      </c>
      <c r="N54" s="60">
        <f t="shared" si="5"/>
        <v>288.41861622518559</v>
      </c>
      <c r="O54" s="17"/>
      <c r="P54" s="43">
        <f>Controls!$G$10*N54</f>
        <v>275.15948592429288</v>
      </c>
      <c r="Q54" s="93">
        <f>(INDEX(Controls!$G$13:$G$17,MATCH($B54,Controls!$C$13:$C$17,0),0))*$P54</f>
        <v>-7.3814364103250067</v>
      </c>
      <c r="R54" s="60">
        <f t="shared" si="6"/>
        <v>267.77804951396786</v>
      </c>
      <c r="S54" s="233"/>
    </row>
    <row r="55" spans="1:19" x14ac:dyDescent="0.3">
      <c r="A55" s="33" t="str">
        <f>'Forecast drivers'!A54</f>
        <v>YKY</v>
      </c>
      <c r="B55" s="49">
        <f>'Forecast drivers'!B54</f>
        <v>2024</v>
      </c>
      <c r="C55" s="33" t="str">
        <f>'Forecast drivers'!C54</f>
        <v>YKY24</v>
      </c>
      <c r="D55" s="42">
        <f>EXP(Coeffs!$D$12+(Coeffs!$D$5*'Forecast drivers'!D54)+(Coeffs!$D$6*'Forecast drivers'!F54)+(Coeffs!$D$8*'Forecast drivers'!I54)+(Coeffs!$D$9*'Forecast drivers'!J54))</f>
        <v>126.80152425700621</v>
      </c>
      <c r="E55" s="42">
        <f>EXP(Coeffs!$E$12+(Coeffs!$E$5*'Forecast drivers'!D54)+(Coeffs!$E$7*'Forecast drivers'!G54)+(Coeffs!$E$8*'Forecast drivers'!I54)+(Coeffs!$E$9*'Forecast drivers'!J54))</f>
        <v>126.86691345291965</v>
      </c>
      <c r="F55" s="42">
        <f>EXP(Coeffs!$F$12+(Coeffs!$F$8*'Forecast drivers'!I54)+(Coeffs!$F$9*'Forecast drivers'!J54)+(Coeffs!$F$10*'Forecast drivers'!E54)+(Coeffs!$F$11*'Forecast drivers'!H54))</f>
        <v>150.11809148897206</v>
      </c>
      <c r="G55" s="42">
        <f>EXP(Coeffs!$G$12+(Coeffs!$G$5*'Forecast drivers'!D54)+(Coeffs!$G$6*'Forecast drivers'!F54)+(Coeffs!$G$8*'Forecast drivers'!I54)+(Coeffs!$G$9*'Forecast drivers'!J54)+(Coeffs!$G$11*'Forecast drivers'!H54))</f>
        <v>304.56537610347283</v>
      </c>
      <c r="H55" s="42">
        <f>EXP(Coeffs!$H$12+(Coeffs!$H$5*'Forecast drivers'!D54)+(Coeffs!$H$7*'Forecast drivers'!G54)+(Coeffs!$H$8*'Forecast drivers'!I54)+(Coeffs!$H$9*'Forecast drivers'!J54)+(Coeffs!$H$11*'Forecast drivers'!H54))</f>
        <v>310.13505515206043</v>
      </c>
      <c r="J55" s="42">
        <f t="shared" si="8"/>
        <v>126.83421885496293</v>
      </c>
      <c r="K55" s="42">
        <f t="shared" si="9"/>
        <v>150.11809148897206</v>
      </c>
      <c r="L55" s="43">
        <f t="shared" si="10"/>
        <v>276.95231034393498</v>
      </c>
      <c r="M55" s="43">
        <f t="shared" si="11"/>
        <v>307.3502156277666</v>
      </c>
      <c r="N55" s="60">
        <f t="shared" si="5"/>
        <v>292.15126298585079</v>
      </c>
      <c r="O55" s="17"/>
      <c r="P55" s="43">
        <f>Controls!$G$10*N55</f>
        <v>278.72053609936103</v>
      </c>
      <c r="Q55" s="93">
        <f>(INDEX(Controls!$G$13:$G$17,MATCH($B55,Controls!$C$13:$C$17,0),0))*$P55</f>
        <v>-9.104426671502976</v>
      </c>
      <c r="R55" s="60">
        <f t="shared" si="6"/>
        <v>269.61610942785808</v>
      </c>
      <c r="S55" s="233"/>
    </row>
    <row r="56" spans="1:19" x14ac:dyDescent="0.3">
      <c r="A56" s="33" t="str">
        <f>'Forecast drivers'!A55</f>
        <v>YKY</v>
      </c>
      <c r="B56" s="49">
        <f>'Forecast drivers'!B55</f>
        <v>2025</v>
      </c>
      <c r="C56" s="33" t="str">
        <f>'Forecast drivers'!C55</f>
        <v>YKY25</v>
      </c>
      <c r="D56" s="42">
        <f>EXP(Coeffs!$D$12+(Coeffs!$D$5*'Forecast drivers'!D55)+(Coeffs!$D$6*'Forecast drivers'!F55)+(Coeffs!$D$8*'Forecast drivers'!I55)+(Coeffs!$D$9*'Forecast drivers'!J55))</f>
        <v>127.36986351026525</v>
      </c>
      <c r="E56" s="42">
        <f>EXP(Coeffs!$E$12+(Coeffs!$E$5*'Forecast drivers'!D55)+(Coeffs!$E$7*'Forecast drivers'!G55)+(Coeffs!$E$8*'Forecast drivers'!I55)+(Coeffs!$E$9*'Forecast drivers'!J55))</f>
        <v>127.4747104396004</v>
      </c>
      <c r="F56" s="42">
        <f>EXP(Coeffs!$F$12+(Coeffs!$F$8*'Forecast drivers'!I55)+(Coeffs!$F$9*'Forecast drivers'!J55)+(Coeffs!$F$10*'Forecast drivers'!E55)+(Coeffs!$F$11*'Forecast drivers'!H55))</f>
        <v>150.43952796521802</v>
      </c>
      <c r="G56" s="42">
        <f>EXP(Coeffs!$G$12+(Coeffs!$G$5*'Forecast drivers'!D55)+(Coeffs!$G$6*'Forecast drivers'!F55)+(Coeffs!$G$8*'Forecast drivers'!I55)+(Coeffs!$G$9*'Forecast drivers'!J55)+(Coeffs!$G$11*'Forecast drivers'!H55))</f>
        <v>305.78517065997892</v>
      </c>
      <c r="H56" s="42">
        <f>EXP(Coeffs!$H$12+(Coeffs!$H$5*'Forecast drivers'!D55)+(Coeffs!$H$7*'Forecast drivers'!G55)+(Coeffs!$H$8*'Forecast drivers'!I55)+(Coeffs!$H$9*'Forecast drivers'!J55)+(Coeffs!$H$11*'Forecast drivers'!H55))</f>
        <v>311.47637274124747</v>
      </c>
      <c r="J56" s="42">
        <f t="shared" si="8"/>
        <v>127.42228697493283</v>
      </c>
      <c r="K56" s="42">
        <f t="shared" si="9"/>
        <v>150.43952796521802</v>
      </c>
      <c r="L56" s="43">
        <f t="shared" si="10"/>
        <v>277.86181494015085</v>
      </c>
      <c r="M56" s="43">
        <f t="shared" si="11"/>
        <v>308.6307717006132</v>
      </c>
      <c r="N56" s="60">
        <f t="shared" si="5"/>
        <v>293.24629332038205</v>
      </c>
      <c r="O56" s="17"/>
      <c r="P56" s="43">
        <f>Controls!$G$10*N56</f>
        <v>279.76522589041764</v>
      </c>
      <c r="Q56" s="93">
        <f>(INDEX(Controls!$G$13:$G$17,MATCH($B56,Controls!$C$13:$C$17,0),0))*$P56</f>
        <v>-10.654060916203001</v>
      </c>
      <c r="R56" s="60">
        <f t="shared" si="6"/>
        <v>269.11116497421466</v>
      </c>
      <c r="S56" s="233"/>
    </row>
    <row r="57" spans="1:19" x14ac:dyDescent="0.3">
      <c r="A57" s="33" t="str">
        <f>'Forecast drivers'!A56</f>
        <v>AFW</v>
      </c>
      <c r="B57" s="49">
        <f>'Forecast drivers'!B56</f>
        <v>2021</v>
      </c>
      <c r="C57" s="33" t="str">
        <f>'Forecast drivers'!C56</f>
        <v>AFW21</v>
      </c>
      <c r="D57" s="42">
        <f>EXP(Coeffs!$D$12+(Coeffs!$D$5*'Forecast drivers'!D56)+(Coeffs!$D$6*'Forecast drivers'!F56)+(Coeffs!$D$8*'Forecast drivers'!I56)+(Coeffs!$D$9*'Forecast drivers'!J56))</f>
        <v>74.265206522786585</v>
      </c>
      <c r="E57" s="42">
        <f>EXP(Coeffs!$E$12+(Coeffs!$E$5*'Forecast drivers'!D56)+(Coeffs!$E$7*'Forecast drivers'!G56)+(Coeffs!$E$8*'Forecast drivers'!I56)+(Coeffs!$E$9*'Forecast drivers'!J56))</f>
        <v>73.400717896254804</v>
      </c>
      <c r="F57" s="42">
        <f>EXP(Coeffs!$F$12+(Coeffs!$F$8*'Forecast drivers'!I56)+(Coeffs!$F$9*'Forecast drivers'!J56)+(Coeffs!$F$10*'Forecast drivers'!E56)+(Coeffs!$F$11*'Forecast drivers'!H56))</f>
        <v>129.78759347090832</v>
      </c>
      <c r="G57" s="42">
        <f>EXP(Coeffs!$G$12+(Coeffs!$G$5*'Forecast drivers'!D56)+(Coeffs!$G$6*'Forecast drivers'!F56)+(Coeffs!$G$8*'Forecast drivers'!I56)+(Coeffs!$G$9*'Forecast drivers'!J56)+(Coeffs!$G$11*'Forecast drivers'!H56))</f>
        <v>212.6671891890565</v>
      </c>
      <c r="H57" s="42">
        <f>EXP(Coeffs!$H$12+(Coeffs!$H$5*'Forecast drivers'!D56)+(Coeffs!$H$7*'Forecast drivers'!G56)+(Coeffs!$H$8*'Forecast drivers'!I56)+(Coeffs!$H$9*'Forecast drivers'!J56)+(Coeffs!$H$11*'Forecast drivers'!H56))</f>
        <v>219.28026688175274</v>
      </c>
      <c r="J57" s="42">
        <f t="shared" si="8"/>
        <v>73.832962209520701</v>
      </c>
      <c r="K57" s="42">
        <f t="shared" si="9"/>
        <v>129.78759347090832</v>
      </c>
      <c r="L57" s="43">
        <f t="shared" si="10"/>
        <v>203.62055568042902</v>
      </c>
      <c r="M57" s="43">
        <f t="shared" si="11"/>
        <v>215.97372803540463</v>
      </c>
      <c r="N57" s="60">
        <f t="shared" si="5"/>
        <v>209.79714185791681</v>
      </c>
      <c r="O57" s="17"/>
      <c r="P57" s="43">
        <f>Controls!$G$10*N57</f>
        <v>200.15238425850745</v>
      </c>
      <c r="Q57" s="93">
        <f>(INDEX(Controls!$G$13:$G$17,MATCH($B57,Controls!$C$13:$C$17,0),0))*$P57</f>
        <v>-2.7724747993196925</v>
      </c>
      <c r="R57" s="60">
        <f t="shared" si="6"/>
        <v>197.37990945918776</v>
      </c>
      <c r="S57" s="233"/>
    </row>
    <row r="58" spans="1:19" x14ac:dyDescent="0.3">
      <c r="A58" s="33" t="str">
        <f>'Forecast drivers'!A57</f>
        <v>AFW</v>
      </c>
      <c r="B58" s="49">
        <f>'Forecast drivers'!B57</f>
        <v>2022</v>
      </c>
      <c r="C58" s="33" t="str">
        <f>'Forecast drivers'!C57</f>
        <v>AFW22</v>
      </c>
      <c r="D58" s="42">
        <f>EXP(Coeffs!$D$12+(Coeffs!$D$5*'Forecast drivers'!D57)+(Coeffs!$D$6*'Forecast drivers'!F57)+(Coeffs!$D$8*'Forecast drivers'!I57)+(Coeffs!$D$9*'Forecast drivers'!J57))</f>
        <v>74.814278161920029</v>
      </c>
      <c r="E58" s="42">
        <f>EXP(Coeffs!$E$12+(Coeffs!$E$5*'Forecast drivers'!D57)+(Coeffs!$E$7*'Forecast drivers'!G57)+(Coeffs!$E$8*'Forecast drivers'!I57)+(Coeffs!$E$9*'Forecast drivers'!J57))</f>
        <v>73.909345258603167</v>
      </c>
      <c r="F58" s="42">
        <f>EXP(Coeffs!$F$12+(Coeffs!$F$8*'Forecast drivers'!I57)+(Coeffs!$F$9*'Forecast drivers'!J57)+(Coeffs!$F$10*'Forecast drivers'!E57)+(Coeffs!$F$11*'Forecast drivers'!H57))</f>
        <v>130.42493836858009</v>
      </c>
      <c r="G58" s="42">
        <f>EXP(Coeffs!$G$12+(Coeffs!$G$5*'Forecast drivers'!D57)+(Coeffs!$G$6*'Forecast drivers'!F57)+(Coeffs!$G$8*'Forecast drivers'!I57)+(Coeffs!$G$9*'Forecast drivers'!J57)+(Coeffs!$G$11*'Forecast drivers'!H57))</f>
        <v>214.22149809333158</v>
      </c>
      <c r="H58" s="42">
        <f>EXP(Coeffs!$H$12+(Coeffs!$H$5*'Forecast drivers'!D57)+(Coeffs!$H$7*'Forecast drivers'!G57)+(Coeffs!$H$8*'Forecast drivers'!I57)+(Coeffs!$H$9*'Forecast drivers'!J57)+(Coeffs!$H$11*'Forecast drivers'!H57))</f>
        <v>220.8043423698374</v>
      </c>
      <c r="J58" s="42">
        <f t="shared" si="8"/>
        <v>74.361811710261605</v>
      </c>
      <c r="K58" s="42">
        <f t="shared" si="9"/>
        <v>130.42493836858009</v>
      </c>
      <c r="L58" s="43">
        <f t="shared" si="10"/>
        <v>204.78675007884169</v>
      </c>
      <c r="M58" s="43">
        <f t="shared" si="11"/>
        <v>217.51292023158447</v>
      </c>
      <c r="N58" s="60">
        <f t="shared" si="5"/>
        <v>211.14983515521308</v>
      </c>
      <c r="O58" s="17"/>
      <c r="P58" s="43">
        <f>Controls!$G$10*N58</f>
        <v>201.44289177556271</v>
      </c>
      <c r="Q58" s="93">
        <f>(INDEX(Controls!$G$13:$G$17,MATCH($B58,Controls!$C$13:$C$17,0),0))*$P58</f>
        <v>-4.1213227025139405</v>
      </c>
      <c r="R58" s="60">
        <f t="shared" si="6"/>
        <v>197.32156907304878</v>
      </c>
      <c r="S58" s="233"/>
    </row>
    <row r="59" spans="1:19" x14ac:dyDescent="0.3">
      <c r="A59" s="33" t="str">
        <f>'Forecast drivers'!A58</f>
        <v>AFW</v>
      </c>
      <c r="B59" s="49">
        <f>'Forecast drivers'!B58</f>
        <v>2023</v>
      </c>
      <c r="C59" s="33" t="str">
        <f>'Forecast drivers'!C58</f>
        <v>AFW23</v>
      </c>
      <c r="D59" s="42">
        <f>EXP(Coeffs!$D$12+(Coeffs!$D$5*'Forecast drivers'!D58)+(Coeffs!$D$6*'Forecast drivers'!F58)+(Coeffs!$D$8*'Forecast drivers'!I58)+(Coeffs!$D$9*'Forecast drivers'!J58))</f>
        <v>75.372817161575085</v>
      </c>
      <c r="E59" s="42">
        <f>EXP(Coeffs!$E$12+(Coeffs!$E$5*'Forecast drivers'!D58)+(Coeffs!$E$7*'Forecast drivers'!G58)+(Coeffs!$E$8*'Forecast drivers'!I58)+(Coeffs!$E$9*'Forecast drivers'!J58))</f>
        <v>74.727510983742761</v>
      </c>
      <c r="F59" s="42">
        <f>EXP(Coeffs!$F$12+(Coeffs!$F$8*'Forecast drivers'!I58)+(Coeffs!$F$9*'Forecast drivers'!J58)+(Coeffs!$F$10*'Forecast drivers'!E58)+(Coeffs!$F$11*'Forecast drivers'!H58))</f>
        <v>131.02239544566052</v>
      </c>
      <c r="G59" s="42">
        <f>EXP(Coeffs!$G$12+(Coeffs!$G$5*'Forecast drivers'!D58)+(Coeffs!$G$6*'Forecast drivers'!F58)+(Coeffs!$G$8*'Forecast drivers'!I58)+(Coeffs!$G$9*'Forecast drivers'!J58)+(Coeffs!$G$11*'Forecast drivers'!H58))</f>
        <v>215.97696593328371</v>
      </c>
      <c r="H59" s="42">
        <f>EXP(Coeffs!$H$12+(Coeffs!$H$5*'Forecast drivers'!D58)+(Coeffs!$H$7*'Forecast drivers'!G58)+(Coeffs!$H$8*'Forecast drivers'!I58)+(Coeffs!$H$9*'Forecast drivers'!J58)+(Coeffs!$H$11*'Forecast drivers'!H58))</f>
        <v>223.28342283259386</v>
      </c>
      <c r="J59" s="42">
        <f t="shared" si="8"/>
        <v>75.05016407265893</v>
      </c>
      <c r="K59" s="42">
        <f t="shared" si="9"/>
        <v>131.02239544566052</v>
      </c>
      <c r="L59" s="43">
        <f t="shared" si="10"/>
        <v>206.07255951831945</v>
      </c>
      <c r="M59" s="43">
        <f t="shared" si="11"/>
        <v>219.63019438293878</v>
      </c>
      <c r="N59" s="60">
        <f t="shared" si="5"/>
        <v>212.85137695062912</v>
      </c>
      <c r="O59" s="17"/>
      <c r="P59" s="43">
        <f>Controls!$G$10*N59</f>
        <v>203.06621058845039</v>
      </c>
      <c r="Q59" s="93">
        <f>(INDEX(Controls!$G$13:$G$17,MATCH($B59,Controls!$C$13:$C$17,0),0))*$P59</f>
        <v>-5.4474600994011331</v>
      </c>
      <c r="R59" s="60">
        <f t="shared" si="6"/>
        <v>197.61875048904926</v>
      </c>
      <c r="S59" s="233"/>
    </row>
    <row r="60" spans="1:19" x14ac:dyDescent="0.3">
      <c r="A60" s="33" t="str">
        <f>'Forecast drivers'!A59</f>
        <v>AFW</v>
      </c>
      <c r="B60" s="49">
        <f>'Forecast drivers'!B59</f>
        <v>2024</v>
      </c>
      <c r="C60" s="33" t="str">
        <f>'Forecast drivers'!C59</f>
        <v>AFW24</v>
      </c>
      <c r="D60" s="42">
        <f>EXP(Coeffs!$D$12+(Coeffs!$D$5*'Forecast drivers'!D59)+(Coeffs!$D$6*'Forecast drivers'!F59)+(Coeffs!$D$8*'Forecast drivers'!I59)+(Coeffs!$D$9*'Forecast drivers'!J59))</f>
        <v>76.117599754598942</v>
      </c>
      <c r="E60" s="42">
        <f>EXP(Coeffs!$E$12+(Coeffs!$E$5*'Forecast drivers'!D59)+(Coeffs!$E$7*'Forecast drivers'!G59)+(Coeffs!$E$8*'Forecast drivers'!I59)+(Coeffs!$E$9*'Forecast drivers'!J59))</f>
        <v>75.324271765211776</v>
      </c>
      <c r="F60" s="42">
        <f>EXP(Coeffs!$F$12+(Coeffs!$F$8*'Forecast drivers'!I59)+(Coeffs!$F$9*'Forecast drivers'!J59)+(Coeffs!$F$10*'Forecast drivers'!E59)+(Coeffs!$F$11*'Forecast drivers'!H59))</f>
        <v>131.57922779040703</v>
      </c>
      <c r="G60" s="42">
        <f>EXP(Coeffs!$G$12+(Coeffs!$G$5*'Forecast drivers'!D59)+(Coeffs!$G$6*'Forecast drivers'!F59)+(Coeffs!$G$8*'Forecast drivers'!I59)+(Coeffs!$G$9*'Forecast drivers'!J59)+(Coeffs!$G$11*'Forecast drivers'!H59))</f>
        <v>218.0135879128168</v>
      </c>
      <c r="H60" s="42">
        <f>EXP(Coeffs!$H$12+(Coeffs!$H$5*'Forecast drivers'!D59)+(Coeffs!$H$7*'Forecast drivers'!G59)+(Coeffs!$H$8*'Forecast drivers'!I59)+(Coeffs!$H$9*'Forecast drivers'!J59)+(Coeffs!$H$11*'Forecast drivers'!H59))</f>
        <v>224.94652884691402</v>
      </c>
      <c r="J60" s="42">
        <f t="shared" si="8"/>
        <v>75.720935759905359</v>
      </c>
      <c r="K60" s="42">
        <f t="shared" si="9"/>
        <v>131.57922779040703</v>
      </c>
      <c r="L60" s="43">
        <f t="shared" si="10"/>
        <v>207.30016355031239</v>
      </c>
      <c r="M60" s="43">
        <f t="shared" si="11"/>
        <v>221.4800583798654</v>
      </c>
      <c r="N60" s="60">
        <f t="shared" si="5"/>
        <v>214.39011096508889</v>
      </c>
      <c r="O60" s="17"/>
      <c r="P60" s="43">
        <f>Controls!$G$10*N60</f>
        <v>204.5342061912807</v>
      </c>
      <c r="Q60" s="93">
        <f>(INDEX(Controls!$G$13:$G$17,MATCH($B60,Controls!$C$13:$C$17,0),0))*$P60</f>
        <v>-6.6811247859351912</v>
      </c>
      <c r="R60" s="60">
        <f t="shared" si="6"/>
        <v>197.85308140534551</v>
      </c>
      <c r="S60" s="233"/>
    </row>
    <row r="61" spans="1:19" x14ac:dyDescent="0.3">
      <c r="A61" s="33" t="str">
        <f>'Forecast drivers'!A60</f>
        <v>AFW</v>
      </c>
      <c r="B61" s="49">
        <f>'Forecast drivers'!B60</f>
        <v>2025</v>
      </c>
      <c r="C61" s="33" t="str">
        <f>'Forecast drivers'!C60</f>
        <v>AFW25</v>
      </c>
      <c r="D61" s="42">
        <f>EXP(Coeffs!$D$12+(Coeffs!$D$5*'Forecast drivers'!D60)+(Coeffs!$D$6*'Forecast drivers'!F60)+(Coeffs!$D$8*'Forecast drivers'!I60)+(Coeffs!$D$9*'Forecast drivers'!J60))</f>
        <v>76.869031060764513</v>
      </c>
      <c r="E61" s="42">
        <f>EXP(Coeffs!$E$12+(Coeffs!$E$5*'Forecast drivers'!D60)+(Coeffs!$E$7*'Forecast drivers'!G60)+(Coeffs!$E$8*'Forecast drivers'!I60)+(Coeffs!$E$9*'Forecast drivers'!J60))</f>
        <v>75.988005461729657</v>
      </c>
      <c r="F61" s="42">
        <f>EXP(Coeffs!$F$12+(Coeffs!$F$8*'Forecast drivers'!I60)+(Coeffs!$F$9*'Forecast drivers'!J60)+(Coeffs!$F$10*'Forecast drivers'!E60)+(Coeffs!$F$11*'Forecast drivers'!H60))</f>
        <v>132.07246274905197</v>
      </c>
      <c r="G61" s="42">
        <f>EXP(Coeffs!$G$12+(Coeffs!$G$5*'Forecast drivers'!D60)+(Coeffs!$G$6*'Forecast drivers'!F60)+(Coeffs!$G$8*'Forecast drivers'!I60)+(Coeffs!$G$9*'Forecast drivers'!J60)+(Coeffs!$G$11*'Forecast drivers'!H60))</f>
        <v>220.04613000536895</v>
      </c>
      <c r="H61" s="42">
        <f>EXP(Coeffs!$H$12+(Coeffs!$H$5*'Forecast drivers'!D60)+(Coeffs!$H$7*'Forecast drivers'!G60)+(Coeffs!$H$8*'Forecast drivers'!I60)+(Coeffs!$H$9*'Forecast drivers'!J60)+(Coeffs!$H$11*'Forecast drivers'!H60))</f>
        <v>226.83698902971469</v>
      </c>
      <c r="J61" s="42">
        <f t="shared" si="8"/>
        <v>76.428518261247092</v>
      </c>
      <c r="K61" s="42">
        <f t="shared" si="9"/>
        <v>132.07246274905197</v>
      </c>
      <c r="L61" s="43">
        <f t="shared" si="10"/>
        <v>208.50098101029906</v>
      </c>
      <c r="M61" s="43">
        <f t="shared" si="11"/>
        <v>223.4415595175418</v>
      </c>
      <c r="N61" s="60">
        <f t="shared" si="5"/>
        <v>215.97127026392042</v>
      </c>
      <c r="O61" s="17"/>
      <c r="P61" s="43">
        <f>Controls!$G$10*N61</f>
        <v>206.0426767107121</v>
      </c>
      <c r="Q61" s="93">
        <f>(INDEX(Controls!$G$13:$G$17,MATCH($B61,Controls!$C$13:$C$17,0),0))*$P61</f>
        <v>-7.8465478403427147</v>
      </c>
      <c r="R61" s="60">
        <f t="shared" si="6"/>
        <v>198.19612887036939</v>
      </c>
      <c r="S61" s="233"/>
    </row>
    <row r="62" spans="1:19" x14ac:dyDescent="0.3">
      <c r="A62" s="33" t="str">
        <f>'Forecast drivers'!A61</f>
        <v>BRL</v>
      </c>
      <c r="B62" s="49">
        <f>'Forecast drivers'!B61</f>
        <v>2021</v>
      </c>
      <c r="C62" s="33" t="str">
        <f>'Forecast drivers'!C61</f>
        <v>BRL21</v>
      </c>
      <c r="D62" s="42">
        <f>EXP(Coeffs!$D$12+(Coeffs!$D$5*'Forecast drivers'!D61)+(Coeffs!$D$6*'Forecast drivers'!F61)+(Coeffs!$D$8*'Forecast drivers'!I61)+(Coeffs!$D$9*'Forecast drivers'!J61))</f>
        <v>27.440141088678722</v>
      </c>
      <c r="E62" s="42">
        <f>EXP(Coeffs!$E$12+(Coeffs!$E$5*'Forecast drivers'!D61)+(Coeffs!$E$7*'Forecast drivers'!G61)+(Coeffs!$E$8*'Forecast drivers'!I61)+(Coeffs!$E$9*'Forecast drivers'!J61))</f>
        <v>27.707770941617756</v>
      </c>
      <c r="F62" s="42">
        <f>EXP(Coeffs!$F$12+(Coeffs!$F$8*'Forecast drivers'!I61)+(Coeffs!$F$9*'Forecast drivers'!J61)+(Coeffs!$F$10*'Forecast drivers'!E61)+(Coeffs!$F$11*'Forecast drivers'!H61))</f>
        <v>39.925634512435678</v>
      </c>
      <c r="G62" s="42">
        <f>EXP(Coeffs!$G$12+(Coeffs!$G$5*'Forecast drivers'!D61)+(Coeffs!$G$6*'Forecast drivers'!F61)+(Coeffs!$G$8*'Forecast drivers'!I61)+(Coeffs!$G$9*'Forecast drivers'!J61)+(Coeffs!$G$11*'Forecast drivers'!H61))</f>
        <v>70.569806644502364</v>
      </c>
      <c r="H62" s="42">
        <f>EXP(Coeffs!$H$12+(Coeffs!$H$5*'Forecast drivers'!D61)+(Coeffs!$H$7*'Forecast drivers'!G61)+(Coeffs!$H$8*'Forecast drivers'!I61)+(Coeffs!$H$9*'Forecast drivers'!J61)+(Coeffs!$H$11*'Forecast drivers'!H61))</f>
        <v>75.49658804708983</v>
      </c>
      <c r="J62" s="42">
        <f t="shared" si="8"/>
        <v>27.573956015148241</v>
      </c>
      <c r="K62" s="42">
        <f t="shared" si="9"/>
        <v>39.925634512435678</v>
      </c>
      <c r="L62" s="43">
        <f t="shared" si="10"/>
        <v>67.499590527583919</v>
      </c>
      <c r="M62" s="43">
        <f t="shared" si="11"/>
        <v>73.033197345796097</v>
      </c>
      <c r="N62" s="60">
        <f t="shared" si="5"/>
        <v>70.266393936690008</v>
      </c>
      <c r="O62" s="17"/>
      <c r="P62" s="43">
        <f>Controls!$G$10*N62</f>
        <v>67.036119534939814</v>
      </c>
      <c r="Q62" s="93">
        <f>(INDEX(Controls!$G$13:$G$17,MATCH($B62,Controls!$C$13:$C$17,0),0))*$P62</f>
        <v>-0.92857226129647474</v>
      </c>
      <c r="R62" s="60">
        <f t="shared" si="6"/>
        <v>66.107547273643334</v>
      </c>
      <c r="S62" s="233"/>
    </row>
    <row r="63" spans="1:19" x14ac:dyDescent="0.3">
      <c r="A63" s="33" t="str">
        <f>'Forecast drivers'!A62</f>
        <v>BRL</v>
      </c>
      <c r="B63" s="49">
        <f>'Forecast drivers'!B62</f>
        <v>2022</v>
      </c>
      <c r="C63" s="33" t="str">
        <f>'Forecast drivers'!C62</f>
        <v>BRL22</v>
      </c>
      <c r="D63" s="42">
        <f>EXP(Coeffs!$D$12+(Coeffs!$D$5*'Forecast drivers'!D62)+(Coeffs!$D$6*'Forecast drivers'!F62)+(Coeffs!$D$8*'Forecast drivers'!I62)+(Coeffs!$D$9*'Forecast drivers'!J62))</f>
        <v>27.647504102588538</v>
      </c>
      <c r="E63" s="42">
        <f>EXP(Coeffs!$E$12+(Coeffs!$E$5*'Forecast drivers'!D62)+(Coeffs!$E$7*'Forecast drivers'!G62)+(Coeffs!$E$8*'Forecast drivers'!I62)+(Coeffs!$E$9*'Forecast drivers'!J62))</f>
        <v>27.905179750240944</v>
      </c>
      <c r="F63" s="42">
        <f>EXP(Coeffs!$F$12+(Coeffs!$F$8*'Forecast drivers'!I62)+(Coeffs!$F$9*'Forecast drivers'!J62)+(Coeffs!$F$10*'Forecast drivers'!E62)+(Coeffs!$F$11*'Forecast drivers'!H62))</f>
        <v>40.32530087265576</v>
      </c>
      <c r="G63" s="42">
        <f>EXP(Coeffs!$G$12+(Coeffs!$G$5*'Forecast drivers'!D62)+(Coeffs!$G$6*'Forecast drivers'!F62)+(Coeffs!$G$8*'Forecast drivers'!I62)+(Coeffs!$G$9*'Forecast drivers'!J62)+(Coeffs!$G$11*'Forecast drivers'!H62))</f>
        <v>71.270246628569623</v>
      </c>
      <c r="H63" s="42">
        <f>EXP(Coeffs!$H$12+(Coeffs!$H$5*'Forecast drivers'!D62)+(Coeffs!$H$7*'Forecast drivers'!G62)+(Coeffs!$H$8*'Forecast drivers'!I62)+(Coeffs!$H$9*'Forecast drivers'!J62)+(Coeffs!$H$11*'Forecast drivers'!H62))</f>
        <v>76.219709752463203</v>
      </c>
      <c r="J63" s="42">
        <f t="shared" si="8"/>
        <v>27.776341926414741</v>
      </c>
      <c r="K63" s="42">
        <f t="shared" si="9"/>
        <v>40.32530087265576</v>
      </c>
      <c r="L63" s="43">
        <f t="shared" si="10"/>
        <v>68.101642799070504</v>
      </c>
      <c r="M63" s="43">
        <f t="shared" si="11"/>
        <v>73.744978190516406</v>
      </c>
      <c r="N63" s="60">
        <f t="shared" si="5"/>
        <v>70.923310494793455</v>
      </c>
      <c r="O63" s="17"/>
      <c r="P63" s="43">
        <f>Controls!$G$10*N63</f>
        <v>67.662836439655052</v>
      </c>
      <c r="Q63" s="93">
        <f>(INDEX(Controls!$G$13:$G$17,MATCH($B63,Controls!$C$13:$C$17,0),0))*$P63</f>
        <v>-1.3843148372091967</v>
      </c>
      <c r="R63" s="60">
        <f t="shared" si="6"/>
        <v>66.278521602445849</v>
      </c>
      <c r="S63" s="233"/>
    </row>
    <row r="64" spans="1:19" x14ac:dyDescent="0.3">
      <c r="A64" s="33" t="str">
        <f>'Forecast drivers'!A63</f>
        <v>BRL</v>
      </c>
      <c r="B64" s="49">
        <f>'Forecast drivers'!B63</f>
        <v>2023</v>
      </c>
      <c r="C64" s="33" t="str">
        <f>'Forecast drivers'!C63</f>
        <v>BRL23</v>
      </c>
      <c r="D64" s="42">
        <f>EXP(Coeffs!$D$12+(Coeffs!$D$5*'Forecast drivers'!D63)+(Coeffs!$D$6*'Forecast drivers'!F63)+(Coeffs!$D$8*'Forecast drivers'!I63)+(Coeffs!$D$9*'Forecast drivers'!J63))</f>
        <v>27.870963738568435</v>
      </c>
      <c r="E64" s="42">
        <f>EXP(Coeffs!$E$12+(Coeffs!$E$5*'Forecast drivers'!D63)+(Coeffs!$E$7*'Forecast drivers'!G63)+(Coeffs!$E$8*'Forecast drivers'!I63)+(Coeffs!$E$9*'Forecast drivers'!J63))</f>
        <v>28.118560361690498</v>
      </c>
      <c r="F64" s="42">
        <f>EXP(Coeffs!$F$12+(Coeffs!$F$8*'Forecast drivers'!I63)+(Coeffs!$F$9*'Forecast drivers'!J63)+(Coeffs!$F$10*'Forecast drivers'!E63)+(Coeffs!$F$11*'Forecast drivers'!H63))</f>
        <v>40.722774167379285</v>
      </c>
      <c r="G64" s="42">
        <f>EXP(Coeffs!$G$12+(Coeffs!$G$5*'Forecast drivers'!D63)+(Coeffs!$G$6*'Forecast drivers'!F63)+(Coeffs!$G$8*'Forecast drivers'!I63)+(Coeffs!$G$9*'Forecast drivers'!J63)+(Coeffs!$G$11*'Forecast drivers'!H63))</f>
        <v>72.011883730090034</v>
      </c>
      <c r="H64" s="42">
        <f>EXP(Coeffs!$H$12+(Coeffs!$H$5*'Forecast drivers'!D63)+(Coeffs!$H$7*'Forecast drivers'!G63)+(Coeffs!$H$8*'Forecast drivers'!I63)+(Coeffs!$H$9*'Forecast drivers'!J63)+(Coeffs!$H$11*'Forecast drivers'!H63))</f>
        <v>76.985924528151969</v>
      </c>
      <c r="J64" s="42">
        <f t="shared" si="8"/>
        <v>27.994762050129467</v>
      </c>
      <c r="K64" s="42">
        <f t="shared" si="9"/>
        <v>40.722774167379285</v>
      </c>
      <c r="L64" s="43">
        <f t="shared" si="10"/>
        <v>68.717536217508751</v>
      </c>
      <c r="M64" s="43">
        <f t="shared" si="11"/>
        <v>74.498904129121001</v>
      </c>
      <c r="N64" s="60">
        <f t="shared" si="5"/>
        <v>71.608220173314876</v>
      </c>
      <c r="O64" s="17"/>
      <c r="P64" s="43">
        <f>Controls!$G$10*N64</f>
        <v>68.31625956994074</v>
      </c>
      <c r="Q64" s="93">
        <f>(INDEX(Controls!$G$13:$G$17,MATCH($B64,Controls!$C$13:$C$17,0),0))*$P64</f>
        <v>-1.8326539756129641</v>
      </c>
      <c r="R64" s="60">
        <f t="shared" si="6"/>
        <v>66.48360559432777</v>
      </c>
      <c r="S64" s="233"/>
    </row>
    <row r="65" spans="1:19" x14ac:dyDescent="0.3">
      <c r="A65" s="33" t="str">
        <f>'Forecast drivers'!A64</f>
        <v>BRL</v>
      </c>
      <c r="B65" s="49">
        <f>'Forecast drivers'!B64</f>
        <v>2024</v>
      </c>
      <c r="C65" s="33" t="str">
        <f>'Forecast drivers'!C64</f>
        <v>BRL24</v>
      </c>
      <c r="D65" s="42">
        <f>EXP(Coeffs!$D$12+(Coeffs!$D$5*'Forecast drivers'!D64)+(Coeffs!$D$6*'Forecast drivers'!F64)+(Coeffs!$D$8*'Forecast drivers'!I64)+(Coeffs!$D$9*'Forecast drivers'!J64))</f>
        <v>28.095010518700288</v>
      </c>
      <c r="E65" s="42">
        <f>EXP(Coeffs!$E$12+(Coeffs!$E$5*'Forecast drivers'!D64)+(Coeffs!$E$7*'Forecast drivers'!G64)+(Coeffs!$E$8*'Forecast drivers'!I64)+(Coeffs!$E$9*'Forecast drivers'!J64))</f>
        <v>28.332535497711259</v>
      </c>
      <c r="F65" s="42">
        <f>EXP(Coeffs!$F$12+(Coeffs!$F$8*'Forecast drivers'!I64)+(Coeffs!$F$9*'Forecast drivers'!J64)+(Coeffs!$F$10*'Forecast drivers'!E64)+(Coeffs!$F$11*'Forecast drivers'!H64))</f>
        <v>41.121044988881557</v>
      </c>
      <c r="G65" s="42">
        <f>EXP(Coeffs!$G$12+(Coeffs!$G$5*'Forecast drivers'!D64)+(Coeffs!$G$6*'Forecast drivers'!F64)+(Coeffs!$G$8*'Forecast drivers'!I64)+(Coeffs!$G$9*'Forecast drivers'!J64)+(Coeffs!$G$11*'Forecast drivers'!H64))</f>
        <v>72.756164319429701</v>
      </c>
      <c r="H65" s="42">
        <f>EXP(Coeffs!$H$12+(Coeffs!$H$5*'Forecast drivers'!D64)+(Coeffs!$H$7*'Forecast drivers'!G64)+(Coeffs!$H$8*'Forecast drivers'!I64)+(Coeffs!$H$9*'Forecast drivers'!J64)+(Coeffs!$H$11*'Forecast drivers'!H64))</f>
        <v>77.754887122081342</v>
      </c>
      <c r="J65" s="42">
        <f t="shared" si="8"/>
        <v>28.213773008205774</v>
      </c>
      <c r="K65" s="42">
        <f t="shared" si="9"/>
        <v>41.121044988881557</v>
      </c>
      <c r="L65" s="43">
        <f t="shared" si="10"/>
        <v>69.334817997087328</v>
      </c>
      <c r="M65" s="43">
        <f t="shared" si="11"/>
        <v>75.255525720755514</v>
      </c>
      <c r="N65" s="60">
        <f t="shared" si="5"/>
        <v>72.295171858921421</v>
      </c>
      <c r="O65" s="17"/>
      <c r="P65" s="43">
        <f>Controls!$G$10*N65</f>
        <v>68.97163083251813</v>
      </c>
      <c r="Q65" s="93">
        <f>(INDEX(Controls!$G$13:$G$17,MATCH($B65,Controls!$C$13:$C$17,0),0))*$P65</f>
        <v>-2.252963359344208</v>
      </c>
      <c r="R65" s="60">
        <f t="shared" si="6"/>
        <v>66.718667473173923</v>
      </c>
      <c r="S65" s="233"/>
    </row>
    <row r="66" spans="1:19" x14ac:dyDescent="0.3">
      <c r="A66" s="33" t="str">
        <f>'Forecast drivers'!A65</f>
        <v>BRL</v>
      </c>
      <c r="B66" s="49">
        <f>'Forecast drivers'!B65</f>
        <v>2025</v>
      </c>
      <c r="C66" s="33" t="str">
        <f>'Forecast drivers'!C65</f>
        <v>BRL25</v>
      </c>
      <c r="D66" s="42">
        <f>EXP(Coeffs!$D$12+(Coeffs!$D$5*'Forecast drivers'!D65)+(Coeffs!$D$6*'Forecast drivers'!F65)+(Coeffs!$D$8*'Forecast drivers'!I65)+(Coeffs!$D$9*'Forecast drivers'!J65))</f>
        <v>28.322714064650174</v>
      </c>
      <c r="E66" s="42">
        <f>EXP(Coeffs!$E$12+(Coeffs!$E$5*'Forecast drivers'!D65)+(Coeffs!$E$7*'Forecast drivers'!G65)+(Coeffs!$E$8*'Forecast drivers'!I65)+(Coeffs!$E$9*'Forecast drivers'!J65))</f>
        <v>28.549682058267003</v>
      </c>
      <c r="F66" s="42">
        <f>EXP(Coeffs!$F$12+(Coeffs!$F$8*'Forecast drivers'!I65)+(Coeffs!$F$9*'Forecast drivers'!J65)+(Coeffs!$F$10*'Forecast drivers'!E65)+(Coeffs!$F$11*'Forecast drivers'!H65))</f>
        <v>41.523707153174577</v>
      </c>
      <c r="G66" s="42">
        <f>EXP(Coeffs!$G$12+(Coeffs!$G$5*'Forecast drivers'!D65)+(Coeffs!$G$6*'Forecast drivers'!F65)+(Coeffs!$G$8*'Forecast drivers'!I65)+(Coeffs!$G$9*'Forecast drivers'!J65)+(Coeffs!$G$11*'Forecast drivers'!H65))</f>
        <v>73.513361370293552</v>
      </c>
      <c r="H66" s="42">
        <f>EXP(Coeffs!$H$12+(Coeffs!$H$5*'Forecast drivers'!D65)+(Coeffs!$H$7*'Forecast drivers'!G65)+(Coeffs!$H$8*'Forecast drivers'!I65)+(Coeffs!$H$9*'Forecast drivers'!J65)+(Coeffs!$H$11*'Forecast drivers'!H65))</f>
        <v>78.53626603090062</v>
      </c>
      <c r="J66" s="42">
        <f t="shared" si="8"/>
        <v>28.43619806145859</v>
      </c>
      <c r="K66" s="42">
        <f t="shared" si="9"/>
        <v>41.523707153174577</v>
      </c>
      <c r="L66" s="43">
        <f t="shared" si="10"/>
        <v>69.959905214633167</v>
      </c>
      <c r="M66" s="43">
        <f t="shared" si="11"/>
        <v>76.024813700597093</v>
      </c>
      <c r="N66" s="60">
        <f t="shared" si="5"/>
        <v>72.992359457615123</v>
      </c>
      <c r="O66" s="17"/>
      <c r="P66" s="43">
        <f>Controls!$G$10*N66</f>
        <v>69.636767444572229</v>
      </c>
      <c r="Q66" s="93">
        <f>(INDEX(Controls!$G$13:$G$17,MATCH($B66,Controls!$C$13:$C$17,0),0))*$P66</f>
        <v>-2.6519177285190474</v>
      </c>
      <c r="R66" s="60">
        <f t="shared" si="6"/>
        <v>66.984849716053176</v>
      </c>
      <c r="S66" s="233"/>
    </row>
    <row r="67" spans="1:19" x14ac:dyDescent="0.3">
      <c r="A67" s="33" t="str">
        <f>'Forecast drivers'!A66</f>
        <v>DVW</v>
      </c>
      <c r="B67" s="49">
        <f>'Forecast drivers'!B66</f>
        <v>2021</v>
      </c>
      <c r="C67" s="33" t="str">
        <f>'Forecast drivers'!C66</f>
        <v>DVW21</v>
      </c>
      <c r="D67" s="42">
        <f>EXP(Coeffs!$D$12+(Coeffs!$D$5*'Forecast drivers'!D66)+(Coeffs!$D$6*'Forecast drivers'!F66)+(Coeffs!$D$8*'Forecast drivers'!I66)+(Coeffs!$D$9*'Forecast drivers'!J66))</f>
        <v>10.418848517642088</v>
      </c>
      <c r="E67" s="42">
        <f>EXP(Coeffs!$E$12+(Coeffs!$E$5*'Forecast drivers'!D66)+(Coeffs!$E$7*'Forecast drivers'!G66)+(Coeffs!$E$8*'Forecast drivers'!I66)+(Coeffs!$E$9*'Forecast drivers'!J66))</f>
        <v>9.1640902853482427</v>
      </c>
      <c r="F67" s="42">
        <f>EXP(Coeffs!$F$12+(Coeffs!$F$8*'Forecast drivers'!I66)+(Coeffs!$F$9*'Forecast drivers'!J66)+(Coeffs!$F$10*'Forecast drivers'!E66)+(Coeffs!$F$11*'Forecast drivers'!H66))</f>
        <v>8.1737290227455759</v>
      </c>
      <c r="G67" s="42">
        <f>EXP(Coeffs!$G$12+(Coeffs!$G$5*'Forecast drivers'!D66)+(Coeffs!$G$6*'Forecast drivers'!F66)+(Coeffs!$G$8*'Forecast drivers'!I66)+(Coeffs!$G$9*'Forecast drivers'!J66)+(Coeffs!$G$11*'Forecast drivers'!H66))</f>
        <v>20.846544635388909</v>
      </c>
      <c r="H67" s="42">
        <f>EXP(Coeffs!$H$12+(Coeffs!$H$5*'Forecast drivers'!D66)+(Coeffs!$H$7*'Forecast drivers'!G66)+(Coeffs!$H$8*'Forecast drivers'!I66)+(Coeffs!$H$9*'Forecast drivers'!J66)+(Coeffs!$H$11*'Forecast drivers'!H66))</f>
        <v>20.054343940346101</v>
      </c>
      <c r="J67" s="42">
        <f t="shared" si="8"/>
        <v>9.7914694014951653</v>
      </c>
      <c r="K67" s="42">
        <f t="shared" si="9"/>
        <v>8.1737290227455759</v>
      </c>
      <c r="L67" s="43">
        <f t="shared" si="10"/>
        <v>17.965198424240739</v>
      </c>
      <c r="M67" s="43">
        <f t="shared" si="11"/>
        <v>20.450444287867505</v>
      </c>
      <c r="N67" s="60">
        <f t="shared" si="5"/>
        <v>19.207821356054122</v>
      </c>
      <c r="O67" s="17"/>
      <c r="P67" s="43">
        <f>Controls!$G$10*N67</f>
        <v>18.324802744116298</v>
      </c>
      <c r="Q67" s="93">
        <f>(INDEX(Controls!$G$13:$G$17,MATCH($B67,Controls!$C$13:$C$17,0),0))*$P67</f>
        <v>-0.25383186914700628</v>
      </c>
      <c r="R67" s="60">
        <f t="shared" si="6"/>
        <v>18.070970874969291</v>
      </c>
      <c r="S67" s="233"/>
    </row>
    <row r="68" spans="1:19" x14ac:dyDescent="0.3">
      <c r="A68" s="33" t="str">
        <f>'Forecast drivers'!A67</f>
        <v>DVW</v>
      </c>
      <c r="B68" s="49">
        <f>'Forecast drivers'!B67</f>
        <v>2022</v>
      </c>
      <c r="C68" s="33" t="str">
        <f>'Forecast drivers'!C67</f>
        <v>DVW22</v>
      </c>
      <c r="D68" s="42">
        <f>EXP(Coeffs!$D$12+(Coeffs!$D$5*'Forecast drivers'!D67)+(Coeffs!$D$6*'Forecast drivers'!F67)+(Coeffs!$D$8*'Forecast drivers'!I67)+(Coeffs!$D$9*'Forecast drivers'!J67))</f>
        <v>10.461136462641825</v>
      </c>
      <c r="E68" s="42">
        <f>EXP(Coeffs!$E$12+(Coeffs!$E$5*'Forecast drivers'!D67)+(Coeffs!$E$7*'Forecast drivers'!G67)+(Coeffs!$E$8*'Forecast drivers'!I67)+(Coeffs!$E$9*'Forecast drivers'!J67))</f>
        <v>9.204988003552069</v>
      </c>
      <c r="F68" s="42">
        <f>EXP(Coeffs!$F$12+(Coeffs!$F$8*'Forecast drivers'!I67)+(Coeffs!$F$9*'Forecast drivers'!J67)+(Coeffs!$F$10*'Forecast drivers'!E67)+(Coeffs!$F$11*'Forecast drivers'!H67))</f>
        <v>8.1937925536065528</v>
      </c>
      <c r="G68" s="42">
        <f>EXP(Coeffs!$G$12+(Coeffs!$G$5*'Forecast drivers'!D67)+(Coeffs!$G$6*'Forecast drivers'!F67)+(Coeffs!$G$8*'Forecast drivers'!I67)+(Coeffs!$G$9*'Forecast drivers'!J67)+(Coeffs!$G$11*'Forecast drivers'!H67))</f>
        <v>20.948723101480539</v>
      </c>
      <c r="H68" s="42">
        <f>EXP(Coeffs!$H$12+(Coeffs!$H$5*'Forecast drivers'!D67)+(Coeffs!$H$7*'Forecast drivers'!G67)+(Coeffs!$H$8*'Forecast drivers'!I67)+(Coeffs!$H$9*'Forecast drivers'!J67)+(Coeffs!$H$11*'Forecast drivers'!H67))</f>
        <v>20.157777231730734</v>
      </c>
      <c r="J68" s="42">
        <f t="shared" si="8"/>
        <v>9.8330622330969462</v>
      </c>
      <c r="K68" s="42">
        <f t="shared" si="9"/>
        <v>8.1937925536065528</v>
      </c>
      <c r="L68" s="43">
        <f t="shared" si="10"/>
        <v>18.026854786703499</v>
      </c>
      <c r="M68" s="43">
        <f t="shared" si="11"/>
        <v>20.553250166605636</v>
      </c>
      <c r="N68" s="60">
        <f t="shared" si="5"/>
        <v>19.290052476654566</v>
      </c>
      <c r="O68" s="17"/>
      <c r="P68" s="43">
        <f>Controls!$G$10*N68</f>
        <v>18.403253549988449</v>
      </c>
      <c r="Q68" s="93">
        <f>(INDEX(Controls!$G$13:$G$17,MATCH($B68,Controls!$C$13:$C$17,0),0))*$P68</f>
        <v>-0.37651240005128145</v>
      </c>
      <c r="R68" s="60">
        <f t="shared" si="6"/>
        <v>18.026741149937166</v>
      </c>
      <c r="S68" s="233"/>
    </row>
    <row r="69" spans="1:19" x14ac:dyDescent="0.3">
      <c r="A69" s="33" t="str">
        <f>'Forecast drivers'!A68</f>
        <v>DVW</v>
      </c>
      <c r="B69" s="49">
        <f>'Forecast drivers'!B68</f>
        <v>2023</v>
      </c>
      <c r="C69" s="33" t="str">
        <f>'Forecast drivers'!C68</f>
        <v>DVW23</v>
      </c>
      <c r="D69" s="42">
        <f>EXP(Coeffs!$D$12+(Coeffs!$D$5*'Forecast drivers'!D68)+(Coeffs!$D$6*'Forecast drivers'!F68)+(Coeffs!$D$8*'Forecast drivers'!I68)+(Coeffs!$D$9*'Forecast drivers'!J68))</f>
        <v>10.504519316118937</v>
      </c>
      <c r="E69" s="42">
        <f>EXP(Coeffs!$E$12+(Coeffs!$E$5*'Forecast drivers'!D68)+(Coeffs!$E$7*'Forecast drivers'!G68)+(Coeffs!$E$8*'Forecast drivers'!I68)+(Coeffs!$E$9*'Forecast drivers'!J68))</f>
        <v>9.2467024458161795</v>
      </c>
      <c r="F69" s="42">
        <f>EXP(Coeffs!$F$12+(Coeffs!$F$8*'Forecast drivers'!I68)+(Coeffs!$F$9*'Forecast drivers'!J68)+(Coeffs!$F$10*'Forecast drivers'!E68)+(Coeffs!$F$11*'Forecast drivers'!H68))</f>
        <v>8.2141763414625686</v>
      </c>
      <c r="G69" s="42">
        <f>EXP(Coeffs!$G$12+(Coeffs!$G$5*'Forecast drivers'!D68)+(Coeffs!$G$6*'Forecast drivers'!F68)+(Coeffs!$G$8*'Forecast drivers'!I68)+(Coeffs!$G$9*'Forecast drivers'!J68)+(Coeffs!$G$11*'Forecast drivers'!H68))</f>
        <v>21.053102706478356</v>
      </c>
      <c r="H69" s="42">
        <f>EXP(Coeffs!$H$12+(Coeffs!$H$5*'Forecast drivers'!D68)+(Coeffs!$H$7*'Forecast drivers'!G68)+(Coeffs!$H$8*'Forecast drivers'!I68)+(Coeffs!$H$9*'Forecast drivers'!J68)+(Coeffs!$H$11*'Forecast drivers'!H68))</f>
        <v>20.263112390541171</v>
      </c>
      <c r="J69" s="42">
        <f t="shared" si="8"/>
        <v>9.8756108809675585</v>
      </c>
      <c r="K69" s="42">
        <f t="shared" si="9"/>
        <v>8.2141763414625686</v>
      </c>
      <c r="L69" s="43">
        <f t="shared" si="10"/>
        <v>18.089787222430125</v>
      </c>
      <c r="M69" s="43">
        <f t="shared" si="11"/>
        <v>20.658107548509761</v>
      </c>
      <c r="N69" s="60">
        <f t="shared" si="5"/>
        <v>19.373947385469943</v>
      </c>
      <c r="O69" s="17"/>
      <c r="P69" s="43">
        <f>Controls!$G$10*N69</f>
        <v>18.483291656694021</v>
      </c>
      <c r="Q69" s="93">
        <f>(INDEX(Controls!$G$13:$G$17,MATCH($B69,Controls!$C$13:$C$17,0),0))*$P69</f>
        <v>-0.49583332211529052</v>
      </c>
      <c r="R69" s="60">
        <f t="shared" si="6"/>
        <v>17.987458334578729</v>
      </c>
      <c r="S69" s="233"/>
    </row>
    <row r="70" spans="1:19" x14ac:dyDescent="0.3">
      <c r="A70" s="33" t="str">
        <f>'Forecast drivers'!A69</f>
        <v>DVW</v>
      </c>
      <c r="B70" s="49">
        <f>'Forecast drivers'!B69</f>
        <v>2024</v>
      </c>
      <c r="C70" s="33" t="str">
        <f>'Forecast drivers'!C69</f>
        <v>DVW24</v>
      </c>
      <c r="D70" s="42">
        <f>EXP(Coeffs!$D$12+(Coeffs!$D$5*'Forecast drivers'!D69)+(Coeffs!$D$6*'Forecast drivers'!F69)+(Coeffs!$D$8*'Forecast drivers'!I69)+(Coeffs!$D$9*'Forecast drivers'!J69))</f>
        <v>10.547257709170427</v>
      </c>
      <c r="E70" s="42">
        <f>EXP(Coeffs!$E$12+(Coeffs!$E$5*'Forecast drivers'!D69)+(Coeffs!$E$7*'Forecast drivers'!G69)+(Coeffs!$E$8*'Forecast drivers'!I69)+(Coeffs!$E$9*'Forecast drivers'!J69))</f>
        <v>9.2878241389869576</v>
      </c>
      <c r="F70" s="42">
        <f>EXP(Coeffs!$F$12+(Coeffs!$F$8*'Forecast drivers'!I69)+(Coeffs!$F$9*'Forecast drivers'!J69)+(Coeffs!$F$10*'Forecast drivers'!E69)+(Coeffs!$F$11*'Forecast drivers'!H69))</f>
        <v>8.2346444523490767</v>
      </c>
      <c r="G70" s="42">
        <f>EXP(Coeffs!$G$12+(Coeffs!$G$5*'Forecast drivers'!D69)+(Coeffs!$G$6*'Forecast drivers'!F69)+(Coeffs!$G$8*'Forecast drivers'!I69)+(Coeffs!$G$9*'Forecast drivers'!J69)+(Coeffs!$G$11*'Forecast drivers'!H69))</f>
        <v>21.156207058436102</v>
      </c>
      <c r="H70" s="42">
        <f>EXP(Coeffs!$H$12+(Coeffs!$H$5*'Forecast drivers'!D69)+(Coeffs!$H$7*'Forecast drivers'!G69)+(Coeffs!$H$8*'Forecast drivers'!I69)+(Coeffs!$H$9*'Forecast drivers'!J69)+(Coeffs!$H$11*'Forecast drivers'!H69))</f>
        <v>20.367207062425827</v>
      </c>
      <c r="J70" s="42">
        <f t="shared" si="8"/>
        <v>9.9175409240786934</v>
      </c>
      <c r="K70" s="42">
        <f t="shared" si="9"/>
        <v>8.2346444523490767</v>
      </c>
      <c r="L70" s="43">
        <f t="shared" si="10"/>
        <v>18.15218537642777</v>
      </c>
      <c r="M70" s="43">
        <f t="shared" si="11"/>
        <v>20.761707060430965</v>
      </c>
      <c r="N70" s="60">
        <f t="shared" si="5"/>
        <v>19.456946218429366</v>
      </c>
      <c r="O70" s="17"/>
      <c r="P70" s="43">
        <f>Controls!$G$10*N70</f>
        <v>18.562474881786539</v>
      </c>
      <c r="Q70" s="93">
        <f>(INDEX(Controls!$G$13:$G$17,MATCH($B70,Controls!$C$13:$C$17,0),0))*$P70</f>
        <v>-0.60634459795454176</v>
      </c>
      <c r="R70" s="60">
        <f t="shared" si="6"/>
        <v>17.956130283831996</v>
      </c>
      <c r="S70" s="233"/>
    </row>
    <row r="71" spans="1:19" x14ac:dyDescent="0.3">
      <c r="A71" s="33" t="str">
        <f>'Forecast drivers'!A70</f>
        <v>DVW</v>
      </c>
      <c r="B71" s="49">
        <f>'Forecast drivers'!B70</f>
        <v>2025</v>
      </c>
      <c r="C71" s="33" t="str">
        <f>'Forecast drivers'!C70</f>
        <v>DVW25</v>
      </c>
      <c r="D71" s="42">
        <f>EXP(Coeffs!$D$12+(Coeffs!$D$5*'Forecast drivers'!D70)+(Coeffs!$D$6*'Forecast drivers'!F70)+(Coeffs!$D$8*'Forecast drivers'!I70)+(Coeffs!$D$9*'Forecast drivers'!J70))</f>
        <v>10.588728793219079</v>
      </c>
      <c r="E71" s="42">
        <f>EXP(Coeffs!$E$12+(Coeffs!$E$5*'Forecast drivers'!D70)+(Coeffs!$E$7*'Forecast drivers'!G70)+(Coeffs!$E$8*'Forecast drivers'!I70)+(Coeffs!$E$9*'Forecast drivers'!J70))</f>
        <v>9.3277698147781383</v>
      </c>
      <c r="F71" s="42">
        <f>EXP(Coeffs!$F$12+(Coeffs!$F$8*'Forecast drivers'!I70)+(Coeffs!$F$9*'Forecast drivers'!J70)+(Coeffs!$F$10*'Forecast drivers'!E70)+(Coeffs!$F$11*'Forecast drivers'!H70))</f>
        <v>8.2552610128418955</v>
      </c>
      <c r="G71" s="42">
        <f>EXP(Coeffs!$G$12+(Coeffs!$G$5*'Forecast drivers'!D70)+(Coeffs!$G$6*'Forecast drivers'!F70)+(Coeffs!$G$8*'Forecast drivers'!I70)+(Coeffs!$G$9*'Forecast drivers'!J70)+(Coeffs!$G$11*'Forecast drivers'!H70))</f>
        <v>21.256720009224949</v>
      </c>
      <c r="H71" s="42">
        <f>EXP(Coeffs!$H$12+(Coeffs!$H$5*'Forecast drivers'!D70)+(Coeffs!$H$7*'Forecast drivers'!G70)+(Coeffs!$H$8*'Forecast drivers'!I70)+(Coeffs!$H$9*'Forecast drivers'!J70)+(Coeffs!$H$11*'Forecast drivers'!H70))</f>
        <v>20.468763207304985</v>
      </c>
      <c r="J71" s="42">
        <f t="shared" ref="J71:J96" si="12">D$5*D71+E$5*E71</f>
        <v>9.9582493039986097</v>
      </c>
      <c r="K71" s="42">
        <f t="shared" ref="K71:K96" si="13">F$5*F71</f>
        <v>8.2552610128418955</v>
      </c>
      <c r="L71" s="43">
        <f t="shared" ref="L71:L96" si="14">J71+K71</f>
        <v>18.213510316840505</v>
      </c>
      <c r="M71" s="43">
        <f t="shared" ref="M71:M96" si="15">G71*$G$5+H71*$H$5</f>
        <v>20.862741608264969</v>
      </c>
      <c r="N71" s="60">
        <f t="shared" si="5"/>
        <v>19.538125962552737</v>
      </c>
      <c r="O71" s="17"/>
      <c r="P71" s="43">
        <f>Controls!$G$10*N71</f>
        <v>18.639922644877572</v>
      </c>
      <c r="Q71" s="93">
        <f>(INDEX(Controls!$G$13:$G$17,MATCH($B71,Controls!$C$13:$C$17,0),0))*$P71</f>
        <v>-0.70984830476974381</v>
      </c>
      <c r="R71" s="60">
        <f t="shared" si="6"/>
        <v>17.930074340107829</v>
      </c>
      <c r="S71" s="233"/>
    </row>
    <row r="72" spans="1:19" x14ac:dyDescent="0.3">
      <c r="A72" s="33" t="str">
        <f>'Forecast drivers'!A71</f>
        <v>PRT</v>
      </c>
      <c r="B72" s="49">
        <f>'Forecast drivers'!B71</f>
        <v>2021</v>
      </c>
      <c r="C72" s="33" t="str">
        <f>'Forecast drivers'!C71</f>
        <v>PRT21</v>
      </c>
      <c r="D72" s="42">
        <f>EXP(Coeffs!$D$12+(Coeffs!$D$5*'Forecast drivers'!D71)+(Coeffs!$D$6*'Forecast drivers'!F71)+(Coeffs!$D$8*'Forecast drivers'!I71)+(Coeffs!$D$9*'Forecast drivers'!J71))</f>
        <v>11.215718699171756</v>
      </c>
      <c r="E72" s="42">
        <f>EXP(Coeffs!$E$12+(Coeffs!$E$5*'Forecast drivers'!D71)+(Coeffs!$E$7*'Forecast drivers'!G71)+(Coeffs!$E$8*'Forecast drivers'!I71)+(Coeffs!$E$9*'Forecast drivers'!J71))</f>
        <v>12.338403715116501</v>
      </c>
      <c r="F72" s="42">
        <f>EXP(Coeffs!$F$12+(Coeffs!$F$8*'Forecast drivers'!I71)+(Coeffs!$F$9*'Forecast drivers'!J71)+(Coeffs!$F$10*'Forecast drivers'!E71)+(Coeffs!$F$11*'Forecast drivers'!H71))</f>
        <v>21.636433312651693</v>
      </c>
      <c r="G72" s="42">
        <f>EXP(Coeffs!$G$12+(Coeffs!$G$5*'Forecast drivers'!D71)+(Coeffs!$G$6*'Forecast drivers'!F71)+(Coeffs!$G$8*'Forecast drivers'!I71)+(Coeffs!$G$9*'Forecast drivers'!J71)+(Coeffs!$G$11*'Forecast drivers'!H71))</f>
        <v>32.635841354096065</v>
      </c>
      <c r="H72" s="42">
        <f>EXP(Coeffs!$H$12+(Coeffs!$H$5*'Forecast drivers'!D71)+(Coeffs!$H$7*'Forecast drivers'!G71)+(Coeffs!$H$8*'Forecast drivers'!I71)+(Coeffs!$H$9*'Forecast drivers'!J71)+(Coeffs!$H$11*'Forecast drivers'!H71))</f>
        <v>32.704429995720204</v>
      </c>
      <c r="J72" s="42">
        <f t="shared" si="12"/>
        <v>11.777061207144129</v>
      </c>
      <c r="K72" s="42">
        <f t="shared" si="13"/>
        <v>21.636433312651693</v>
      </c>
      <c r="L72" s="43">
        <f t="shared" si="14"/>
        <v>33.413494519795819</v>
      </c>
      <c r="M72" s="43">
        <f t="shared" si="15"/>
        <v>32.670135674908138</v>
      </c>
      <c r="N72" s="60">
        <f t="shared" ref="N72:N96" si="16">$L$5*L72+$M$5*M72</f>
        <v>33.041815097351979</v>
      </c>
      <c r="O72" s="17"/>
      <c r="P72" s="43">
        <f>Controls!$G$10*N72</f>
        <v>31.52282253893911</v>
      </c>
      <c r="Q72" s="93">
        <f>(INDEX(Controls!$G$13:$G$17,MATCH($B72,Controls!$C$13:$C$17,0),0))*$P72</f>
        <v>-0.43664846370132976</v>
      </c>
      <c r="R72" s="60">
        <f t="shared" ref="R72:R106" si="17">P72+Q72</f>
        <v>31.086174075237778</v>
      </c>
      <c r="S72" s="233"/>
    </row>
    <row r="73" spans="1:19" x14ac:dyDescent="0.3">
      <c r="A73" s="33" t="str">
        <f>'Forecast drivers'!A72</f>
        <v>PRT</v>
      </c>
      <c r="B73" s="49">
        <f>'Forecast drivers'!B72</f>
        <v>2022</v>
      </c>
      <c r="C73" s="33" t="str">
        <f>'Forecast drivers'!C72</f>
        <v>PRT22</v>
      </c>
      <c r="D73" s="42">
        <f>EXP(Coeffs!$D$12+(Coeffs!$D$5*'Forecast drivers'!D72)+(Coeffs!$D$6*'Forecast drivers'!F72)+(Coeffs!$D$8*'Forecast drivers'!I72)+(Coeffs!$D$9*'Forecast drivers'!J72))</f>
        <v>11.528696271652585</v>
      </c>
      <c r="E73" s="42">
        <f>EXP(Coeffs!$E$12+(Coeffs!$E$5*'Forecast drivers'!D72)+(Coeffs!$E$7*'Forecast drivers'!G72)+(Coeffs!$E$8*'Forecast drivers'!I72)+(Coeffs!$E$9*'Forecast drivers'!J72))</f>
        <v>12.583109452009042</v>
      </c>
      <c r="F73" s="42">
        <f>EXP(Coeffs!$F$12+(Coeffs!$F$8*'Forecast drivers'!I72)+(Coeffs!$F$9*'Forecast drivers'!J72)+(Coeffs!$F$10*'Forecast drivers'!E72)+(Coeffs!$F$11*'Forecast drivers'!H72))</f>
        <v>21.744719644775731</v>
      </c>
      <c r="G73" s="42">
        <f>EXP(Coeffs!$G$12+(Coeffs!$G$5*'Forecast drivers'!D72)+(Coeffs!$G$6*'Forecast drivers'!F72)+(Coeffs!$G$8*'Forecast drivers'!I72)+(Coeffs!$G$9*'Forecast drivers'!J72)+(Coeffs!$G$11*'Forecast drivers'!H72))</f>
        <v>33.303366555612754</v>
      </c>
      <c r="H73" s="42">
        <f>EXP(Coeffs!$H$12+(Coeffs!$H$5*'Forecast drivers'!D72)+(Coeffs!$H$7*'Forecast drivers'!G72)+(Coeffs!$H$8*'Forecast drivers'!I72)+(Coeffs!$H$9*'Forecast drivers'!J72)+(Coeffs!$H$11*'Forecast drivers'!H72))</f>
        <v>33.438600683617743</v>
      </c>
      <c r="J73" s="42">
        <f t="shared" si="12"/>
        <v>12.055902861830813</v>
      </c>
      <c r="K73" s="42">
        <f t="shared" si="13"/>
        <v>21.744719644775731</v>
      </c>
      <c r="L73" s="43">
        <f t="shared" si="14"/>
        <v>33.800622506606544</v>
      </c>
      <c r="M73" s="43">
        <f t="shared" si="15"/>
        <v>33.370983619615245</v>
      </c>
      <c r="N73" s="60">
        <f t="shared" si="16"/>
        <v>33.585803063110895</v>
      </c>
      <c r="O73" s="17"/>
      <c r="P73" s="43">
        <f>Controls!$G$10*N73</f>
        <v>32.041802384852936</v>
      </c>
      <c r="Q73" s="93">
        <f>(INDEX(Controls!$G$13:$G$17,MATCH($B73,Controls!$C$13:$C$17,0),0))*$P73</f>
        <v>-0.65554364531903253</v>
      </c>
      <c r="R73" s="60">
        <f t="shared" si="17"/>
        <v>31.386258739533904</v>
      </c>
      <c r="S73" s="233"/>
    </row>
    <row r="74" spans="1:19" x14ac:dyDescent="0.3">
      <c r="A74" s="33" t="str">
        <f>'Forecast drivers'!A73</f>
        <v>PRT</v>
      </c>
      <c r="B74" s="49">
        <f>'Forecast drivers'!B73</f>
        <v>2023</v>
      </c>
      <c r="C74" s="33" t="str">
        <f>'Forecast drivers'!C73</f>
        <v>PRT23</v>
      </c>
      <c r="D74" s="42">
        <f>EXP(Coeffs!$D$12+(Coeffs!$D$5*'Forecast drivers'!D73)+(Coeffs!$D$6*'Forecast drivers'!F73)+(Coeffs!$D$8*'Forecast drivers'!I73)+(Coeffs!$D$9*'Forecast drivers'!J73))</f>
        <v>11.643597212728343</v>
      </c>
      <c r="E74" s="42">
        <f>EXP(Coeffs!$E$12+(Coeffs!$E$5*'Forecast drivers'!D73)+(Coeffs!$E$7*'Forecast drivers'!G73)+(Coeffs!$E$8*'Forecast drivers'!I73)+(Coeffs!$E$9*'Forecast drivers'!J73))</f>
        <v>12.686223801748579</v>
      </c>
      <c r="F74" s="42">
        <f>EXP(Coeffs!$F$12+(Coeffs!$F$8*'Forecast drivers'!I73)+(Coeffs!$F$9*'Forecast drivers'!J73)+(Coeffs!$F$10*'Forecast drivers'!E73)+(Coeffs!$F$11*'Forecast drivers'!H73))</f>
        <v>21.844484580207588</v>
      </c>
      <c r="G74" s="42">
        <f>EXP(Coeffs!$G$12+(Coeffs!$G$5*'Forecast drivers'!D73)+(Coeffs!$G$6*'Forecast drivers'!F73)+(Coeffs!$G$8*'Forecast drivers'!I73)+(Coeffs!$G$9*'Forecast drivers'!J73)+(Coeffs!$G$11*'Forecast drivers'!H73))</f>
        <v>33.599480288369328</v>
      </c>
      <c r="H74" s="42">
        <f>EXP(Coeffs!$H$12+(Coeffs!$H$5*'Forecast drivers'!D73)+(Coeffs!$H$7*'Forecast drivers'!G73)+(Coeffs!$H$8*'Forecast drivers'!I73)+(Coeffs!$H$9*'Forecast drivers'!J73)+(Coeffs!$H$11*'Forecast drivers'!H73))</f>
        <v>33.722603034483413</v>
      </c>
      <c r="J74" s="42">
        <f t="shared" si="12"/>
        <v>12.16491050723846</v>
      </c>
      <c r="K74" s="42">
        <f t="shared" si="13"/>
        <v>21.844484580207588</v>
      </c>
      <c r="L74" s="43">
        <f t="shared" si="14"/>
        <v>34.009395087446052</v>
      </c>
      <c r="M74" s="43">
        <f t="shared" si="15"/>
        <v>33.661041661426367</v>
      </c>
      <c r="N74" s="60">
        <f t="shared" si="16"/>
        <v>33.835218374436209</v>
      </c>
      <c r="O74" s="17"/>
      <c r="P74" s="43">
        <f>Controls!$G$10*N74</f>
        <v>32.279751619004792</v>
      </c>
      <c r="Q74" s="93">
        <f>(INDEX(Controls!$G$13:$G$17,MATCH($B74,Controls!$C$13:$C$17,0),0))*$P74</f>
        <v>-0.86593756023489299</v>
      </c>
      <c r="R74" s="60">
        <f t="shared" si="17"/>
        <v>31.413814058769898</v>
      </c>
      <c r="S74" s="233"/>
    </row>
    <row r="75" spans="1:19" x14ac:dyDescent="0.3">
      <c r="A75" s="33" t="str">
        <f>'Forecast drivers'!A74</f>
        <v>PRT</v>
      </c>
      <c r="B75" s="49">
        <f>'Forecast drivers'!B74</f>
        <v>2024</v>
      </c>
      <c r="C75" s="33" t="str">
        <f>'Forecast drivers'!C74</f>
        <v>PRT24</v>
      </c>
      <c r="D75" s="42">
        <f>EXP(Coeffs!$D$12+(Coeffs!$D$5*'Forecast drivers'!D74)+(Coeffs!$D$6*'Forecast drivers'!F74)+(Coeffs!$D$8*'Forecast drivers'!I74)+(Coeffs!$D$9*'Forecast drivers'!J74))</f>
        <v>11.722616003986793</v>
      </c>
      <c r="E75" s="42">
        <f>EXP(Coeffs!$E$12+(Coeffs!$E$5*'Forecast drivers'!D74)+(Coeffs!$E$7*'Forecast drivers'!G74)+(Coeffs!$E$8*'Forecast drivers'!I74)+(Coeffs!$E$9*'Forecast drivers'!J74))</f>
        <v>12.76640327127333</v>
      </c>
      <c r="F75" s="42">
        <f>EXP(Coeffs!$F$12+(Coeffs!$F$8*'Forecast drivers'!I74)+(Coeffs!$F$9*'Forecast drivers'!J74)+(Coeffs!$F$10*'Forecast drivers'!E74)+(Coeffs!$F$11*'Forecast drivers'!H74))</f>
        <v>21.962737842859735</v>
      </c>
      <c r="G75" s="42">
        <f>EXP(Coeffs!$G$12+(Coeffs!$G$5*'Forecast drivers'!D74)+(Coeffs!$G$6*'Forecast drivers'!F74)+(Coeffs!$G$8*'Forecast drivers'!I74)+(Coeffs!$G$9*'Forecast drivers'!J74)+(Coeffs!$G$11*'Forecast drivers'!H74))</f>
        <v>33.835666443288332</v>
      </c>
      <c r="H75" s="42">
        <f>EXP(Coeffs!$H$12+(Coeffs!$H$5*'Forecast drivers'!D74)+(Coeffs!$H$7*'Forecast drivers'!G74)+(Coeffs!$H$8*'Forecast drivers'!I74)+(Coeffs!$H$9*'Forecast drivers'!J74)+(Coeffs!$H$11*'Forecast drivers'!H74))</f>
        <v>33.946330598640813</v>
      </c>
      <c r="J75" s="42">
        <f t="shared" si="12"/>
        <v>12.244509637630062</v>
      </c>
      <c r="K75" s="42">
        <f t="shared" si="13"/>
        <v>21.962737842859735</v>
      </c>
      <c r="L75" s="43">
        <f t="shared" si="14"/>
        <v>34.207247480489798</v>
      </c>
      <c r="M75" s="43">
        <f t="shared" si="15"/>
        <v>33.890998520964573</v>
      </c>
      <c r="N75" s="60">
        <f t="shared" si="16"/>
        <v>34.049123000727185</v>
      </c>
      <c r="O75" s="17"/>
      <c r="P75" s="43">
        <f>Controls!$G$10*N75</f>
        <v>32.483822659138688</v>
      </c>
      <c r="Q75" s="93">
        <f>(INDEX(Controls!$G$13:$G$17,MATCH($B75,Controls!$C$13:$C$17,0),0))*$P75</f>
        <v>-1.0610864400203519</v>
      </c>
      <c r="R75" s="60">
        <f t="shared" si="17"/>
        <v>31.422736219118338</v>
      </c>
      <c r="S75" s="233"/>
    </row>
    <row r="76" spans="1:19" x14ac:dyDescent="0.3">
      <c r="A76" s="33" t="str">
        <f>'Forecast drivers'!A75</f>
        <v>PRT</v>
      </c>
      <c r="B76" s="49">
        <f>'Forecast drivers'!B75</f>
        <v>2025</v>
      </c>
      <c r="C76" s="33" t="str">
        <f>'Forecast drivers'!C75</f>
        <v>PRT25</v>
      </c>
      <c r="D76" s="42">
        <f>EXP(Coeffs!$D$12+(Coeffs!$D$5*'Forecast drivers'!D75)+(Coeffs!$D$6*'Forecast drivers'!F75)+(Coeffs!$D$8*'Forecast drivers'!I75)+(Coeffs!$D$9*'Forecast drivers'!J75))</f>
        <v>11.805168040707937</v>
      </c>
      <c r="E76" s="42">
        <f>EXP(Coeffs!$E$12+(Coeffs!$E$5*'Forecast drivers'!D75)+(Coeffs!$E$7*'Forecast drivers'!G75)+(Coeffs!$E$8*'Forecast drivers'!I75)+(Coeffs!$E$9*'Forecast drivers'!J75))</f>
        <v>12.850851746620902</v>
      </c>
      <c r="F76" s="42">
        <f>EXP(Coeffs!$F$12+(Coeffs!$F$8*'Forecast drivers'!I75)+(Coeffs!$F$9*'Forecast drivers'!J75)+(Coeffs!$F$10*'Forecast drivers'!E75)+(Coeffs!$F$11*'Forecast drivers'!H75))</f>
        <v>22.077418482988303</v>
      </c>
      <c r="G76" s="42">
        <f>EXP(Coeffs!$G$12+(Coeffs!$G$5*'Forecast drivers'!D75)+(Coeffs!$G$6*'Forecast drivers'!F75)+(Coeffs!$G$8*'Forecast drivers'!I75)+(Coeffs!$G$9*'Forecast drivers'!J75)+(Coeffs!$G$11*'Forecast drivers'!H75))</f>
        <v>34.080821418663383</v>
      </c>
      <c r="H76" s="42">
        <f>EXP(Coeffs!$H$12+(Coeffs!$H$5*'Forecast drivers'!D75)+(Coeffs!$H$7*'Forecast drivers'!G75)+(Coeffs!$H$8*'Forecast drivers'!I75)+(Coeffs!$H$9*'Forecast drivers'!J75)+(Coeffs!$H$11*'Forecast drivers'!H75))</f>
        <v>34.179546023714863</v>
      </c>
      <c r="J76" s="42">
        <f t="shared" si="12"/>
        <v>12.328009893664419</v>
      </c>
      <c r="K76" s="42">
        <f t="shared" si="13"/>
        <v>22.077418482988303</v>
      </c>
      <c r="L76" s="43">
        <f t="shared" si="14"/>
        <v>34.405428376652722</v>
      </c>
      <c r="M76" s="43">
        <f t="shared" si="15"/>
        <v>34.130183721189127</v>
      </c>
      <c r="N76" s="60">
        <f t="shared" si="16"/>
        <v>34.267806048920924</v>
      </c>
      <c r="O76" s="17"/>
      <c r="P76" s="43">
        <f>Controls!$G$10*N76</f>
        <v>32.69245244839739</v>
      </c>
      <c r="Q76" s="93">
        <f>(INDEX(Controls!$G$13:$G$17,MATCH($B76,Controls!$C$13:$C$17,0),0))*$P76</f>
        <v>-1.2449988334923572</v>
      </c>
      <c r="R76" s="60">
        <f t="shared" si="17"/>
        <v>31.447453614905033</v>
      </c>
      <c r="S76" s="233"/>
    </row>
    <row r="77" spans="1:19" x14ac:dyDescent="0.3">
      <c r="A77" s="33" t="str">
        <f>'Forecast drivers'!A76</f>
        <v>SES</v>
      </c>
      <c r="B77" s="49">
        <f>'Forecast drivers'!B76</f>
        <v>2021</v>
      </c>
      <c r="C77" s="33" t="str">
        <f>'Forecast drivers'!C76</f>
        <v>SES21</v>
      </c>
      <c r="D77" s="42">
        <f>EXP(Coeffs!$D$12+(Coeffs!$D$5*'Forecast drivers'!D76)+(Coeffs!$D$6*'Forecast drivers'!F76)+(Coeffs!$D$8*'Forecast drivers'!I76)+(Coeffs!$D$9*'Forecast drivers'!J76))</f>
        <v>14.619947296242225</v>
      </c>
      <c r="E77" s="42">
        <f>EXP(Coeffs!$E$12+(Coeffs!$E$5*'Forecast drivers'!D76)+(Coeffs!$E$7*'Forecast drivers'!G76)+(Coeffs!$E$8*'Forecast drivers'!I76)+(Coeffs!$E$9*'Forecast drivers'!J76))</f>
        <v>13.470008722401756</v>
      </c>
      <c r="F77" s="42">
        <f>EXP(Coeffs!$F$12+(Coeffs!$F$8*'Forecast drivers'!I76)+(Coeffs!$F$9*'Forecast drivers'!J76)+(Coeffs!$F$10*'Forecast drivers'!E76)+(Coeffs!$F$11*'Forecast drivers'!H76))</f>
        <v>19.366064982364943</v>
      </c>
      <c r="G77" s="42">
        <f>EXP(Coeffs!$G$12+(Coeffs!$G$5*'Forecast drivers'!D76)+(Coeffs!$G$6*'Forecast drivers'!F76)+(Coeffs!$G$8*'Forecast drivers'!I76)+(Coeffs!$G$9*'Forecast drivers'!J76)+(Coeffs!$G$11*'Forecast drivers'!H76))</f>
        <v>34.987046603320842</v>
      </c>
      <c r="H77" s="42">
        <f>EXP(Coeffs!$H$12+(Coeffs!$H$5*'Forecast drivers'!D76)+(Coeffs!$H$7*'Forecast drivers'!G76)+(Coeffs!$H$8*'Forecast drivers'!I76)+(Coeffs!$H$9*'Forecast drivers'!J76)+(Coeffs!$H$11*'Forecast drivers'!H76))</f>
        <v>34.022935016298732</v>
      </c>
      <c r="J77" s="42">
        <f t="shared" si="12"/>
        <v>14.044978009321991</v>
      </c>
      <c r="K77" s="42">
        <f t="shared" si="13"/>
        <v>19.366064982364943</v>
      </c>
      <c r="L77" s="43">
        <f t="shared" si="14"/>
        <v>33.411042991686934</v>
      </c>
      <c r="M77" s="43">
        <f t="shared" si="15"/>
        <v>34.504990809809783</v>
      </c>
      <c r="N77" s="60">
        <f t="shared" si="16"/>
        <v>33.958016900748362</v>
      </c>
      <c r="O77" s="17"/>
      <c r="P77" s="43">
        <f>Controls!$G$10*N77</f>
        <v>32.396904872891604</v>
      </c>
      <c r="Q77" s="93">
        <f>(INDEX(Controls!$G$13:$G$17,MATCH($B77,Controls!$C$13:$C$17,0),0))*$P77</f>
        <v>-0.44875609485641965</v>
      </c>
      <c r="R77" s="60">
        <f t="shared" si="17"/>
        <v>31.948148778035183</v>
      </c>
      <c r="S77" s="233"/>
    </row>
    <row r="78" spans="1:19" x14ac:dyDescent="0.3">
      <c r="A78" s="33" t="str">
        <f>'Forecast drivers'!A77</f>
        <v>SES</v>
      </c>
      <c r="B78" s="49">
        <f>'Forecast drivers'!B77</f>
        <v>2022</v>
      </c>
      <c r="C78" s="33" t="str">
        <f>'Forecast drivers'!C77</f>
        <v>SES22</v>
      </c>
      <c r="D78" s="42">
        <f>EXP(Coeffs!$D$12+(Coeffs!$D$5*'Forecast drivers'!D77)+(Coeffs!$D$6*'Forecast drivers'!F77)+(Coeffs!$D$8*'Forecast drivers'!I77)+(Coeffs!$D$9*'Forecast drivers'!J77))</f>
        <v>14.722902233791341</v>
      </c>
      <c r="E78" s="42">
        <f>EXP(Coeffs!$E$12+(Coeffs!$E$5*'Forecast drivers'!D77)+(Coeffs!$E$7*'Forecast drivers'!G77)+(Coeffs!$E$8*'Forecast drivers'!I77)+(Coeffs!$E$9*'Forecast drivers'!J77))</f>
        <v>13.553978211319427</v>
      </c>
      <c r="F78" s="42">
        <f>EXP(Coeffs!$F$12+(Coeffs!$F$8*'Forecast drivers'!I77)+(Coeffs!$F$9*'Forecast drivers'!J77)+(Coeffs!$F$10*'Forecast drivers'!E77)+(Coeffs!$F$11*'Forecast drivers'!H77))</f>
        <v>19.535594596021372</v>
      </c>
      <c r="G78" s="42">
        <f>EXP(Coeffs!$G$12+(Coeffs!$G$5*'Forecast drivers'!D77)+(Coeffs!$G$6*'Forecast drivers'!F77)+(Coeffs!$G$8*'Forecast drivers'!I77)+(Coeffs!$G$9*'Forecast drivers'!J77)+(Coeffs!$G$11*'Forecast drivers'!H77))</f>
        <v>35.305432531232029</v>
      </c>
      <c r="H78" s="42">
        <f>EXP(Coeffs!$H$12+(Coeffs!$H$5*'Forecast drivers'!D77)+(Coeffs!$H$7*'Forecast drivers'!G77)+(Coeffs!$H$8*'Forecast drivers'!I77)+(Coeffs!$H$9*'Forecast drivers'!J77)+(Coeffs!$H$11*'Forecast drivers'!H77))</f>
        <v>34.309907396111292</v>
      </c>
      <c r="J78" s="42">
        <f t="shared" si="12"/>
        <v>14.138440222555385</v>
      </c>
      <c r="K78" s="42">
        <f t="shared" si="13"/>
        <v>19.535594596021372</v>
      </c>
      <c r="L78" s="43">
        <f t="shared" si="14"/>
        <v>33.674034818576757</v>
      </c>
      <c r="M78" s="43">
        <f t="shared" si="15"/>
        <v>34.807669963671657</v>
      </c>
      <c r="N78" s="60">
        <f t="shared" si="16"/>
        <v>34.240852391124207</v>
      </c>
      <c r="O78" s="17"/>
      <c r="P78" s="43">
        <f>Controls!$G$10*N78</f>
        <v>32.666737899453942</v>
      </c>
      <c r="Q78" s="93">
        <f>(INDEX(Controls!$G$13:$G$17,MATCH($B78,Controls!$C$13:$C$17,0),0))*$P78</f>
        <v>-0.66832920901517878</v>
      </c>
      <c r="R78" s="60">
        <f t="shared" si="17"/>
        <v>31.998408690438762</v>
      </c>
      <c r="S78" s="233"/>
    </row>
    <row r="79" spans="1:19" x14ac:dyDescent="0.3">
      <c r="A79" s="33" t="str">
        <f>'Forecast drivers'!A78</f>
        <v>SES</v>
      </c>
      <c r="B79" s="49">
        <f>'Forecast drivers'!B78</f>
        <v>2023</v>
      </c>
      <c r="C79" s="33" t="str">
        <f>'Forecast drivers'!C78</f>
        <v>SES23</v>
      </c>
      <c r="D79" s="42">
        <f>EXP(Coeffs!$D$12+(Coeffs!$D$5*'Forecast drivers'!D78)+(Coeffs!$D$6*'Forecast drivers'!F78)+(Coeffs!$D$8*'Forecast drivers'!I78)+(Coeffs!$D$9*'Forecast drivers'!J78))</f>
        <v>14.863808433746311</v>
      </c>
      <c r="E79" s="42">
        <f>EXP(Coeffs!$E$12+(Coeffs!$E$5*'Forecast drivers'!D78)+(Coeffs!$E$7*'Forecast drivers'!G78)+(Coeffs!$E$8*'Forecast drivers'!I78)+(Coeffs!$E$9*'Forecast drivers'!J78))</f>
        <v>13.673490831857814</v>
      </c>
      <c r="F79" s="42">
        <f>EXP(Coeffs!$F$12+(Coeffs!$F$8*'Forecast drivers'!I78)+(Coeffs!$F$9*'Forecast drivers'!J78)+(Coeffs!$F$10*'Forecast drivers'!E78)+(Coeffs!$F$11*'Forecast drivers'!H78))</f>
        <v>19.705293552168225</v>
      </c>
      <c r="G79" s="42">
        <f>EXP(Coeffs!$G$12+(Coeffs!$G$5*'Forecast drivers'!D78)+(Coeffs!$G$6*'Forecast drivers'!F78)+(Coeffs!$G$8*'Forecast drivers'!I78)+(Coeffs!$G$9*'Forecast drivers'!J78)+(Coeffs!$G$11*'Forecast drivers'!H78))</f>
        <v>35.712585640779729</v>
      </c>
      <c r="H79" s="42">
        <f>EXP(Coeffs!$H$12+(Coeffs!$H$5*'Forecast drivers'!D78)+(Coeffs!$H$7*'Forecast drivers'!G78)+(Coeffs!$H$8*'Forecast drivers'!I78)+(Coeffs!$H$9*'Forecast drivers'!J78)+(Coeffs!$H$11*'Forecast drivers'!H78))</f>
        <v>34.682988613456573</v>
      </c>
      <c r="J79" s="42">
        <f t="shared" si="12"/>
        <v>14.268649632802063</v>
      </c>
      <c r="K79" s="42">
        <f t="shared" si="13"/>
        <v>19.705293552168225</v>
      </c>
      <c r="L79" s="43">
        <f t="shared" si="14"/>
        <v>33.973943184970288</v>
      </c>
      <c r="M79" s="43">
        <f t="shared" si="15"/>
        <v>35.197787127118147</v>
      </c>
      <c r="N79" s="60">
        <f t="shared" si="16"/>
        <v>34.585865156044221</v>
      </c>
      <c r="O79" s="17"/>
      <c r="P79" s="43">
        <f>Controls!$G$10*N79</f>
        <v>32.995889797743992</v>
      </c>
      <c r="Q79" s="93">
        <f>(INDEX(Controls!$G$13:$G$17,MATCH($B79,Controls!$C$13:$C$17,0),0))*$P79</f>
        <v>-0.88514870394528566</v>
      </c>
      <c r="R79" s="60">
        <f t="shared" si="17"/>
        <v>32.110741093798708</v>
      </c>
      <c r="S79" s="233"/>
    </row>
    <row r="80" spans="1:19" x14ac:dyDescent="0.3">
      <c r="A80" s="33" t="str">
        <f>'Forecast drivers'!A79</f>
        <v>SES</v>
      </c>
      <c r="B80" s="49">
        <f>'Forecast drivers'!B79</f>
        <v>2024</v>
      </c>
      <c r="C80" s="33" t="str">
        <f>'Forecast drivers'!C79</f>
        <v>SES24</v>
      </c>
      <c r="D80" s="42">
        <f>EXP(Coeffs!$D$12+(Coeffs!$D$5*'Forecast drivers'!D79)+(Coeffs!$D$6*'Forecast drivers'!F79)+(Coeffs!$D$8*'Forecast drivers'!I79)+(Coeffs!$D$9*'Forecast drivers'!J79))</f>
        <v>14.997886571667365</v>
      </c>
      <c r="E80" s="42">
        <f>EXP(Coeffs!$E$12+(Coeffs!$E$5*'Forecast drivers'!D79)+(Coeffs!$E$7*'Forecast drivers'!G79)+(Coeffs!$E$8*'Forecast drivers'!I79)+(Coeffs!$E$9*'Forecast drivers'!J79))</f>
        <v>13.786866575176747</v>
      </c>
      <c r="F80" s="42">
        <f>EXP(Coeffs!$F$12+(Coeffs!$F$8*'Forecast drivers'!I79)+(Coeffs!$F$9*'Forecast drivers'!J79)+(Coeffs!$F$10*'Forecast drivers'!E79)+(Coeffs!$F$11*'Forecast drivers'!H79))</f>
        <v>19.864467133138501</v>
      </c>
      <c r="G80" s="42">
        <f>EXP(Coeffs!$G$12+(Coeffs!$G$5*'Forecast drivers'!D79)+(Coeffs!$G$6*'Forecast drivers'!F79)+(Coeffs!$G$8*'Forecast drivers'!I79)+(Coeffs!$G$9*'Forecast drivers'!J79)+(Coeffs!$G$11*'Forecast drivers'!H79))</f>
        <v>36.100677317460523</v>
      </c>
      <c r="H80" s="42">
        <f>EXP(Coeffs!$H$12+(Coeffs!$H$5*'Forecast drivers'!D79)+(Coeffs!$H$7*'Forecast drivers'!G79)+(Coeffs!$H$8*'Forecast drivers'!I79)+(Coeffs!$H$9*'Forecast drivers'!J79)+(Coeffs!$H$11*'Forecast drivers'!H79))</f>
        <v>35.037737657513659</v>
      </c>
      <c r="J80" s="42">
        <f t="shared" si="12"/>
        <v>14.392376573422055</v>
      </c>
      <c r="K80" s="42">
        <f t="shared" si="13"/>
        <v>19.864467133138501</v>
      </c>
      <c r="L80" s="43">
        <f t="shared" si="14"/>
        <v>34.256843706560559</v>
      </c>
      <c r="M80" s="43">
        <f t="shared" si="15"/>
        <v>35.569207487487091</v>
      </c>
      <c r="N80" s="60">
        <f t="shared" si="16"/>
        <v>34.913025597023825</v>
      </c>
      <c r="O80" s="17"/>
      <c r="P80" s="43">
        <f>Controls!$G$10*N80</f>
        <v>33.308010076014895</v>
      </c>
      <c r="Q80" s="93">
        <f>(INDEX(Controls!$G$13:$G$17,MATCH($B80,Controls!$C$13:$C$17,0),0))*$P80</f>
        <v>-1.0880085821973815</v>
      </c>
      <c r="R80" s="60">
        <f t="shared" si="17"/>
        <v>32.220001493817513</v>
      </c>
      <c r="S80" s="233"/>
    </row>
    <row r="81" spans="1:19" x14ac:dyDescent="0.3">
      <c r="A81" s="33" t="str">
        <f>'Forecast drivers'!A80</f>
        <v>SES</v>
      </c>
      <c r="B81" s="49">
        <f>'Forecast drivers'!B80</f>
        <v>2025</v>
      </c>
      <c r="C81" s="33" t="str">
        <f>'Forecast drivers'!C80</f>
        <v>SES25</v>
      </c>
      <c r="D81" s="42">
        <f>EXP(Coeffs!$D$12+(Coeffs!$D$5*'Forecast drivers'!D80)+(Coeffs!$D$6*'Forecast drivers'!F80)+(Coeffs!$D$8*'Forecast drivers'!I80)+(Coeffs!$D$9*'Forecast drivers'!J80))</f>
        <v>15.130227214747514</v>
      </c>
      <c r="E81" s="42">
        <f>EXP(Coeffs!$E$12+(Coeffs!$E$5*'Forecast drivers'!D80)+(Coeffs!$E$7*'Forecast drivers'!G80)+(Coeffs!$E$8*'Forecast drivers'!I80)+(Coeffs!$E$9*'Forecast drivers'!J80))</f>
        <v>13.899174261344804</v>
      </c>
      <c r="F81" s="42">
        <f>EXP(Coeffs!$F$12+(Coeffs!$F$8*'Forecast drivers'!I80)+(Coeffs!$F$9*'Forecast drivers'!J80)+(Coeffs!$F$10*'Forecast drivers'!E80)+(Coeffs!$F$11*'Forecast drivers'!H80))</f>
        <v>20.015930412970157</v>
      </c>
      <c r="G81" s="42">
        <f>EXP(Coeffs!$G$12+(Coeffs!$G$5*'Forecast drivers'!D80)+(Coeffs!$G$6*'Forecast drivers'!F80)+(Coeffs!$G$8*'Forecast drivers'!I80)+(Coeffs!$G$9*'Forecast drivers'!J80)+(Coeffs!$G$11*'Forecast drivers'!H80))</f>
        <v>36.480468094561559</v>
      </c>
      <c r="H81" s="42">
        <f>EXP(Coeffs!$H$12+(Coeffs!$H$5*'Forecast drivers'!D80)+(Coeffs!$H$7*'Forecast drivers'!G80)+(Coeffs!$H$8*'Forecast drivers'!I80)+(Coeffs!$H$9*'Forecast drivers'!J80)+(Coeffs!$H$11*'Forecast drivers'!H80))</f>
        <v>35.385298471190069</v>
      </c>
      <c r="J81" s="42">
        <f t="shared" si="12"/>
        <v>14.514700738046159</v>
      </c>
      <c r="K81" s="42">
        <f t="shared" si="13"/>
        <v>20.015930412970157</v>
      </c>
      <c r="L81" s="43">
        <f t="shared" si="14"/>
        <v>34.530631151016316</v>
      </c>
      <c r="M81" s="43">
        <f t="shared" si="15"/>
        <v>35.932883282875814</v>
      </c>
      <c r="N81" s="60">
        <f t="shared" si="16"/>
        <v>35.231757216946065</v>
      </c>
      <c r="O81" s="17"/>
      <c r="P81" s="43">
        <f>Controls!$G$10*N81</f>
        <v>33.612089021519388</v>
      </c>
      <c r="Q81" s="93">
        <f>(INDEX(Controls!$G$13:$G$17,MATCH($B81,Controls!$C$13:$C$17,0),0))*$P81</f>
        <v>-1.2800205701632603</v>
      </c>
      <c r="R81" s="60">
        <f t="shared" si="17"/>
        <v>32.332068451356129</v>
      </c>
      <c r="S81" s="233"/>
    </row>
    <row r="82" spans="1:19" x14ac:dyDescent="0.3">
      <c r="A82" s="33" t="str">
        <f>'Forecast drivers'!A81</f>
        <v>SEW</v>
      </c>
      <c r="B82" s="49">
        <f>'Forecast drivers'!B81</f>
        <v>2021</v>
      </c>
      <c r="C82" s="33" t="str">
        <f>'Forecast drivers'!C81</f>
        <v>SEW21</v>
      </c>
      <c r="D82" s="42">
        <f>EXP(Coeffs!$D$12+(Coeffs!$D$5*'Forecast drivers'!D81)+(Coeffs!$D$6*'Forecast drivers'!F81)+(Coeffs!$D$8*'Forecast drivers'!I81)+(Coeffs!$D$9*'Forecast drivers'!J81))</f>
        <v>56.942488201828091</v>
      </c>
      <c r="E82" s="42">
        <f>EXP(Coeffs!$E$12+(Coeffs!$E$5*'Forecast drivers'!D81)+(Coeffs!$E$7*'Forecast drivers'!G81)+(Coeffs!$E$8*'Forecast drivers'!I81)+(Coeffs!$E$9*'Forecast drivers'!J81))</f>
        <v>57.35267004972917</v>
      </c>
      <c r="F82" s="42">
        <f>EXP(Coeffs!$F$12+(Coeffs!$F$8*'Forecast drivers'!I81)+(Coeffs!$F$9*'Forecast drivers'!J81)+(Coeffs!$F$10*'Forecast drivers'!E81)+(Coeffs!$F$11*'Forecast drivers'!H81))</f>
        <v>60.346435742515304</v>
      </c>
      <c r="G82" s="42">
        <f>EXP(Coeffs!$G$12+(Coeffs!$G$5*'Forecast drivers'!D81)+(Coeffs!$G$6*'Forecast drivers'!F81)+(Coeffs!$G$8*'Forecast drivers'!I81)+(Coeffs!$G$9*'Forecast drivers'!J81)+(Coeffs!$G$11*'Forecast drivers'!H81))</f>
        <v>129.97285217912577</v>
      </c>
      <c r="H82" s="42">
        <f>EXP(Coeffs!$H$12+(Coeffs!$H$5*'Forecast drivers'!D81)+(Coeffs!$H$7*'Forecast drivers'!G81)+(Coeffs!$H$8*'Forecast drivers'!I81)+(Coeffs!$H$9*'Forecast drivers'!J81)+(Coeffs!$H$11*'Forecast drivers'!H81))</f>
        <v>130.39732803726659</v>
      </c>
      <c r="J82" s="42">
        <f t="shared" si="12"/>
        <v>57.147579125778634</v>
      </c>
      <c r="K82" s="42">
        <f t="shared" si="13"/>
        <v>60.346435742515304</v>
      </c>
      <c r="L82" s="43">
        <f t="shared" si="14"/>
        <v>117.49401486829393</v>
      </c>
      <c r="M82" s="43">
        <f t="shared" si="15"/>
        <v>130.18509010819616</v>
      </c>
      <c r="N82" s="60">
        <f t="shared" si="16"/>
        <v>123.83955248824505</v>
      </c>
      <c r="O82" s="17"/>
      <c r="P82" s="43">
        <f>Controls!$G$10*N82</f>
        <v>118.14642218918047</v>
      </c>
      <c r="Q82" s="93">
        <f>(INDEX(Controls!$G$13:$G$17,MATCH($B82,Controls!$C$13:$C$17,0),0))*$P82</f>
        <v>-1.6365429738085422</v>
      </c>
      <c r="R82" s="60">
        <f t="shared" si="17"/>
        <v>116.50987921537192</v>
      </c>
      <c r="S82" s="233"/>
    </row>
    <row r="83" spans="1:19" x14ac:dyDescent="0.3">
      <c r="A83" s="33" t="str">
        <f>'Forecast drivers'!A82</f>
        <v>SEW</v>
      </c>
      <c r="B83" s="49">
        <f>'Forecast drivers'!B82</f>
        <v>2022</v>
      </c>
      <c r="C83" s="33" t="str">
        <f>'Forecast drivers'!C82</f>
        <v>SEW22</v>
      </c>
      <c r="D83" s="42">
        <f>EXP(Coeffs!$D$12+(Coeffs!$D$5*'Forecast drivers'!D82)+(Coeffs!$D$6*'Forecast drivers'!F82)+(Coeffs!$D$8*'Forecast drivers'!I82)+(Coeffs!$D$9*'Forecast drivers'!J82))</f>
        <v>57.543658300022855</v>
      </c>
      <c r="E83" s="42">
        <f>EXP(Coeffs!$E$12+(Coeffs!$E$5*'Forecast drivers'!D82)+(Coeffs!$E$7*'Forecast drivers'!G82)+(Coeffs!$E$8*'Forecast drivers'!I82)+(Coeffs!$E$9*'Forecast drivers'!J82))</f>
        <v>57.858810814356552</v>
      </c>
      <c r="F83" s="42">
        <f>EXP(Coeffs!$F$12+(Coeffs!$F$8*'Forecast drivers'!I82)+(Coeffs!$F$9*'Forecast drivers'!J82)+(Coeffs!$F$10*'Forecast drivers'!E82)+(Coeffs!$F$11*'Forecast drivers'!H82))</f>
        <v>60.659531183563203</v>
      </c>
      <c r="G83" s="42">
        <f>EXP(Coeffs!$G$12+(Coeffs!$G$5*'Forecast drivers'!D82)+(Coeffs!$G$6*'Forecast drivers'!F82)+(Coeffs!$G$8*'Forecast drivers'!I82)+(Coeffs!$G$9*'Forecast drivers'!J82)+(Coeffs!$G$11*'Forecast drivers'!H82))</f>
        <v>131.25702239098547</v>
      </c>
      <c r="H83" s="42">
        <f>EXP(Coeffs!$H$12+(Coeffs!$H$5*'Forecast drivers'!D82)+(Coeffs!$H$7*'Forecast drivers'!G82)+(Coeffs!$H$8*'Forecast drivers'!I82)+(Coeffs!$H$9*'Forecast drivers'!J82)+(Coeffs!$H$11*'Forecast drivers'!H82))</f>
        <v>131.65810917338558</v>
      </c>
      <c r="J83" s="42">
        <f t="shared" si="12"/>
        <v>57.701234557189707</v>
      </c>
      <c r="K83" s="42">
        <f t="shared" si="13"/>
        <v>60.659531183563203</v>
      </c>
      <c r="L83" s="43">
        <f t="shared" si="14"/>
        <v>118.36076574075291</v>
      </c>
      <c r="M83" s="43">
        <f t="shared" si="15"/>
        <v>131.45756578218553</v>
      </c>
      <c r="N83" s="60">
        <f t="shared" si="16"/>
        <v>124.90916576146921</v>
      </c>
      <c r="O83" s="17"/>
      <c r="P83" s="43">
        <f>Controls!$G$10*N83</f>
        <v>119.16686338763755</v>
      </c>
      <c r="Q83" s="93">
        <f>(INDEX(Controls!$G$13:$G$17,MATCH($B83,Controls!$C$13:$C$17,0),0))*$P83</f>
        <v>-2.4380363840985475</v>
      </c>
      <c r="R83" s="60">
        <f t="shared" si="17"/>
        <v>116.728827003539</v>
      </c>
      <c r="S83" s="233"/>
    </row>
    <row r="84" spans="1:19" x14ac:dyDescent="0.3">
      <c r="A84" s="33" t="str">
        <f>'Forecast drivers'!A83</f>
        <v>SEW</v>
      </c>
      <c r="B84" s="49">
        <f>'Forecast drivers'!B83</f>
        <v>2023</v>
      </c>
      <c r="C84" s="33" t="str">
        <f>'Forecast drivers'!C83</f>
        <v>SEW23</v>
      </c>
      <c r="D84" s="42">
        <f>EXP(Coeffs!$D$12+(Coeffs!$D$5*'Forecast drivers'!D83)+(Coeffs!$D$6*'Forecast drivers'!F83)+(Coeffs!$D$8*'Forecast drivers'!I83)+(Coeffs!$D$9*'Forecast drivers'!J83))</f>
        <v>57.983302740538221</v>
      </c>
      <c r="E84" s="42">
        <f>EXP(Coeffs!$E$12+(Coeffs!$E$5*'Forecast drivers'!D83)+(Coeffs!$E$7*'Forecast drivers'!G83)+(Coeffs!$E$8*'Forecast drivers'!I83)+(Coeffs!$E$9*'Forecast drivers'!J83))</f>
        <v>58.321664004654124</v>
      </c>
      <c r="F84" s="42">
        <f>EXP(Coeffs!$F$12+(Coeffs!$F$8*'Forecast drivers'!I83)+(Coeffs!$F$9*'Forecast drivers'!J83)+(Coeffs!$F$10*'Forecast drivers'!E83)+(Coeffs!$F$11*'Forecast drivers'!H83))</f>
        <v>60.987253763423524</v>
      </c>
      <c r="G84" s="42">
        <f>EXP(Coeffs!$G$12+(Coeffs!$G$5*'Forecast drivers'!D83)+(Coeffs!$G$6*'Forecast drivers'!F83)+(Coeffs!$G$8*'Forecast drivers'!I83)+(Coeffs!$G$9*'Forecast drivers'!J83)+(Coeffs!$G$11*'Forecast drivers'!H83))</f>
        <v>132.37046240500342</v>
      </c>
      <c r="H84" s="42">
        <f>EXP(Coeffs!$H$12+(Coeffs!$H$5*'Forecast drivers'!D83)+(Coeffs!$H$7*'Forecast drivers'!G83)+(Coeffs!$H$8*'Forecast drivers'!I83)+(Coeffs!$H$9*'Forecast drivers'!J83)+(Coeffs!$H$11*'Forecast drivers'!H83))</f>
        <v>132.77987109464743</v>
      </c>
      <c r="J84" s="42">
        <f t="shared" si="12"/>
        <v>58.152483372596173</v>
      </c>
      <c r="K84" s="42">
        <f t="shared" si="13"/>
        <v>60.987253763423524</v>
      </c>
      <c r="L84" s="43">
        <f t="shared" si="14"/>
        <v>119.1397371360197</v>
      </c>
      <c r="M84" s="43">
        <f t="shared" si="15"/>
        <v>132.57516674982543</v>
      </c>
      <c r="N84" s="60">
        <f t="shared" si="16"/>
        <v>125.85745194292257</v>
      </c>
      <c r="O84" s="17"/>
      <c r="P84" s="43">
        <f>Controls!$G$10*N84</f>
        <v>120.07155512221716</v>
      </c>
      <c r="Q84" s="93">
        <f>(INDEX(Controls!$G$13:$G$17,MATCH($B84,Controls!$C$13:$C$17,0),0))*$P84</f>
        <v>-3.2210430465309696</v>
      </c>
      <c r="R84" s="60">
        <f t="shared" si="17"/>
        <v>116.8505120756862</v>
      </c>
      <c r="S84" s="233"/>
    </row>
    <row r="85" spans="1:19" x14ac:dyDescent="0.3">
      <c r="A85" s="33" t="str">
        <f>'Forecast drivers'!A84</f>
        <v>SEW</v>
      </c>
      <c r="B85" s="49">
        <f>'Forecast drivers'!B84</f>
        <v>2024</v>
      </c>
      <c r="C85" s="33" t="str">
        <f>'Forecast drivers'!C84</f>
        <v>SEW24</v>
      </c>
      <c r="D85" s="42">
        <f>EXP(Coeffs!$D$12+(Coeffs!$D$5*'Forecast drivers'!D84)+(Coeffs!$D$6*'Forecast drivers'!F84)+(Coeffs!$D$8*'Forecast drivers'!I84)+(Coeffs!$D$9*'Forecast drivers'!J84))</f>
        <v>59.184347538627804</v>
      </c>
      <c r="E85" s="42">
        <f>EXP(Coeffs!$E$12+(Coeffs!$E$5*'Forecast drivers'!D84)+(Coeffs!$E$7*'Forecast drivers'!G84)+(Coeffs!$E$8*'Forecast drivers'!I84)+(Coeffs!$E$9*'Forecast drivers'!J84))</f>
        <v>59.377686410776946</v>
      </c>
      <c r="F85" s="42">
        <f>EXP(Coeffs!$F$12+(Coeffs!$F$8*'Forecast drivers'!I84)+(Coeffs!$F$9*'Forecast drivers'!J84)+(Coeffs!$F$10*'Forecast drivers'!E84)+(Coeffs!$F$11*'Forecast drivers'!H84))</f>
        <v>61.294610037870179</v>
      </c>
      <c r="G85" s="42">
        <f>EXP(Coeffs!$G$12+(Coeffs!$G$5*'Forecast drivers'!D84)+(Coeffs!$G$6*'Forecast drivers'!F84)+(Coeffs!$G$8*'Forecast drivers'!I84)+(Coeffs!$G$9*'Forecast drivers'!J84)+(Coeffs!$G$11*'Forecast drivers'!H84))</f>
        <v>134.60122480748331</v>
      </c>
      <c r="H85" s="42">
        <f>EXP(Coeffs!$H$12+(Coeffs!$H$5*'Forecast drivers'!D84)+(Coeffs!$H$7*'Forecast drivers'!G84)+(Coeffs!$H$8*'Forecast drivers'!I84)+(Coeffs!$H$9*'Forecast drivers'!J84)+(Coeffs!$H$11*'Forecast drivers'!H84))</f>
        <v>135.48067809870915</v>
      </c>
      <c r="J85" s="42">
        <f t="shared" si="12"/>
        <v>59.281016974702375</v>
      </c>
      <c r="K85" s="42">
        <f t="shared" si="13"/>
        <v>61.294610037870179</v>
      </c>
      <c r="L85" s="43">
        <f t="shared" si="14"/>
        <v>120.57562701257255</v>
      </c>
      <c r="M85" s="43">
        <f t="shared" si="15"/>
        <v>135.04095145309623</v>
      </c>
      <c r="N85" s="60">
        <f t="shared" si="16"/>
        <v>127.8082892328344</v>
      </c>
      <c r="O85" s="17"/>
      <c r="P85" s="43">
        <f>Controls!$G$10*N85</f>
        <v>121.93270886062555</v>
      </c>
      <c r="Q85" s="93">
        <f>(INDEX(Controls!$G$13:$G$17,MATCH($B85,Controls!$C$13:$C$17,0),0))*$P85</f>
        <v>-3.9829408418026917</v>
      </c>
      <c r="R85" s="60">
        <f t="shared" si="17"/>
        <v>117.94976801882287</v>
      </c>
      <c r="S85" s="233"/>
    </row>
    <row r="86" spans="1:19" x14ac:dyDescent="0.3">
      <c r="A86" s="33" t="str">
        <f>'Forecast drivers'!A85</f>
        <v>SEW</v>
      </c>
      <c r="B86" s="49">
        <f>'Forecast drivers'!B85</f>
        <v>2025</v>
      </c>
      <c r="C86" s="33" t="str">
        <f>'Forecast drivers'!C85</f>
        <v>SEW25</v>
      </c>
      <c r="D86" s="42">
        <f>EXP(Coeffs!$D$12+(Coeffs!$D$5*'Forecast drivers'!D85)+(Coeffs!$D$6*'Forecast drivers'!F85)+(Coeffs!$D$8*'Forecast drivers'!I85)+(Coeffs!$D$9*'Forecast drivers'!J85))</f>
        <v>59.556965689592509</v>
      </c>
      <c r="E86" s="42">
        <f>EXP(Coeffs!$E$12+(Coeffs!$E$5*'Forecast drivers'!D85)+(Coeffs!$E$7*'Forecast drivers'!G85)+(Coeffs!$E$8*'Forecast drivers'!I85)+(Coeffs!$E$9*'Forecast drivers'!J85))</f>
        <v>59.752434562267062</v>
      </c>
      <c r="F86" s="42">
        <f>EXP(Coeffs!$F$12+(Coeffs!$F$8*'Forecast drivers'!I85)+(Coeffs!$F$9*'Forecast drivers'!J85)+(Coeffs!$F$10*'Forecast drivers'!E85)+(Coeffs!$F$11*'Forecast drivers'!H85))</f>
        <v>61.771830080248343</v>
      </c>
      <c r="G86" s="42">
        <f>EXP(Coeffs!$G$12+(Coeffs!$G$5*'Forecast drivers'!D85)+(Coeffs!$G$6*'Forecast drivers'!F85)+(Coeffs!$G$8*'Forecast drivers'!I85)+(Coeffs!$G$9*'Forecast drivers'!J85)+(Coeffs!$G$11*'Forecast drivers'!H85))</f>
        <v>135.59726077052451</v>
      </c>
      <c r="H86" s="42">
        <f>EXP(Coeffs!$H$12+(Coeffs!$H$5*'Forecast drivers'!D85)+(Coeffs!$H$7*'Forecast drivers'!G85)+(Coeffs!$H$8*'Forecast drivers'!I85)+(Coeffs!$H$9*'Forecast drivers'!J85)+(Coeffs!$H$11*'Forecast drivers'!H85))</f>
        <v>136.37141576317401</v>
      </c>
      <c r="J86" s="42">
        <f t="shared" si="12"/>
        <v>59.654700125929786</v>
      </c>
      <c r="K86" s="42">
        <f t="shared" si="13"/>
        <v>61.771830080248343</v>
      </c>
      <c r="L86" s="43">
        <f t="shared" si="14"/>
        <v>121.42653020617813</v>
      </c>
      <c r="M86" s="43">
        <f t="shared" si="15"/>
        <v>135.98433826684925</v>
      </c>
      <c r="N86" s="60">
        <f t="shared" si="16"/>
        <v>128.7054342365137</v>
      </c>
      <c r="O86" s="17"/>
      <c r="P86" s="43">
        <f>Controls!$G$10*N86</f>
        <v>122.78861047073246</v>
      </c>
      <c r="Q86" s="93">
        <f>(INDEX(Controls!$G$13:$G$17,MATCH($B86,Controls!$C$13:$C$17,0),0))*$P86</f>
        <v>-4.6760541150440131</v>
      </c>
      <c r="R86" s="60">
        <f t="shared" si="17"/>
        <v>118.11255635568845</v>
      </c>
      <c r="S86" s="233"/>
    </row>
    <row r="87" spans="1:19" x14ac:dyDescent="0.3">
      <c r="A87" s="33" t="str">
        <f>'Forecast drivers'!A86</f>
        <v>SSC</v>
      </c>
      <c r="B87" s="49">
        <f>'Forecast drivers'!B86</f>
        <v>2021</v>
      </c>
      <c r="C87" s="33" t="str">
        <f>'Forecast drivers'!C86</f>
        <v>SSC21</v>
      </c>
      <c r="D87" s="42">
        <f>EXP(Coeffs!$D$12+(Coeffs!$D$5*'Forecast drivers'!D86)+(Coeffs!$D$6*'Forecast drivers'!F86)+(Coeffs!$D$8*'Forecast drivers'!I86)+(Coeffs!$D$9*'Forecast drivers'!J86))</f>
        <v>30.355209659923005</v>
      </c>
      <c r="E87" s="42">
        <f>EXP(Coeffs!$E$12+(Coeffs!$E$5*'Forecast drivers'!D86)+(Coeffs!$E$7*'Forecast drivers'!G86)+(Coeffs!$E$8*'Forecast drivers'!I86)+(Coeffs!$E$9*'Forecast drivers'!J86))</f>
        <v>34.00230480076867</v>
      </c>
      <c r="F87" s="42">
        <f>EXP(Coeffs!$F$12+(Coeffs!$F$8*'Forecast drivers'!I86)+(Coeffs!$F$9*'Forecast drivers'!J86)+(Coeffs!$F$10*'Forecast drivers'!E86)+(Coeffs!$F$11*'Forecast drivers'!H86))</f>
        <v>50.787843494536816</v>
      </c>
      <c r="G87" s="42">
        <f>EXP(Coeffs!$G$12+(Coeffs!$G$5*'Forecast drivers'!D86)+(Coeffs!$G$6*'Forecast drivers'!F86)+(Coeffs!$G$8*'Forecast drivers'!I86)+(Coeffs!$G$9*'Forecast drivers'!J86)+(Coeffs!$G$11*'Forecast drivers'!H86))</f>
        <v>82.584564911510768</v>
      </c>
      <c r="H87" s="42">
        <f>EXP(Coeffs!$H$12+(Coeffs!$H$5*'Forecast drivers'!D86)+(Coeffs!$H$7*'Forecast drivers'!G86)+(Coeffs!$H$8*'Forecast drivers'!I86)+(Coeffs!$H$9*'Forecast drivers'!J86)+(Coeffs!$H$11*'Forecast drivers'!H86))</f>
        <v>90.000616314807033</v>
      </c>
      <c r="J87" s="42">
        <f t="shared" si="12"/>
        <v>32.178757230345838</v>
      </c>
      <c r="K87" s="42">
        <f t="shared" si="13"/>
        <v>50.787843494536816</v>
      </c>
      <c r="L87" s="43">
        <f t="shared" si="14"/>
        <v>82.966600724882653</v>
      </c>
      <c r="M87" s="43">
        <f t="shared" si="15"/>
        <v>86.292590613158893</v>
      </c>
      <c r="N87" s="60">
        <f t="shared" si="16"/>
        <v>84.629595669020773</v>
      </c>
      <c r="O87" s="17"/>
      <c r="P87" s="43">
        <f>Controls!$G$10*N87</f>
        <v>80.739018663369691</v>
      </c>
      <c r="Q87" s="93">
        <f>(INDEX(Controls!$G$13:$G$17,MATCH($B87,Controls!$C$13:$C$17,0),0))*$P87</f>
        <v>-1.1183823535016433</v>
      </c>
      <c r="R87" s="60">
        <f t="shared" si="17"/>
        <v>79.620636309868047</v>
      </c>
      <c r="S87" s="233"/>
    </row>
    <row r="88" spans="1:19" x14ac:dyDescent="0.3">
      <c r="A88" s="33" t="str">
        <f>'Forecast drivers'!A87</f>
        <v>SSC</v>
      </c>
      <c r="B88" s="49">
        <f>'Forecast drivers'!B87</f>
        <v>2022</v>
      </c>
      <c r="C88" s="33" t="str">
        <f>'Forecast drivers'!C87</f>
        <v>SSC22</v>
      </c>
      <c r="D88" s="42">
        <f>EXP(Coeffs!$D$12+(Coeffs!$D$5*'Forecast drivers'!D87)+(Coeffs!$D$6*'Forecast drivers'!F87)+(Coeffs!$D$8*'Forecast drivers'!I87)+(Coeffs!$D$9*'Forecast drivers'!J87))</f>
        <v>30.489061181339611</v>
      </c>
      <c r="E88" s="42">
        <f>EXP(Coeffs!$E$12+(Coeffs!$E$5*'Forecast drivers'!D87)+(Coeffs!$E$7*'Forecast drivers'!G87)+(Coeffs!$E$8*'Forecast drivers'!I87)+(Coeffs!$E$9*'Forecast drivers'!J87))</f>
        <v>34.141246778446089</v>
      </c>
      <c r="F88" s="42">
        <f>EXP(Coeffs!$F$12+(Coeffs!$F$8*'Forecast drivers'!I87)+(Coeffs!$F$9*'Forecast drivers'!J87)+(Coeffs!$F$10*'Forecast drivers'!E87)+(Coeffs!$F$11*'Forecast drivers'!H87))</f>
        <v>51.329528572647483</v>
      </c>
      <c r="G88" s="42">
        <f>EXP(Coeffs!$G$12+(Coeffs!$G$5*'Forecast drivers'!D87)+(Coeffs!$G$6*'Forecast drivers'!F87)+(Coeffs!$G$8*'Forecast drivers'!I87)+(Coeffs!$G$9*'Forecast drivers'!J87)+(Coeffs!$G$11*'Forecast drivers'!H87))</f>
        <v>83.096561815909098</v>
      </c>
      <c r="H88" s="42">
        <f>EXP(Coeffs!$H$12+(Coeffs!$H$5*'Forecast drivers'!D87)+(Coeffs!$H$7*'Forecast drivers'!G87)+(Coeffs!$H$8*'Forecast drivers'!I87)+(Coeffs!$H$9*'Forecast drivers'!J87)+(Coeffs!$H$11*'Forecast drivers'!H87))</f>
        <v>90.540162708346202</v>
      </c>
      <c r="J88" s="42">
        <f t="shared" si="12"/>
        <v>32.315153979892848</v>
      </c>
      <c r="K88" s="42">
        <f t="shared" si="13"/>
        <v>51.329528572647483</v>
      </c>
      <c r="L88" s="43">
        <f t="shared" si="14"/>
        <v>83.644682552540331</v>
      </c>
      <c r="M88" s="43">
        <f t="shared" si="15"/>
        <v>86.81836226212765</v>
      </c>
      <c r="N88" s="60">
        <f t="shared" si="16"/>
        <v>85.231522407333983</v>
      </c>
      <c r="O88" s="17"/>
      <c r="P88" s="43">
        <f>Controls!$G$10*N88</f>
        <v>81.313273730695286</v>
      </c>
      <c r="Q88" s="93">
        <f>(INDEX(Controls!$G$13:$G$17,MATCH($B88,Controls!$C$13:$C$17,0),0))*$P88</f>
        <v>-1.6635893085540907</v>
      </c>
      <c r="R88" s="60">
        <f t="shared" si="17"/>
        <v>79.649684422141192</v>
      </c>
      <c r="S88" s="233"/>
    </row>
    <row r="89" spans="1:19" x14ac:dyDescent="0.3">
      <c r="A89" s="33" t="str">
        <f>'Forecast drivers'!A88</f>
        <v>SSC</v>
      </c>
      <c r="B89" s="49">
        <f>'Forecast drivers'!B88</f>
        <v>2023</v>
      </c>
      <c r="C89" s="33" t="str">
        <f>'Forecast drivers'!C88</f>
        <v>SSC23</v>
      </c>
      <c r="D89" s="42">
        <f>EXP(Coeffs!$D$12+(Coeffs!$D$5*'Forecast drivers'!D88)+(Coeffs!$D$6*'Forecast drivers'!F88)+(Coeffs!$D$8*'Forecast drivers'!I88)+(Coeffs!$D$9*'Forecast drivers'!J88))</f>
        <v>31.855716829368301</v>
      </c>
      <c r="E89" s="42">
        <f>EXP(Coeffs!$E$12+(Coeffs!$E$5*'Forecast drivers'!D88)+(Coeffs!$E$7*'Forecast drivers'!G88)+(Coeffs!$E$8*'Forecast drivers'!I88)+(Coeffs!$E$9*'Forecast drivers'!J88))</f>
        <v>34.642603381759791</v>
      </c>
      <c r="F89" s="42">
        <f>EXP(Coeffs!$F$12+(Coeffs!$F$8*'Forecast drivers'!I88)+(Coeffs!$F$9*'Forecast drivers'!J88)+(Coeffs!$F$10*'Forecast drivers'!E88)+(Coeffs!$F$11*'Forecast drivers'!H88))</f>
        <v>51.861073722506269</v>
      </c>
      <c r="G89" s="42">
        <f>EXP(Coeffs!$G$12+(Coeffs!$G$5*'Forecast drivers'!D88)+(Coeffs!$G$6*'Forecast drivers'!F88)+(Coeffs!$G$8*'Forecast drivers'!I88)+(Coeffs!$G$9*'Forecast drivers'!J88)+(Coeffs!$G$11*'Forecast drivers'!H88))</f>
        <v>85.840716888919843</v>
      </c>
      <c r="H89" s="42">
        <f>EXP(Coeffs!$H$12+(Coeffs!$H$5*'Forecast drivers'!D88)+(Coeffs!$H$7*'Forecast drivers'!G88)+(Coeffs!$H$8*'Forecast drivers'!I88)+(Coeffs!$H$9*'Forecast drivers'!J88)+(Coeffs!$H$11*'Forecast drivers'!H88))</f>
        <v>92.182102146547308</v>
      </c>
      <c r="J89" s="42">
        <f t="shared" si="12"/>
        <v>33.249160105564044</v>
      </c>
      <c r="K89" s="42">
        <f t="shared" si="13"/>
        <v>51.861073722506269</v>
      </c>
      <c r="L89" s="43">
        <f t="shared" si="14"/>
        <v>85.110233828070307</v>
      </c>
      <c r="M89" s="43">
        <f t="shared" si="15"/>
        <v>89.011409517733568</v>
      </c>
      <c r="N89" s="60">
        <f t="shared" si="16"/>
        <v>87.060821672901938</v>
      </c>
      <c r="O89" s="17"/>
      <c r="P89" s="43">
        <f>Controls!$G$10*N89</f>
        <v>83.058476769608589</v>
      </c>
      <c r="Q89" s="93">
        <f>(INDEX(Controls!$G$13:$G$17,MATCH($B89,Controls!$C$13:$C$17,0),0))*$P89</f>
        <v>-2.2281291250195454</v>
      </c>
      <c r="R89" s="60">
        <f t="shared" si="17"/>
        <v>80.83034764458904</v>
      </c>
      <c r="S89" s="233"/>
    </row>
    <row r="90" spans="1:19" x14ac:dyDescent="0.3">
      <c r="A90" s="33" t="str">
        <f>'Forecast drivers'!A89</f>
        <v>SSC</v>
      </c>
      <c r="B90" s="49">
        <f>'Forecast drivers'!B89</f>
        <v>2024</v>
      </c>
      <c r="C90" s="33" t="str">
        <f>'Forecast drivers'!C89</f>
        <v>SSC24</v>
      </c>
      <c r="D90" s="42">
        <f>EXP(Coeffs!$D$12+(Coeffs!$D$5*'Forecast drivers'!D89)+(Coeffs!$D$6*'Forecast drivers'!F89)+(Coeffs!$D$8*'Forecast drivers'!I89)+(Coeffs!$D$9*'Forecast drivers'!J89))</f>
        <v>32.033619123299594</v>
      </c>
      <c r="E90" s="42">
        <f>EXP(Coeffs!$E$12+(Coeffs!$E$5*'Forecast drivers'!D89)+(Coeffs!$E$7*'Forecast drivers'!G89)+(Coeffs!$E$8*'Forecast drivers'!I89)+(Coeffs!$E$9*'Forecast drivers'!J89))</f>
        <v>34.825554897997279</v>
      </c>
      <c r="F90" s="42">
        <f>EXP(Coeffs!$F$12+(Coeffs!$F$8*'Forecast drivers'!I89)+(Coeffs!$F$9*'Forecast drivers'!J89)+(Coeffs!$F$10*'Forecast drivers'!E89)+(Coeffs!$F$11*'Forecast drivers'!H89))</f>
        <v>52.382297916546676</v>
      </c>
      <c r="G90" s="42">
        <f>EXP(Coeffs!$G$12+(Coeffs!$G$5*'Forecast drivers'!D89)+(Coeffs!$G$6*'Forecast drivers'!F89)+(Coeffs!$G$8*'Forecast drivers'!I89)+(Coeffs!$G$9*'Forecast drivers'!J89)+(Coeffs!$G$11*'Forecast drivers'!H89))</f>
        <v>86.468730427374879</v>
      </c>
      <c r="H90" s="42">
        <f>EXP(Coeffs!$H$12+(Coeffs!$H$5*'Forecast drivers'!D89)+(Coeffs!$H$7*'Forecast drivers'!G89)+(Coeffs!$H$8*'Forecast drivers'!I89)+(Coeffs!$H$9*'Forecast drivers'!J89)+(Coeffs!$H$11*'Forecast drivers'!H89))</f>
        <v>92.837339408062647</v>
      </c>
      <c r="J90" s="42">
        <f t="shared" si="12"/>
        <v>33.429587010648433</v>
      </c>
      <c r="K90" s="42">
        <f t="shared" si="13"/>
        <v>52.382297916546676</v>
      </c>
      <c r="L90" s="43">
        <f t="shared" si="14"/>
        <v>85.811884927195109</v>
      </c>
      <c r="M90" s="43">
        <f t="shared" si="15"/>
        <v>89.65303491771877</v>
      </c>
      <c r="N90" s="60">
        <f t="shared" si="16"/>
        <v>87.73245992245694</v>
      </c>
      <c r="O90" s="17"/>
      <c r="P90" s="43">
        <f>Controls!$G$10*N90</f>
        <v>83.699238582744655</v>
      </c>
      <c r="Q90" s="93">
        <f>(INDEX(Controls!$G$13:$G$17,MATCH($B90,Controls!$C$13:$C$17,0),0))*$P90</f>
        <v>-2.7340417423191745</v>
      </c>
      <c r="R90" s="60">
        <f t="shared" si="17"/>
        <v>80.965196840425477</v>
      </c>
      <c r="S90" s="233"/>
    </row>
    <row r="91" spans="1:19" x14ac:dyDescent="0.3">
      <c r="A91" s="33" t="str">
        <f>'Forecast drivers'!A90</f>
        <v>SSC</v>
      </c>
      <c r="B91" s="49">
        <f>'Forecast drivers'!B90</f>
        <v>2025</v>
      </c>
      <c r="C91" s="33" t="str">
        <f>'Forecast drivers'!C90</f>
        <v>SSC25</v>
      </c>
      <c r="D91" s="42">
        <f>EXP(Coeffs!$D$12+(Coeffs!$D$5*'Forecast drivers'!D90)+(Coeffs!$D$6*'Forecast drivers'!F90)+(Coeffs!$D$8*'Forecast drivers'!I90)+(Coeffs!$D$9*'Forecast drivers'!J90))</f>
        <v>33.473607676695245</v>
      </c>
      <c r="E91" s="42">
        <f>EXP(Coeffs!$E$12+(Coeffs!$E$5*'Forecast drivers'!D90)+(Coeffs!$E$7*'Forecast drivers'!G90)+(Coeffs!$E$8*'Forecast drivers'!I90)+(Coeffs!$E$9*'Forecast drivers'!J90))</f>
        <v>35.323935838900056</v>
      </c>
      <c r="F91" s="42">
        <f>EXP(Coeffs!$F$12+(Coeffs!$F$8*'Forecast drivers'!I90)+(Coeffs!$F$9*'Forecast drivers'!J90)+(Coeffs!$F$10*'Forecast drivers'!E90)+(Coeffs!$F$11*'Forecast drivers'!H90))</f>
        <v>52.903833373667872</v>
      </c>
      <c r="G91" s="42">
        <f>EXP(Coeffs!$G$12+(Coeffs!$G$5*'Forecast drivers'!D90)+(Coeffs!$G$6*'Forecast drivers'!F90)+(Coeffs!$G$8*'Forecast drivers'!I90)+(Coeffs!$G$9*'Forecast drivers'!J90)+(Coeffs!$G$11*'Forecast drivers'!H90))</f>
        <v>89.318548596631558</v>
      </c>
      <c r="H91" s="42">
        <f>EXP(Coeffs!$H$12+(Coeffs!$H$5*'Forecast drivers'!D90)+(Coeffs!$H$7*'Forecast drivers'!G90)+(Coeffs!$H$8*'Forecast drivers'!I90)+(Coeffs!$H$9*'Forecast drivers'!J90)+(Coeffs!$H$11*'Forecast drivers'!H90))</f>
        <v>94.481644246530109</v>
      </c>
      <c r="J91" s="42">
        <f t="shared" si="12"/>
        <v>34.398771757797647</v>
      </c>
      <c r="K91" s="42">
        <f t="shared" si="13"/>
        <v>52.903833373667872</v>
      </c>
      <c r="L91" s="43">
        <f t="shared" si="14"/>
        <v>87.302605131465526</v>
      </c>
      <c r="M91" s="43">
        <f t="shared" si="15"/>
        <v>91.900096421580827</v>
      </c>
      <c r="N91" s="60">
        <f t="shared" si="16"/>
        <v>89.601350776523176</v>
      </c>
      <c r="O91" s="17"/>
      <c r="P91" s="43">
        <f>Controls!$G$10*N91</f>
        <v>85.482213112557872</v>
      </c>
      <c r="Q91" s="93">
        <f>(INDEX(Controls!$G$13:$G$17,MATCH($B91,Controls!$C$13:$C$17,0),0))*$P91</f>
        <v>-3.2553463456883205</v>
      </c>
      <c r="R91" s="60">
        <f t="shared" si="17"/>
        <v>82.226866766869549</v>
      </c>
      <c r="S91" s="233"/>
    </row>
    <row r="92" spans="1:19" s="35" customFormat="1" x14ac:dyDescent="0.3">
      <c r="A92" s="34" t="str">
        <f t="shared" ref="A92:A106" si="18">LEFT(C92,3)</f>
        <v>SVH</v>
      </c>
      <c r="B92" s="50">
        <v>2021</v>
      </c>
      <c r="C92" s="34" t="s">
        <v>79</v>
      </c>
      <c r="D92" s="44">
        <f t="shared" ref="D92:H96" si="19">D27+D67</f>
        <v>186.54311607014492</v>
      </c>
      <c r="E92" s="44">
        <f t="shared" si="19"/>
        <v>177.52379243092381</v>
      </c>
      <c r="F92" s="44">
        <f t="shared" si="19"/>
        <v>303.43349665056678</v>
      </c>
      <c r="G92" s="44">
        <f t="shared" si="19"/>
        <v>497.40574354050653</v>
      </c>
      <c r="H92" s="44">
        <f t="shared" si="19"/>
        <v>475.21196717189071</v>
      </c>
      <c r="J92" s="101">
        <f>D$5*D92+E$5*E92</f>
        <v>182.03345425053436</v>
      </c>
      <c r="K92" s="45">
        <f t="shared" si="13"/>
        <v>303.43349665056678</v>
      </c>
      <c r="L92" s="45">
        <f t="shared" si="14"/>
        <v>485.46695090110114</v>
      </c>
      <c r="M92" s="45">
        <f t="shared" si="15"/>
        <v>486.30885535619859</v>
      </c>
      <c r="N92" s="61">
        <f t="shared" si="16"/>
        <v>485.8879031286499</v>
      </c>
      <c r="O92" s="19"/>
      <c r="P92" s="45">
        <f>Controls!$G$10*N92</f>
        <v>463.55074922530997</v>
      </c>
      <c r="Q92" s="94">
        <f>(INDEX(Controls!$G$13:$G$17,MATCH($B92,Controls!$C$13:$C$17,0),0))*$P92</f>
        <v>-6.4210215391341654</v>
      </c>
      <c r="R92" s="61">
        <f t="shared" si="17"/>
        <v>457.12972768617578</v>
      </c>
      <c r="S92" s="233"/>
    </row>
    <row r="93" spans="1:19" s="35" customFormat="1" x14ac:dyDescent="0.3">
      <c r="A93" s="34" t="str">
        <f t="shared" si="18"/>
        <v>SVH</v>
      </c>
      <c r="B93" s="50">
        <v>2022</v>
      </c>
      <c r="C93" s="34" t="s">
        <v>80</v>
      </c>
      <c r="D93" s="44">
        <f t="shared" si="19"/>
        <v>189.00670435002382</v>
      </c>
      <c r="E93" s="44">
        <f t="shared" si="19"/>
        <v>178.40928400239</v>
      </c>
      <c r="F93" s="44">
        <f t="shared" si="19"/>
        <v>304.75018915173496</v>
      </c>
      <c r="G93" s="44">
        <f t="shared" si="19"/>
        <v>502.97376411387597</v>
      </c>
      <c r="H93" s="44">
        <f t="shared" si="19"/>
        <v>477.86215461049858</v>
      </c>
      <c r="J93" s="45">
        <f t="shared" si="12"/>
        <v>183.70799417620691</v>
      </c>
      <c r="K93" s="45">
        <f t="shared" si="13"/>
        <v>304.75018915173496</v>
      </c>
      <c r="L93" s="45">
        <f t="shared" si="14"/>
        <v>488.45818332794187</v>
      </c>
      <c r="M93" s="102">
        <f t="shared" si="15"/>
        <v>490.41795936218728</v>
      </c>
      <c r="N93" s="61">
        <f t="shared" si="16"/>
        <v>489.4380713450646</v>
      </c>
      <c r="O93" s="19"/>
      <c r="P93" s="45">
        <f>Controls!$G$10*N93</f>
        <v>466.93770972792447</v>
      </c>
      <c r="Q93" s="94">
        <f>(INDEX(Controls!$G$13:$G$17,MATCH($B93,Controls!$C$13:$C$17,0),0))*$P93</f>
        <v>-9.5530845829279887</v>
      </c>
      <c r="R93" s="61">
        <f t="shared" si="17"/>
        <v>457.38462514499651</v>
      </c>
      <c r="S93" s="233"/>
    </row>
    <row r="94" spans="1:19" s="35" customFormat="1" x14ac:dyDescent="0.3">
      <c r="A94" s="34" t="str">
        <f t="shared" si="18"/>
        <v>SVH</v>
      </c>
      <c r="B94" s="50">
        <v>2023</v>
      </c>
      <c r="C94" s="34" t="s">
        <v>81</v>
      </c>
      <c r="D94" s="44">
        <f t="shared" si="19"/>
        <v>191.69797406269061</v>
      </c>
      <c r="E94" s="44">
        <f t="shared" si="19"/>
        <v>179.50862008304472</v>
      </c>
      <c r="F94" s="44">
        <f t="shared" si="19"/>
        <v>306.06490141914355</v>
      </c>
      <c r="G94" s="44">
        <f t="shared" si="19"/>
        <v>509.16476651156978</v>
      </c>
      <c r="H94" s="44">
        <f t="shared" si="19"/>
        <v>481.09633494319297</v>
      </c>
      <c r="J94" s="45">
        <f t="shared" si="12"/>
        <v>185.60329707286766</v>
      </c>
      <c r="K94" s="45">
        <f t="shared" si="13"/>
        <v>306.06490141914355</v>
      </c>
      <c r="L94" s="45">
        <f t="shared" si="14"/>
        <v>491.66819849201124</v>
      </c>
      <c r="M94" s="45">
        <f t="shared" si="15"/>
        <v>495.13055072738138</v>
      </c>
      <c r="N94" s="61">
        <f t="shared" si="16"/>
        <v>493.39937460969634</v>
      </c>
      <c r="O94" s="19"/>
      <c r="P94" s="45">
        <f>Controls!$G$10*N94</f>
        <v>470.71690465005554</v>
      </c>
      <c r="Q94" s="94">
        <f>(INDEX(Controls!$G$13:$G$17,MATCH($B94,Controls!$C$13:$C$17,0),0))*$P94</f>
        <v>-12.627465439790049</v>
      </c>
      <c r="R94" s="61">
        <f t="shared" si="17"/>
        <v>458.08943921026548</v>
      </c>
      <c r="S94" s="233"/>
    </row>
    <row r="95" spans="1:19" s="35" customFormat="1" x14ac:dyDescent="0.3">
      <c r="A95" s="34" t="str">
        <f t="shared" si="18"/>
        <v>SVH</v>
      </c>
      <c r="B95" s="50">
        <v>2024</v>
      </c>
      <c r="C95" s="34" t="s">
        <v>82</v>
      </c>
      <c r="D95" s="44">
        <f t="shared" si="19"/>
        <v>194.3595887450179</v>
      </c>
      <c r="E95" s="44">
        <f t="shared" si="19"/>
        <v>180.57722452394938</v>
      </c>
      <c r="F95" s="44">
        <f t="shared" si="19"/>
        <v>307.37393530280048</v>
      </c>
      <c r="G95" s="44">
        <f t="shared" si="19"/>
        <v>515.26457466298177</v>
      </c>
      <c r="H95" s="44">
        <f t="shared" si="19"/>
        <v>484.24303223477835</v>
      </c>
      <c r="J95" s="45">
        <f t="shared" si="12"/>
        <v>187.46840663448364</v>
      </c>
      <c r="K95" s="45">
        <f t="shared" si="13"/>
        <v>307.37393530280048</v>
      </c>
      <c r="L95" s="45">
        <f t="shared" si="14"/>
        <v>494.84234193728412</v>
      </c>
      <c r="M95" s="45">
        <f t="shared" si="15"/>
        <v>499.75380344888003</v>
      </c>
      <c r="N95" s="61">
        <f t="shared" si="16"/>
        <v>497.29807269308208</v>
      </c>
      <c r="O95" s="19"/>
      <c r="P95" s="45">
        <f>Controls!$G$10*N95</f>
        <v>474.43637246540931</v>
      </c>
      <c r="Q95" s="94">
        <f>(INDEX(Controls!$G$13:$G$17,MATCH($B95,Controls!$C$13:$C$17,0),0))*$P95</f>
        <v>-15.497498762937743</v>
      </c>
      <c r="R95" s="61">
        <f t="shared" si="17"/>
        <v>458.93887370247154</v>
      </c>
      <c r="S95" s="233"/>
    </row>
    <row r="96" spans="1:19" s="35" customFormat="1" x14ac:dyDescent="0.3">
      <c r="A96" s="34" t="str">
        <f t="shared" si="18"/>
        <v>SVH</v>
      </c>
      <c r="B96" s="50">
        <v>2025</v>
      </c>
      <c r="C96" s="34" t="s">
        <v>83</v>
      </c>
      <c r="D96" s="44">
        <f t="shared" si="19"/>
        <v>197.03965534997249</v>
      </c>
      <c r="E96" s="44">
        <f t="shared" si="19"/>
        <v>181.65805926993184</v>
      </c>
      <c r="F96" s="44">
        <f t="shared" si="19"/>
        <v>308.72354312102163</v>
      </c>
      <c r="G96" s="44">
        <f t="shared" si="19"/>
        <v>521.43307185796425</v>
      </c>
      <c r="H96" s="44">
        <f t="shared" si="19"/>
        <v>487.44729580219246</v>
      </c>
      <c r="J96" s="45">
        <f t="shared" si="12"/>
        <v>189.34885730995217</v>
      </c>
      <c r="K96" s="45">
        <f t="shared" si="13"/>
        <v>308.72354312102163</v>
      </c>
      <c r="L96" s="45">
        <f t="shared" si="14"/>
        <v>498.0724004309738</v>
      </c>
      <c r="M96" s="45">
        <f t="shared" si="15"/>
        <v>504.44018383007835</v>
      </c>
      <c r="N96" s="61">
        <f t="shared" si="16"/>
        <v>501.25629213052605</v>
      </c>
      <c r="O96" s="19"/>
      <c r="P96" s="45">
        <f>Controls!$G$10*N96</f>
        <v>478.212625329518</v>
      </c>
      <c r="Q96" s="94">
        <f>(INDEX(Controls!$G$13:$G$17,MATCH($B96,Controls!$C$13:$C$17,0),0))*$P96</f>
        <v>-18.211364278538646</v>
      </c>
      <c r="R96" s="61">
        <f t="shared" si="17"/>
        <v>460.00126105097934</v>
      </c>
      <c r="S96" s="233"/>
    </row>
    <row r="97" spans="1:19" s="35" customFormat="1" x14ac:dyDescent="0.3">
      <c r="A97" s="36" t="str">
        <f t="shared" si="18"/>
        <v>SVE</v>
      </c>
      <c r="B97" s="51">
        <v>2021</v>
      </c>
      <c r="C97" s="36" t="s">
        <v>63</v>
      </c>
      <c r="D97" s="46">
        <f>EXP(Coeffs!$D$12+(Coeffs!$D$5*'Forecast drivers'!D96)+(Coeffs!$D$6*'Forecast drivers'!F96)+(Coeffs!$D$8*'Forecast drivers'!I96)+(Coeffs!$D$9*'Forecast drivers'!J96))</f>
        <v>174.34391833034149</v>
      </c>
      <c r="E97" s="46">
        <f>EXP(Coeffs!$E$12+(Coeffs!$E$5*'Forecast drivers'!D96)+(Coeffs!$E$7*'Forecast drivers'!G96)+(Coeffs!$E$8*'Forecast drivers'!I96)+(Coeffs!$E$9*'Forecast drivers'!J96))</f>
        <v>168.75530769171397</v>
      </c>
      <c r="F97" s="46">
        <f>EXP(Coeffs!$F$12+(Coeffs!$F$8*'Forecast drivers'!I96)+(Coeffs!$F$9*'Forecast drivers'!J96)+(Coeffs!$F$10*'Forecast drivers'!E96)+(Coeffs!$F$11*'Forecast drivers'!H96))</f>
        <v>282.46788603483679</v>
      </c>
      <c r="G97" s="46">
        <f>EXP(Coeffs!$G$12+(Coeffs!$G$5*'Forecast drivers'!D96)+(Coeffs!$G$6*'Forecast drivers'!F96)+(Coeffs!$G$8*'Forecast drivers'!I96)+(Coeffs!$G$9*'Forecast drivers'!J96)+(Coeffs!$G$11*'Forecast drivers'!H96))</f>
        <v>466.6133199022612</v>
      </c>
      <c r="H97" s="46">
        <f>EXP(Coeffs!$H$12+(Coeffs!$H$5*'Forecast drivers'!D96)+(Coeffs!$H$7*'Forecast drivers'!G96)+(Coeffs!$H$8*'Forecast drivers'!I96)+(Coeffs!$H$9*'Forecast drivers'!J96)+(Coeffs!$H$11*'Forecast drivers'!H96))</f>
        <v>448.20798195626134</v>
      </c>
      <c r="J97" s="97">
        <f>J92*((D97*D$5+E97*E$5)/(D97*D$5+E97*E$5+D102*D$5+E102*E$5))</f>
        <v>173.779585425416</v>
      </c>
      <c r="K97" s="97">
        <f>K92*((F97*F$5)/(F97*F$5+F102*F$5))</f>
        <v>288.32434887070008</v>
      </c>
      <c r="L97" s="98">
        <f>J97+K97</f>
        <v>462.10393429611611</v>
      </c>
      <c r="M97" s="97">
        <f>M92*((G97*G$5+H97*H$5)/(G97*G$5+H97*H$5+G102*G$5+H102*H$5))</f>
        <v>465.84526853531469</v>
      </c>
      <c r="N97" s="99">
        <f>N92*((L97*L$5+M97*M$5)/(L97*L$5+M97*M$5+L102*L$5+M102*M$5))</f>
        <v>463.97460141571543</v>
      </c>
      <c r="O97" s="19"/>
      <c r="P97" s="47">
        <f>Controls!$G$10*N97</f>
        <v>442.64484199521888</v>
      </c>
      <c r="Q97" s="95">
        <f>(INDEX(Controls!$G$13:$G$17,MATCH($B97,Controls!$C$13:$C$17,0),0))*$P97</f>
        <v>-6.1314366752462437</v>
      </c>
      <c r="R97" s="99">
        <f>P97+Q97</f>
        <v>436.51340531997266</v>
      </c>
      <c r="S97" s="233"/>
    </row>
    <row r="98" spans="1:19" s="35" customFormat="1" x14ac:dyDescent="0.3">
      <c r="A98" s="36" t="str">
        <f t="shared" si="18"/>
        <v>SVE</v>
      </c>
      <c r="B98" s="51">
        <v>2022</v>
      </c>
      <c r="C98" s="36" t="s">
        <v>64</v>
      </c>
      <c r="D98" s="46">
        <f>EXP(Coeffs!$D$12+(Coeffs!$D$5*'Forecast drivers'!D97)+(Coeffs!$D$6*'Forecast drivers'!F97)+(Coeffs!$D$8*'Forecast drivers'!I97)+(Coeffs!$D$9*'Forecast drivers'!J97))</f>
        <v>176.41120951413245</v>
      </c>
      <c r="E98" s="46">
        <f>EXP(Coeffs!$E$12+(Coeffs!$E$5*'Forecast drivers'!D97)+(Coeffs!$E$7*'Forecast drivers'!G97)+(Coeffs!$E$8*'Forecast drivers'!I97)+(Coeffs!$E$9*'Forecast drivers'!J97))</f>
        <v>170.47693662336832</v>
      </c>
      <c r="F98" s="46">
        <f>EXP(Coeffs!$F$12+(Coeffs!$F$8*'Forecast drivers'!I97)+(Coeffs!$F$9*'Forecast drivers'!J97)+(Coeffs!$F$10*'Forecast drivers'!E97)+(Coeffs!$F$11*'Forecast drivers'!H97))</f>
        <v>284.04580547737618</v>
      </c>
      <c r="G98" s="46">
        <f>EXP(Coeffs!$G$12+(Coeffs!$G$5*'Forecast drivers'!D97)+(Coeffs!$G$6*'Forecast drivers'!F97)+(Coeffs!$G$8*'Forecast drivers'!I97)+(Coeffs!$G$9*'Forecast drivers'!J97)+(Coeffs!$G$11*'Forecast drivers'!H97))</f>
        <v>471.5662576799665</v>
      </c>
      <c r="H98" s="46">
        <f>EXP(Coeffs!$H$12+(Coeffs!$H$5*'Forecast drivers'!D97)+(Coeffs!$H$7*'Forecast drivers'!G97)+(Coeffs!$H$8*'Forecast drivers'!I97)+(Coeffs!$H$9*'Forecast drivers'!J97)+(Coeffs!$H$11*'Forecast drivers'!H97))</f>
        <v>453.59992128165385</v>
      </c>
      <c r="J98" s="97">
        <f>J93*((D98*D$5+E98*E$5)/(D98*D$5+E98*E$5+D103*D$5+E103*E$5))</f>
        <v>175.44714841792964</v>
      </c>
      <c r="K98" s="97">
        <f>K93*((F98*F$5)/(F98*F$5+F103*F$5))</f>
        <v>289.63411644742774</v>
      </c>
      <c r="L98" s="98">
        <f t="shared" ref="L98:L106" si="20">J98+K98</f>
        <v>465.08126486535741</v>
      </c>
      <c r="M98" s="97">
        <f>M93*((G98*G$5+H98*H$5)/(G98*G$5+H98*H$5+G103*G$5+H103*H$5))</f>
        <v>469.97465624606173</v>
      </c>
      <c r="N98" s="99">
        <f>N93*((L98*L$5+M98*M$5)/(L98*L$5+M98*M$5+L103*L$5+M103*M$5))</f>
        <v>467.52796055570963</v>
      </c>
      <c r="O98" s="19"/>
      <c r="P98" s="47">
        <f>Controls!$G$10*N98</f>
        <v>446.03484672883081</v>
      </c>
      <c r="Q98" s="95">
        <f>(INDEX(Controls!$G$13:$G$17,MATCH($B98,Controls!$C$13:$C$17,0),0))*$P98</f>
        <v>-9.1254326411474658</v>
      </c>
      <c r="R98" s="99">
        <f t="shared" si="17"/>
        <v>436.90941408768333</v>
      </c>
      <c r="S98" s="233"/>
    </row>
    <row r="99" spans="1:19" s="35" customFormat="1" x14ac:dyDescent="0.3">
      <c r="A99" s="36" t="str">
        <f t="shared" si="18"/>
        <v>SVE</v>
      </c>
      <c r="B99" s="51">
        <v>2023</v>
      </c>
      <c r="C99" s="36" t="s">
        <v>65</v>
      </c>
      <c r="D99" s="46">
        <f>EXP(Coeffs!$D$12+(Coeffs!$D$5*'Forecast drivers'!D98)+(Coeffs!$D$6*'Forecast drivers'!F98)+(Coeffs!$D$8*'Forecast drivers'!I98)+(Coeffs!$D$9*'Forecast drivers'!J98))</f>
        <v>178.19759207818117</v>
      </c>
      <c r="E99" s="46">
        <f>EXP(Coeffs!$E$12+(Coeffs!$E$5*'Forecast drivers'!D98)+(Coeffs!$E$7*'Forecast drivers'!G98)+(Coeffs!$E$8*'Forecast drivers'!I98)+(Coeffs!$E$9*'Forecast drivers'!J98))</f>
        <v>171.84328344471635</v>
      </c>
      <c r="F99" s="46">
        <f>EXP(Coeffs!$F$12+(Coeffs!$F$8*'Forecast drivers'!I98)+(Coeffs!$F$9*'Forecast drivers'!J98)+(Coeffs!$F$10*'Forecast drivers'!E98)+(Coeffs!$F$11*'Forecast drivers'!H98))</f>
        <v>285.62500000928117</v>
      </c>
      <c r="G99" s="46">
        <f>EXP(Coeffs!$G$12+(Coeffs!$G$5*'Forecast drivers'!D98)+(Coeffs!$G$6*'Forecast drivers'!F98)+(Coeffs!$G$8*'Forecast drivers'!I98)+(Coeffs!$G$9*'Forecast drivers'!J98)+(Coeffs!$G$11*'Forecast drivers'!H98))</f>
        <v>476.0978021760273</v>
      </c>
      <c r="H99" s="46">
        <f>EXP(Coeffs!$H$12+(Coeffs!$H$5*'Forecast drivers'!D98)+(Coeffs!$H$7*'Forecast drivers'!G98)+(Coeffs!$H$8*'Forecast drivers'!I98)+(Coeffs!$H$9*'Forecast drivers'!J98)+(Coeffs!$H$11*'Forecast drivers'!H98))</f>
        <v>457.86565113641893</v>
      </c>
      <c r="J99" s="97">
        <f>J94*((D99*D$5+E99*E$5)/(D99*D$5+E99*E$5+D104*D$5+E104*E$5))</f>
        <v>177.30830026297102</v>
      </c>
      <c r="K99" s="97">
        <f>K94*((F99*F$5)/(F99*F$5+F104*F$5))</f>
        <v>290.94139970188866</v>
      </c>
      <c r="L99" s="98">
        <f t="shared" si="20"/>
        <v>468.2496999648597</v>
      </c>
      <c r="M99" s="97">
        <f>M94*((G99*G$5+H99*H$5)/(G99*G$5+H99*H$5+G104*G$5+H104*H$5))</f>
        <v>474.64209464953348</v>
      </c>
      <c r="N99" s="99">
        <f>N94*((L99*L$5+M99*M$5)/(L99*L$5+M99*M$5+L104*L$5+M104*M$5))</f>
        <v>471.44589730719662</v>
      </c>
      <c r="O99" s="19"/>
      <c r="P99" s="47">
        <f>Controls!$G$10*N99</f>
        <v>449.77266877559271</v>
      </c>
      <c r="Q99" s="95">
        <f>(INDEX(Controls!$G$13:$G$17,MATCH($B99,Controls!$C$13:$C$17,0),0))*$P99</f>
        <v>-12.065614756173305</v>
      </c>
      <c r="R99" s="99">
        <f t="shared" si="17"/>
        <v>437.70705401941939</v>
      </c>
      <c r="S99" s="233"/>
    </row>
    <row r="100" spans="1:19" s="35" customFormat="1" x14ac:dyDescent="0.3">
      <c r="A100" s="36" t="str">
        <f t="shared" si="18"/>
        <v>SVE</v>
      </c>
      <c r="B100" s="51">
        <v>2024</v>
      </c>
      <c r="C100" s="36" t="s">
        <v>66</v>
      </c>
      <c r="D100" s="46">
        <f>EXP(Coeffs!$D$12+(Coeffs!$D$5*'Forecast drivers'!D99)+(Coeffs!$D$6*'Forecast drivers'!F99)+(Coeffs!$D$8*'Forecast drivers'!I99)+(Coeffs!$D$9*'Forecast drivers'!J99))</f>
        <v>179.20064668840797</v>
      </c>
      <c r="E100" s="46">
        <f>EXP(Coeffs!$E$12+(Coeffs!$E$5*'Forecast drivers'!D99)+(Coeffs!$E$7*'Forecast drivers'!G99)+(Coeffs!$E$8*'Forecast drivers'!I99)+(Coeffs!$E$9*'Forecast drivers'!J99))</f>
        <v>172.78963878490379</v>
      </c>
      <c r="F100" s="46">
        <f>EXP(Coeffs!$F$12+(Coeffs!$F$8*'Forecast drivers'!I99)+(Coeffs!$F$9*'Forecast drivers'!J99)+(Coeffs!$F$10*'Forecast drivers'!E99)+(Coeffs!$F$11*'Forecast drivers'!H99))</f>
        <v>287.2021501787969</v>
      </c>
      <c r="G100" s="46">
        <f>EXP(Coeffs!$G$12+(Coeffs!$G$5*'Forecast drivers'!D99)+(Coeffs!$G$6*'Forecast drivers'!F99)+(Coeffs!$G$8*'Forecast drivers'!I99)+(Coeffs!$G$9*'Forecast drivers'!J99)+(Coeffs!$G$11*'Forecast drivers'!H99))</f>
        <v>479.28105115308369</v>
      </c>
      <c r="H100" s="46">
        <f>EXP(Coeffs!$H$12+(Coeffs!$H$5*'Forecast drivers'!D99)+(Coeffs!$H$7*'Forecast drivers'!G99)+(Coeffs!$H$8*'Forecast drivers'!I99)+(Coeffs!$H$9*'Forecast drivers'!J99)+(Coeffs!$H$11*'Forecast drivers'!H99))</f>
        <v>460.81569404461243</v>
      </c>
      <c r="J100" s="97">
        <f>J95*((D100*D$5+E100*E$5)/(D100*D$5+E100*E$5+D105*D$5+E105*E$5))</f>
        <v>179.11283854065812</v>
      </c>
      <c r="K100" s="97">
        <f>K95*((F100*F$5)/(F100*F$5+F105*F$5))</f>
        <v>292.24293136223707</v>
      </c>
      <c r="L100" s="98">
        <f t="shared" si="20"/>
        <v>471.35576990289519</v>
      </c>
      <c r="M100" s="97">
        <f>M95*((G100*G$5+H100*H$5)/(G100*G$5+H100*H$5+G105*G$5+H105*H$5))</f>
        <v>479.16639672708237</v>
      </c>
      <c r="N100" s="99">
        <f>N95*((L100*L$5+M100*M$5)/(L100*L$5+M100*M$5+L105*L$5+M105*M$5))</f>
        <v>475.26108331498881</v>
      </c>
      <c r="O100" s="19"/>
      <c r="P100" s="47">
        <f>Controls!$G$10*N100</f>
        <v>453.41246371792067</v>
      </c>
      <c r="Q100" s="95">
        <f>(INDEX(Controls!$G$13:$G$17,MATCH($B100,Controls!$C$13:$C$17,0),0))*$P100</f>
        <v>-14.810751247958638</v>
      </c>
      <c r="R100" s="99">
        <f t="shared" si="17"/>
        <v>438.60171246996202</v>
      </c>
      <c r="S100" s="233"/>
    </row>
    <row r="101" spans="1:19" s="35" customFormat="1" x14ac:dyDescent="0.3">
      <c r="A101" s="36" t="str">
        <f t="shared" si="18"/>
        <v>SVE</v>
      </c>
      <c r="B101" s="51">
        <v>2025</v>
      </c>
      <c r="C101" s="36" t="s">
        <v>67</v>
      </c>
      <c r="D101" s="46">
        <f>EXP(Coeffs!$D$12+(Coeffs!$D$5*'Forecast drivers'!D100)+(Coeffs!$D$6*'Forecast drivers'!F100)+(Coeffs!$D$8*'Forecast drivers'!I100)+(Coeffs!$D$9*'Forecast drivers'!J100))</f>
        <v>180.33609509545965</v>
      </c>
      <c r="E101" s="46">
        <f>EXP(Coeffs!$E$12+(Coeffs!$E$5*'Forecast drivers'!D100)+(Coeffs!$E$7*'Forecast drivers'!G100)+(Coeffs!$E$8*'Forecast drivers'!I100)+(Coeffs!$E$9*'Forecast drivers'!J100))</f>
        <v>173.78380857547404</v>
      </c>
      <c r="F101" s="46">
        <f>EXP(Coeffs!$F$12+(Coeffs!$F$8*'Forecast drivers'!I100)+(Coeffs!$F$9*'Forecast drivers'!J100)+(Coeffs!$F$10*'Forecast drivers'!E100)+(Coeffs!$F$11*'Forecast drivers'!H100))</f>
        <v>289.01614881320785</v>
      </c>
      <c r="G101" s="46">
        <f>EXP(Coeffs!$G$12+(Coeffs!$G$5*'Forecast drivers'!D100)+(Coeffs!$G$6*'Forecast drivers'!F100)+(Coeffs!$G$8*'Forecast drivers'!I100)+(Coeffs!$G$9*'Forecast drivers'!J100)+(Coeffs!$G$11*'Forecast drivers'!H100))</f>
        <v>482.9036928937503</v>
      </c>
      <c r="H101" s="46">
        <f>EXP(Coeffs!$H$12+(Coeffs!$H$5*'Forecast drivers'!D100)+(Coeffs!$H$7*'Forecast drivers'!G100)+(Coeffs!$H$8*'Forecast drivers'!I100)+(Coeffs!$H$9*'Forecast drivers'!J100)+(Coeffs!$H$11*'Forecast drivers'!H100))</f>
        <v>464.10993669544769</v>
      </c>
      <c r="J101" s="97">
        <f>J96*((D101*D$5+E101*E$5)/(D101*D$5+E101*E$5+D106*D$5+E106*E$5))</f>
        <v>180.93575261143164</v>
      </c>
      <c r="K101" s="97">
        <f>K96*((F101*F$5)/(F101*F$5+F106*F$5))</f>
        <v>293.59448636057118</v>
      </c>
      <c r="L101" s="98">
        <f t="shared" si="20"/>
        <v>474.53023897200285</v>
      </c>
      <c r="M101" s="97">
        <f>M96*((G101*G$5+H101*H$5)/(G101*G$5+H101*H$5+G106*G$5+H106*H$5))</f>
        <v>483.76685094409686</v>
      </c>
      <c r="N101" s="99">
        <f>N96*((L101*L$5+M101*M$5)/(L101*L$5+M101*M$5+L106*L$5+M106*M$5))</f>
        <v>479.14854495804985</v>
      </c>
      <c r="O101" s="19"/>
      <c r="P101" s="47">
        <f>Controls!$G$10*N101</f>
        <v>457.12121165262374</v>
      </c>
      <c r="Q101" s="95">
        <f>(INDEX(Controls!$G$13:$G$17,MATCH($B101,Controls!$C$13:$C$17,0),0))*$P101</f>
        <v>-17.408157927902039</v>
      </c>
      <c r="R101" s="99">
        <f t="shared" si="17"/>
        <v>439.7130537247217</v>
      </c>
      <c r="S101" s="233"/>
    </row>
    <row r="102" spans="1:19" s="35" customFormat="1" x14ac:dyDescent="0.3">
      <c r="A102" s="36" t="str">
        <f t="shared" si="18"/>
        <v>HDD</v>
      </c>
      <c r="B102" s="51">
        <v>2021</v>
      </c>
      <c r="C102" s="36" t="s">
        <v>68</v>
      </c>
      <c r="D102" s="46">
        <f>EXP(Coeffs!$D$12+(Coeffs!$D$5*'Forecast drivers'!D101)+(Coeffs!$D$6*'Forecast drivers'!F101)+(Coeffs!$D$8*'Forecast drivers'!I101)+(Coeffs!$D$9*'Forecast drivers'!J101))</f>
        <v>8.5689657286523531</v>
      </c>
      <c r="E102" s="46">
        <f>EXP(Coeffs!$E$12+(Coeffs!$E$5*'Forecast drivers'!D101)+(Coeffs!$E$7*'Forecast drivers'!G101)+(Coeffs!$E$8*'Forecast drivers'!I101)+(Coeffs!$E$9*'Forecast drivers'!J101))</f>
        <v>7.7269415187561457</v>
      </c>
      <c r="F102" s="46">
        <f>EXP(Coeffs!$F$12+(Coeffs!$F$8*'Forecast drivers'!I101)+(Coeffs!$F$9*'Forecast drivers'!J101)+(Coeffs!$F$10*'Forecast drivers'!E101)+(Coeffs!$F$11*'Forecast drivers'!H101))</f>
        <v>14.802249792232478</v>
      </c>
      <c r="G102" s="46">
        <f>EXP(Coeffs!$G$12+(Coeffs!$G$5*'Forecast drivers'!D101)+(Coeffs!$G$6*'Forecast drivers'!F101)+(Coeffs!$G$8*'Forecast drivers'!I101)+(Coeffs!$G$9*'Forecast drivers'!J101)+(Coeffs!$G$11*'Forecast drivers'!H101))</f>
        <v>19.994128219338492</v>
      </c>
      <c r="H102" s="46">
        <f>EXP(Coeffs!$H$12+(Coeffs!$H$5*'Forecast drivers'!D101)+(Coeffs!$H$7*'Forecast drivers'!G101)+(Coeffs!$H$8*'Forecast drivers'!I101)+(Coeffs!$H$9*'Forecast drivers'!J101)+(Coeffs!$H$11*'Forecast drivers'!H101))</f>
        <v>20.192015980507154</v>
      </c>
      <c r="J102" s="97">
        <f>J92*((D102*D$5+E102*E$5)/(D102*D$5+E102*E$5+D97*D$5+E97*E$5))</f>
        <v>8.2538688251183601</v>
      </c>
      <c r="K102" s="97">
        <f>K92*((F102*F$5)/(F102*F$5+F97*F$5))</f>
        <v>15.109147779866667</v>
      </c>
      <c r="L102" s="98">
        <f t="shared" si="20"/>
        <v>23.363016604985027</v>
      </c>
      <c r="M102" s="97">
        <f>M92*((G102*G$5+H102*H$5)/(G102*G$5+H102*H$5+G97*G$5+H97*H$5))</f>
        <v>20.463586820883961</v>
      </c>
      <c r="N102" s="100">
        <f>N92*((L102*L$5+M102*M$5)/(L102*L$5+M102*M$5+L97*L$5+M97*M$5))</f>
        <v>21.913301712934494</v>
      </c>
      <c r="O102" s="19"/>
      <c r="P102" s="47">
        <f>Controls!$G$10*N102</f>
        <v>20.905907230091113</v>
      </c>
      <c r="Q102" s="95">
        <f>(INDEX(Controls!$G$13:$G$17,MATCH($B102,Controls!$C$13:$C$17,0),0))*$P102</f>
        <v>-0.28958486388792215</v>
      </c>
      <c r="R102" s="99">
        <f t="shared" si="17"/>
        <v>20.616322366203192</v>
      </c>
      <c r="S102" s="233"/>
    </row>
    <row r="103" spans="1:19" s="35" customFormat="1" x14ac:dyDescent="0.3">
      <c r="A103" s="36" t="str">
        <f t="shared" si="18"/>
        <v>HDD</v>
      </c>
      <c r="B103" s="51">
        <v>2022</v>
      </c>
      <c r="C103" s="36" t="s">
        <v>69</v>
      </c>
      <c r="D103" s="46">
        <f>EXP(Coeffs!$D$12+(Coeffs!$D$5*'Forecast drivers'!D102)+(Coeffs!$D$6*'Forecast drivers'!F102)+(Coeffs!$D$8*'Forecast drivers'!I102)+(Coeffs!$D$9*'Forecast drivers'!J102))</f>
        <v>8.5865329401769266</v>
      </c>
      <c r="E103" s="46">
        <f>EXP(Coeffs!$E$12+(Coeffs!$E$5*'Forecast drivers'!D102)+(Coeffs!$E$7*'Forecast drivers'!G102)+(Coeffs!$E$8*'Forecast drivers'!I102)+(Coeffs!$E$9*'Forecast drivers'!J102))</f>
        <v>7.7465308711001226</v>
      </c>
      <c r="F103" s="46">
        <f>EXP(Coeffs!$F$12+(Coeffs!$F$8*'Forecast drivers'!I102)+(Coeffs!$F$9*'Forecast drivers'!J102)+(Coeffs!$F$10*'Forecast drivers'!E102)+(Coeffs!$F$11*'Forecast drivers'!H102))</f>
        <v>14.824417439541749</v>
      </c>
      <c r="G103" s="46">
        <f>EXP(Coeffs!$G$12+(Coeffs!$G$5*'Forecast drivers'!D102)+(Coeffs!$G$6*'Forecast drivers'!F102)+(Coeffs!$G$8*'Forecast drivers'!I102)+(Coeffs!$G$9*'Forecast drivers'!J102)+(Coeffs!$G$11*'Forecast drivers'!H102))</f>
        <v>20.020556146703473</v>
      </c>
      <c r="H103" s="46">
        <f>EXP(Coeffs!$H$12+(Coeffs!$H$5*'Forecast drivers'!D102)+(Coeffs!$H$7*'Forecast drivers'!G102)+(Coeffs!$H$8*'Forecast drivers'!I102)+(Coeffs!$H$9*'Forecast drivers'!J102)+(Coeffs!$H$11*'Forecast drivers'!H102))</f>
        <v>20.223002474886734</v>
      </c>
      <c r="J103" s="97">
        <f>J93*((D103*D$5+E103*E$5)/(D103*D$5+E103*E$5+D98*D$5+E98*E$5))</f>
        <v>8.2608457582772736</v>
      </c>
      <c r="K103" s="97">
        <f>K93*((F103*F$5)/(F103*F$5+F98*F$5))</f>
        <v>15.116072704307182</v>
      </c>
      <c r="L103" s="98">
        <f t="shared" si="20"/>
        <v>23.376918462584456</v>
      </c>
      <c r="M103" s="97">
        <f>M93*((G103*G$5+H103*H$5)/(G103*G$5+H103*H$5+G98*G$5+H98*H$5))</f>
        <v>20.443303116125584</v>
      </c>
      <c r="N103" s="100">
        <f>N93*((L103*L$5+M103*M$5)/(L103*L$5+M103*M$5+L98*L$5+M98*M$5))</f>
        <v>21.91011078935502</v>
      </c>
      <c r="O103" s="19"/>
      <c r="P103" s="47">
        <f>Controls!$G$10*N103</f>
        <v>20.902862999093674</v>
      </c>
      <c r="Q103" s="95">
        <f>(INDEX(Controls!$G$13:$G$17,MATCH($B103,Controls!$C$13:$C$17,0),0))*$P103</f>
        <v>-0.42765194178052429</v>
      </c>
      <c r="R103" s="99">
        <f t="shared" si="17"/>
        <v>20.47521105731315</v>
      </c>
      <c r="S103" s="233"/>
    </row>
    <row r="104" spans="1:19" s="35" customFormat="1" x14ac:dyDescent="0.3">
      <c r="A104" s="36" t="str">
        <f t="shared" si="18"/>
        <v>HDD</v>
      </c>
      <c r="B104" s="51">
        <v>2023</v>
      </c>
      <c r="C104" s="36" t="s">
        <v>70</v>
      </c>
      <c r="D104" s="46">
        <f>EXP(Coeffs!$D$12+(Coeffs!$D$5*'Forecast drivers'!D103)+(Coeffs!$D$6*'Forecast drivers'!F103)+(Coeffs!$D$8*'Forecast drivers'!I103)+(Coeffs!$D$9*'Forecast drivers'!J103))</f>
        <v>8.6068440152134205</v>
      </c>
      <c r="E104" s="46">
        <f>EXP(Coeffs!$E$12+(Coeffs!$E$5*'Forecast drivers'!D103)+(Coeffs!$E$7*'Forecast drivers'!G103)+(Coeffs!$E$8*'Forecast drivers'!I103)+(Coeffs!$E$9*'Forecast drivers'!J103))</f>
        <v>7.7690839108310676</v>
      </c>
      <c r="F104" s="46">
        <f>EXP(Coeffs!$F$12+(Coeffs!$F$8*'Forecast drivers'!I103)+(Coeffs!$F$9*'Forecast drivers'!J103)+(Coeffs!$F$10*'Forecast drivers'!E103)+(Coeffs!$F$11*'Forecast drivers'!H103))</f>
        <v>14.847148541106234</v>
      </c>
      <c r="G104" s="46">
        <f>EXP(Coeffs!$G$12+(Coeffs!$G$5*'Forecast drivers'!D103)+(Coeffs!$G$6*'Forecast drivers'!F103)+(Coeffs!$G$8*'Forecast drivers'!I103)+(Coeffs!$G$9*'Forecast drivers'!J103)+(Coeffs!$G$11*'Forecast drivers'!H103))</f>
        <v>20.053455391940123</v>
      </c>
      <c r="H104" s="46">
        <f>EXP(Coeffs!$H$12+(Coeffs!$H$5*'Forecast drivers'!D103)+(Coeffs!$H$7*'Forecast drivers'!G103)+(Coeffs!$H$8*'Forecast drivers'!I103)+(Coeffs!$H$9*'Forecast drivers'!J103)+(Coeffs!$H$11*'Forecast drivers'!H103))</f>
        <v>20.262120085275996</v>
      </c>
      <c r="J104" s="97">
        <f>J94*((D104*D$5+E104*E$5)/(D104*D$5+E104*E$5+D99*D$5+E99*E$5))</f>
        <v>8.2949968098966593</v>
      </c>
      <c r="K104" s="97">
        <f>K94*((F104*F$5)/(F104*F$5+F99*F$5))</f>
        <v>15.123501717254925</v>
      </c>
      <c r="L104" s="98">
        <f t="shared" si="20"/>
        <v>23.418498527151584</v>
      </c>
      <c r="M104" s="97">
        <f>M94*((G104*G$5+H104*H$5)/(G104*G$5+H104*H$5+G99*G$5+H99*H$5))</f>
        <v>20.488456077847921</v>
      </c>
      <c r="N104" s="100">
        <f>N94*((L104*L$5+M104*M$5)/(L104*L$5+M104*M$5+L99*L$5+M99*M$5))</f>
        <v>21.953477302499753</v>
      </c>
      <c r="O104" s="19"/>
      <c r="P104" s="47">
        <f>Controls!$G$10*N104</f>
        <v>20.944235874462844</v>
      </c>
      <c r="Q104" s="95">
        <f>(INDEX(Controls!$G$13:$G$17,MATCH($B104,Controls!$C$13:$C$17,0),0))*$P104</f>
        <v>-0.56185068361674195</v>
      </c>
      <c r="R104" s="99">
        <f t="shared" si="17"/>
        <v>20.382385190846101</v>
      </c>
      <c r="S104" s="233"/>
    </row>
    <row r="105" spans="1:19" s="35" customFormat="1" x14ac:dyDescent="0.3">
      <c r="A105" s="36" t="str">
        <f t="shared" si="18"/>
        <v>HDD</v>
      </c>
      <c r="B105" s="51">
        <v>2024</v>
      </c>
      <c r="C105" s="36" t="s">
        <v>71</v>
      </c>
      <c r="D105" s="46">
        <f>EXP(Coeffs!$D$12+(Coeffs!$D$5*'Forecast drivers'!D104)+(Coeffs!$D$6*'Forecast drivers'!F104)+(Coeffs!$D$8*'Forecast drivers'!I104)+(Coeffs!$D$9*'Forecast drivers'!J104))</f>
        <v>8.6279154456328584</v>
      </c>
      <c r="E105" s="46">
        <f>EXP(Coeffs!$E$12+(Coeffs!$E$5*'Forecast drivers'!D104)+(Coeffs!$E$7*'Forecast drivers'!G104)+(Coeffs!$E$8*'Forecast drivers'!I104)+(Coeffs!$E$9*'Forecast drivers'!J104))</f>
        <v>7.7923413187627482</v>
      </c>
      <c r="F105" s="46">
        <f>EXP(Coeffs!$F$12+(Coeffs!$F$8*'Forecast drivers'!I104)+(Coeffs!$F$9*'Forecast drivers'!J104)+(Coeffs!$F$10*'Forecast drivers'!E104)+(Coeffs!$F$11*'Forecast drivers'!H104))</f>
        <v>14.87001531854736</v>
      </c>
      <c r="G105" s="46">
        <f>EXP(Coeffs!$G$12+(Coeffs!$G$5*'Forecast drivers'!D104)+(Coeffs!$G$6*'Forecast drivers'!F104)+(Coeffs!$G$8*'Forecast drivers'!I104)+(Coeffs!$G$9*'Forecast drivers'!J104)+(Coeffs!$G$11*'Forecast drivers'!H104))</f>
        <v>20.088167579261832</v>
      </c>
      <c r="H105" s="46">
        <f>EXP(Coeffs!$H$12+(Coeffs!$H$5*'Forecast drivers'!D104)+(Coeffs!$H$7*'Forecast drivers'!G104)+(Coeffs!$H$8*'Forecast drivers'!I104)+(Coeffs!$H$9*'Forecast drivers'!J104)+(Coeffs!$H$11*'Forecast drivers'!H104))</f>
        <v>20.30313319520927</v>
      </c>
      <c r="J105" s="97">
        <f>J95*((D105*D$5+E105*E$5)/(D105*D$5+E105*E$5+D100*D$5+E100*E$5))</f>
        <v>8.3555680938255179</v>
      </c>
      <c r="K105" s="97">
        <f>K95*((F105*F$5)/(F105*F$5+F100*F$5))</f>
        <v>15.131003940563376</v>
      </c>
      <c r="L105" s="98">
        <f t="shared" si="20"/>
        <v>23.486572034388892</v>
      </c>
      <c r="M105" s="97">
        <f>M95*((G105*G$5+H105*H$5)/(G105*G$5+H105*H$5+G100*G$5+H100*H$5))</f>
        <v>20.587406721797642</v>
      </c>
      <c r="N105" s="100">
        <f>N95*((L105*L$5+M105*M$5)/(L105*L$5+M105*M$5+L100*L$5+M100*M$5))</f>
        <v>22.036989378093267</v>
      </c>
      <c r="O105" s="19"/>
      <c r="P105" s="47">
        <f>Controls!$G$10*N105</f>
        <v>21.023908747488633</v>
      </c>
      <c r="Q105" s="95">
        <f>(INDEX(Controls!$G$13:$G$17,MATCH($B105,Controls!$C$13:$C$17,0),0))*$P105</f>
        <v>-0.68674751497910547</v>
      </c>
      <c r="R105" s="99">
        <f t="shared" si="17"/>
        <v>20.337161232509526</v>
      </c>
      <c r="S105" s="233"/>
    </row>
    <row r="106" spans="1:19" s="35" customFormat="1" x14ac:dyDescent="0.3">
      <c r="A106" s="36" t="str">
        <f t="shared" si="18"/>
        <v>HDD</v>
      </c>
      <c r="B106" s="51">
        <v>2025</v>
      </c>
      <c r="C106" s="36" t="s">
        <v>72</v>
      </c>
      <c r="D106" s="46">
        <f>EXP(Coeffs!$D$12+(Coeffs!$D$5*'Forecast drivers'!D105)+(Coeffs!$D$6*'Forecast drivers'!F105)+(Coeffs!$D$8*'Forecast drivers'!I105)+(Coeffs!$D$9*'Forecast drivers'!J105))</f>
        <v>8.6498647209299175</v>
      </c>
      <c r="E106" s="46">
        <f>EXP(Coeffs!$E$12+(Coeffs!$E$5*'Forecast drivers'!D105)+(Coeffs!$E$7*'Forecast drivers'!G105)+(Coeffs!$E$8*'Forecast drivers'!I105)+(Coeffs!$E$9*'Forecast drivers'!J105))</f>
        <v>7.8159126747164054</v>
      </c>
      <c r="F106" s="46">
        <f>EXP(Coeffs!$F$12+(Coeffs!$F$8*'Forecast drivers'!I105)+(Coeffs!$F$9*'Forecast drivers'!J105)+(Coeffs!$F$10*'Forecast drivers'!E105)+(Coeffs!$F$11*'Forecast drivers'!H105))</f>
        <v>14.893132954519389</v>
      </c>
      <c r="G106" s="46">
        <f>EXP(Coeffs!$G$12+(Coeffs!$G$5*'Forecast drivers'!D105)+(Coeffs!$G$6*'Forecast drivers'!F105)+(Coeffs!$G$8*'Forecast drivers'!I105)+(Coeffs!$G$9*'Forecast drivers'!J105)+(Coeffs!$G$11*'Forecast drivers'!H105))</f>
        <v>20.124940866193448</v>
      </c>
      <c r="H106" s="46">
        <f>EXP(Coeffs!$H$12+(Coeffs!$H$5*'Forecast drivers'!D105)+(Coeffs!$H$7*'Forecast drivers'!G105)+(Coeffs!$H$8*'Forecast drivers'!I105)+(Coeffs!$H$9*'Forecast drivers'!J105)+(Coeffs!$H$11*'Forecast drivers'!H105))</f>
        <v>20.344818427672237</v>
      </c>
      <c r="J106" s="97">
        <f>J96*((D106*D$5+E106*E$5)/(D106*D$5+E106*E$5+D101*D$5+E101*E$5))</f>
        <v>8.4131046985205202</v>
      </c>
      <c r="K106" s="97">
        <f>K96*((F106*F$5)/(F106*F$5+F101*F$5))</f>
        <v>15.129056760450451</v>
      </c>
      <c r="L106" s="98">
        <f t="shared" si="20"/>
        <v>23.542161458970973</v>
      </c>
      <c r="M106" s="97">
        <f>M96*((G106*G$5+H106*H$5)/(G106*G$5+H106*H$5+G101*G$5+H101*H$5))</f>
        <v>20.673332885981431</v>
      </c>
      <c r="N106" s="100">
        <f>N96*((L106*L$5+M106*M$5)/(L106*L$5+M106*M$5+L101*L$5+M101*M$5))</f>
        <v>22.107747172476202</v>
      </c>
      <c r="O106" s="19"/>
      <c r="P106" s="47">
        <f>Controls!$G$10*N106</f>
        <v>21.091413676894241</v>
      </c>
      <c r="Q106" s="95">
        <f>(INDEX(Controls!$G$13:$G$17,MATCH($B106,Controls!$C$13:$C$17,0),0))*$P106</f>
        <v>-0.80320635063660706</v>
      </c>
      <c r="R106" s="99">
        <f t="shared" si="17"/>
        <v>20.288207326257634</v>
      </c>
      <c r="S106" s="233"/>
    </row>
    <row r="107" spans="1:19" x14ac:dyDescent="0.3">
      <c r="S107" s="233"/>
    </row>
    <row r="108" spans="1:19" x14ac:dyDescent="0.3">
      <c r="K108" s="96"/>
    </row>
  </sheetData>
  <conditionalFormatting sqref="D4:H4 L4:M4">
    <cfRule type="expression" dxfId="5" priority="10">
      <formula>D4="error"</formula>
    </cfRule>
    <cfRule type="expression" dxfId="4" priority="11">
      <formula>D4="OK"</formula>
    </cfRule>
  </conditionalFormatting>
  <conditionalFormatting sqref="W7:W22">
    <cfRule type="colorScale" priority="1">
      <colorScale>
        <cfvo type="min"/>
        <cfvo type="percentile" val="50"/>
        <cfvo type="max"/>
        <color theme="7"/>
        <color rgb="FFFFC000"/>
        <color theme="9"/>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T90"/>
  <sheetViews>
    <sheetView showGridLines="0" zoomScale="80" zoomScaleNormal="80" workbookViewId="0">
      <pane xSplit="2" ySplit="2" topLeftCell="C3" activePane="bottomRight" state="frozen"/>
      <selection pane="topRight" activeCell="C1" sqref="C1"/>
      <selection pane="bottomLeft" activeCell="A6" sqref="A6"/>
      <selection pane="bottomRight"/>
    </sheetView>
  </sheetViews>
  <sheetFormatPr defaultColWidth="9" defaultRowHeight="13" x14ac:dyDescent="0.3"/>
  <cols>
    <col min="1" max="1" width="1.58203125" style="4" customWidth="1"/>
    <col min="2" max="2" width="25.75" style="4" customWidth="1"/>
    <col min="3" max="17" width="11.58203125" style="137" customWidth="1"/>
    <col min="18" max="18" width="8.33203125" style="137" customWidth="1"/>
    <col min="19" max="27" width="11.58203125" style="137" customWidth="1"/>
    <col min="28" max="28" width="5.33203125" style="137" customWidth="1"/>
    <col min="29" max="29" width="11.25" style="137" customWidth="1"/>
    <col min="30" max="30" width="9" style="137"/>
    <col min="31" max="31" width="12.58203125" style="137" customWidth="1"/>
    <col min="32" max="34" width="9" style="137"/>
    <col min="35" max="35" width="10.75" style="137" customWidth="1"/>
    <col min="36" max="37" width="9" style="137"/>
    <col min="38" max="38" width="10.08203125" style="137" customWidth="1"/>
    <col min="39" max="39" width="10.58203125" style="137" customWidth="1"/>
    <col min="40" max="46" width="9" style="137"/>
    <col min="47" max="16384" width="9" style="4"/>
  </cols>
  <sheetData>
    <row r="1" spans="1:46" ht="23.25" customHeight="1" x14ac:dyDescent="0.35">
      <c r="A1" s="56" t="s">
        <v>107</v>
      </c>
    </row>
    <row r="3" spans="1:46" ht="13.5" thickBot="1" x14ac:dyDescent="0.35"/>
    <row r="4" spans="1:46" s="19" customFormat="1" ht="57.75" customHeight="1" x14ac:dyDescent="0.3">
      <c r="A4" s="4"/>
      <c r="B4" s="129" t="s">
        <v>115</v>
      </c>
      <c r="C4" s="204" t="s">
        <v>335</v>
      </c>
      <c r="D4" s="205"/>
      <c r="E4" s="206"/>
      <c r="F4" s="207"/>
      <c r="G4" s="204" t="s">
        <v>326</v>
      </c>
      <c r="H4" s="213"/>
      <c r="I4" s="207"/>
      <c r="J4" s="148"/>
      <c r="K4" s="166"/>
      <c r="L4" s="148"/>
      <c r="M4" s="149"/>
      <c r="N4" s="148"/>
      <c r="O4" s="148"/>
      <c r="P4" s="148"/>
      <c r="Q4" s="147"/>
      <c r="R4" s="147"/>
      <c r="S4" s="172"/>
      <c r="T4" s="172"/>
      <c r="U4" s="172"/>
      <c r="V4" s="172"/>
      <c r="W4" s="172"/>
      <c r="X4" s="172"/>
      <c r="Y4" s="172"/>
      <c r="Z4" s="172"/>
      <c r="AA4" s="172"/>
      <c r="AB4" s="172"/>
      <c r="AC4" s="172"/>
      <c r="AD4" s="172"/>
      <c r="AE4" s="172"/>
      <c r="AF4" s="143"/>
      <c r="AG4" s="143"/>
      <c r="AH4" s="143"/>
      <c r="AI4" s="143"/>
      <c r="AJ4" s="143"/>
      <c r="AK4" s="143"/>
      <c r="AL4" s="143"/>
      <c r="AM4" s="143"/>
      <c r="AN4" s="143"/>
      <c r="AO4" s="143"/>
      <c r="AP4" s="143"/>
      <c r="AQ4" s="143"/>
      <c r="AR4" s="143"/>
      <c r="AS4" s="143"/>
      <c r="AT4" s="143"/>
    </row>
    <row r="5" spans="1:46" s="27" customFormat="1" ht="39.75" customHeight="1" x14ac:dyDescent="0.3">
      <c r="A5" s="16"/>
      <c r="B5" s="133" t="s">
        <v>20</v>
      </c>
      <c r="C5" s="145" t="s">
        <v>100</v>
      </c>
      <c r="D5" s="138" t="s">
        <v>201</v>
      </c>
      <c r="E5" s="138" t="s">
        <v>203</v>
      </c>
      <c r="F5" s="146" t="s">
        <v>95</v>
      </c>
      <c r="G5" s="145" t="s">
        <v>100</v>
      </c>
      <c r="H5" s="138" t="s">
        <v>201</v>
      </c>
      <c r="I5" s="146" t="s">
        <v>95</v>
      </c>
      <c r="K5" s="141"/>
      <c r="L5" s="141"/>
      <c r="M5" s="141"/>
      <c r="Q5" s="137"/>
      <c r="R5" s="139"/>
      <c r="S5" s="173"/>
      <c r="T5" s="167"/>
      <c r="U5" s="168"/>
      <c r="V5" s="167"/>
      <c r="W5" s="167"/>
      <c r="X5" s="167"/>
      <c r="Y5" s="169"/>
      <c r="Z5" s="169"/>
      <c r="AA5" s="169"/>
      <c r="AB5" s="169"/>
      <c r="AC5" s="169"/>
      <c r="AD5" s="169"/>
      <c r="AE5" s="169"/>
      <c r="AK5" s="143"/>
      <c r="AL5" s="143"/>
      <c r="AM5" s="143"/>
      <c r="AN5" s="143"/>
      <c r="AO5" s="143"/>
      <c r="AP5" s="143"/>
      <c r="AQ5" s="143"/>
      <c r="AR5" s="143"/>
      <c r="AS5" s="143"/>
      <c r="AT5" s="143"/>
    </row>
    <row r="6" spans="1:46" s="27" customFormat="1" x14ac:dyDescent="0.3">
      <c r="A6" s="16"/>
      <c r="B6" s="134" t="s">
        <v>4</v>
      </c>
      <c r="C6" s="208">
        <f>O27+C48+R71</f>
        <v>256.86132178335498</v>
      </c>
      <c r="D6" s="140">
        <f>P27+D48+S71</f>
        <v>2104.845770314058</v>
      </c>
      <c r="E6" s="140"/>
      <c r="F6" s="209">
        <f>C6+D6+E6</f>
        <v>2361.7070920974129</v>
      </c>
      <c r="G6" s="208">
        <f>C6-R71</f>
        <v>234.30519595491677</v>
      </c>
      <c r="H6" s="140">
        <f>D6-S71</f>
        <v>2006.4321003584241</v>
      </c>
      <c r="I6" s="209">
        <f>G6+H6</f>
        <v>2240.7372963133407</v>
      </c>
      <c r="K6" s="163"/>
      <c r="L6" s="163"/>
      <c r="M6" s="163"/>
      <c r="Q6" s="137"/>
      <c r="R6" s="141"/>
      <c r="S6" s="167"/>
      <c r="T6" s="167"/>
      <c r="U6" s="170"/>
      <c r="V6" s="167"/>
      <c r="W6" s="171"/>
      <c r="X6" s="171"/>
      <c r="Y6" s="143"/>
      <c r="Z6" s="143"/>
      <c r="AA6" s="143"/>
      <c r="AB6" s="143"/>
      <c r="AC6" s="143"/>
      <c r="AD6" s="143"/>
      <c r="AE6" s="143"/>
      <c r="AK6" s="143"/>
      <c r="AL6" s="143"/>
      <c r="AM6" s="143"/>
      <c r="AN6" s="143"/>
      <c r="AO6" s="143"/>
      <c r="AP6" s="143"/>
      <c r="AQ6" s="143"/>
      <c r="AR6" s="143"/>
      <c r="AS6" s="143"/>
      <c r="AT6" s="143"/>
    </row>
    <row r="7" spans="1:46" s="27" customFormat="1" x14ac:dyDescent="0.3">
      <c r="A7" s="16"/>
      <c r="B7" s="134" t="s">
        <v>75</v>
      </c>
      <c r="C7" s="208">
        <f t="shared" ref="C7:D7" si="0">O28+C49+R72</f>
        <v>25.265644915210132</v>
      </c>
      <c r="D7" s="140">
        <f t="shared" si="0"/>
        <v>115.56902355135229</v>
      </c>
      <c r="E7" s="140"/>
      <c r="F7" s="209">
        <f t="shared" ref="F7:F22" si="1">C7+D7+E7</f>
        <v>140.83466846656242</v>
      </c>
      <c r="G7" s="208">
        <f t="shared" ref="G7:H7" si="2">C7-R72</f>
        <v>18.190842656775594</v>
      </c>
      <c r="H7" s="140">
        <f t="shared" si="2"/>
        <v>105.6013988176295</v>
      </c>
      <c r="I7" s="209">
        <f t="shared" ref="I7:I22" si="3">G7+H7</f>
        <v>123.7922414744051</v>
      </c>
      <c r="K7" s="163"/>
      <c r="L7" s="163"/>
      <c r="M7" s="163"/>
      <c r="Q7" s="137"/>
      <c r="R7" s="142"/>
      <c r="S7" s="167"/>
      <c r="T7" s="167"/>
      <c r="U7" s="170"/>
      <c r="V7" s="167"/>
      <c r="W7" s="171"/>
      <c r="X7" s="171"/>
      <c r="Y7" s="171"/>
      <c r="Z7" s="171"/>
      <c r="AA7" s="171"/>
      <c r="AB7" s="171"/>
      <c r="AC7" s="143"/>
      <c r="AD7" s="143"/>
      <c r="AE7" s="143"/>
      <c r="AK7" s="143"/>
      <c r="AL7" s="143"/>
      <c r="AM7" s="143"/>
      <c r="AN7" s="143"/>
      <c r="AO7" s="143"/>
      <c r="AP7" s="143"/>
      <c r="AQ7" s="143"/>
      <c r="AR7" s="143"/>
      <c r="AS7" s="143"/>
      <c r="AT7" s="143"/>
    </row>
    <row r="8" spans="1:46" s="27" customFormat="1" x14ac:dyDescent="0.3">
      <c r="A8" s="16"/>
      <c r="B8" s="134" t="s">
        <v>5</v>
      </c>
      <c r="C8" s="208">
        <f t="shared" ref="C8:D8" si="4">O29+C50+R73</f>
        <v>286.58902690363504</v>
      </c>
      <c r="D8" s="140">
        <f t="shared" si="4"/>
        <v>1411.837096460363</v>
      </c>
      <c r="E8" s="140"/>
      <c r="F8" s="209">
        <f t="shared" si="1"/>
        <v>1698.4261233639982</v>
      </c>
      <c r="G8" s="208">
        <f t="shared" ref="G8:H8" si="5">C8-R73</f>
        <v>260.83127148407294</v>
      </c>
      <c r="H8" s="140">
        <f t="shared" si="5"/>
        <v>1368.0732530218024</v>
      </c>
      <c r="I8" s="209">
        <f t="shared" si="3"/>
        <v>1628.9045245058753</v>
      </c>
      <c r="K8" s="163"/>
      <c r="L8" s="163"/>
      <c r="M8" s="163"/>
      <c r="Q8" s="137"/>
      <c r="R8" s="142"/>
      <c r="S8" s="167"/>
      <c r="T8" s="167"/>
      <c r="U8" s="170"/>
      <c r="V8" s="167"/>
      <c r="W8" s="171"/>
      <c r="X8" s="171"/>
      <c r="Y8" s="171"/>
      <c r="Z8" s="171"/>
      <c r="AA8" s="171"/>
      <c r="AB8" s="171"/>
      <c r="AC8" s="143"/>
      <c r="AD8" s="143"/>
      <c r="AE8" s="143"/>
      <c r="AK8" s="143"/>
      <c r="AL8" s="143"/>
      <c r="AM8" s="143"/>
      <c r="AN8" s="143"/>
      <c r="AO8" s="143"/>
      <c r="AP8" s="143"/>
      <c r="AQ8" s="143"/>
      <c r="AR8" s="143"/>
      <c r="AS8" s="143"/>
      <c r="AT8" s="143"/>
    </row>
    <row r="9" spans="1:46" s="27" customFormat="1" x14ac:dyDescent="0.3">
      <c r="A9" s="16"/>
      <c r="B9" s="134" t="s">
        <v>6</v>
      </c>
      <c r="C9" s="208">
        <f t="shared" ref="C9:D9" si="6">O30+C51+R74</f>
        <v>430.07268858539499</v>
      </c>
      <c r="D9" s="140">
        <f t="shared" si="6"/>
        <v>2171.8111836630769</v>
      </c>
      <c r="E9" s="140"/>
      <c r="F9" s="209">
        <f t="shared" si="1"/>
        <v>2601.883872248472</v>
      </c>
      <c r="G9" s="208">
        <f t="shared" ref="G9:H9" si="7">C9-R74</f>
        <v>385.94485062184503</v>
      </c>
      <c r="H9" s="140">
        <f t="shared" si="7"/>
        <v>2106.2612941074854</v>
      </c>
      <c r="I9" s="209">
        <f t="shared" si="3"/>
        <v>2492.2061447293304</v>
      </c>
      <c r="K9" s="163"/>
      <c r="L9" s="163"/>
      <c r="M9" s="163"/>
      <c r="Q9" s="137"/>
      <c r="R9" s="142"/>
      <c r="S9" s="167"/>
      <c r="T9" s="167"/>
      <c r="U9" s="170"/>
      <c r="V9" s="167"/>
      <c r="W9" s="171"/>
      <c r="X9" s="171"/>
      <c r="Y9" s="171"/>
      <c r="Z9" s="171"/>
      <c r="AA9" s="171"/>
      <c r="AB9" s="171"/>
      <c r="AC9" s="143"/>
      <c r="AD9" s="143"/>
      <c r="AE9" s="143"/>
      <c r="AK9" s="143"/>
      <c r="AL9" s="143"/>
      <c r="AM9" s="143"/>
      <c r="AN9" s="143"/>
      <c r="AO9" s="143"/>
      <c r="AP9" s="143"/>
      <c r="AQ9" s="143"/>
      <c r="AR9" s="143"/>
      <c r="AS9" s="143"/>
      <c r="AT9" s="143"/>
    </row>
    <row r="10" spans="1:46" s="27" customFormat="1" x14ac:dyDescent="0.3">
      <c r="A10" s="16"/>
      <c r="B10" s="134" t="s">
        <v>7</v>
      </c>
      <c r="C10" s="208">
        <f t="shared" ref="C10:D10" si="8">O31+C52+R75</f>
        <v>158.13782937827605</v>
      </c>
      <c r="D10" s="140">
        <f t="shared" si="8"/>
        <v>1015.6488499033229</v>
      </c>
      <c r="E10" s="140"/>
      <c r="F10" s="209">
        <f t="shared" si="1"/>
        <v>1173.7866792815989</v>
      </c>
      <c r="G10" s="208">
        <f t="shared" ref="G10:H10" si="9">C10-R75</f>
        <v>111.55597622340008</v>
      </c>
      <c r="H10" s="140">
        <f t="shared" si="9"/>
        <v>930.90698239941094</v>
      </c>
      <c r="I10" s="209">
        <f t="shared" si="3"/>
        <v>1042.4629586228111</v>
      </c>
      <c r="K10" s="163"/>
      <c r="L10" s="163"/>
      <c r="M10" s="163"/>
      <c r="Q10" s="137"/>
      <c r="R10" s="142"/>
      <c r="S10" s="167"/>
      <c r="T10" s="167"/>
      <c r="U10" s="170"/>
      <c r="V10" s="167"/>
      <c r="W10" s="171"/>
      <c r="X10" s="171"/>
      <c r="Y10" s="171"/>
      <c r="Z10" s="171"/>
      <c r="AA10" s="171"/>
      <c r="AB10" s="171"/>
      <c r="AC10" s="143"/>
      <c r="AD10" s="143"/>
      <c r="AE10" s="143"/>
      <c r="AK10" s="143"/>
      <c r="AL10" s="143"/>
      <c r="AM10" s="143"/>
      <c r="AN10" s="143"/>
      <c r="AO10" s="143"/>
      <c r="AP10" s="143"/>
      <c r="AQ10" s="143"/>
      <c r="AR10" s="143"/>
      <c r="AS10" s="143"/>
      <c r="AT10" s="143"/>
    </row>
    <row r="11" spans="1:46" s="27" customFormat="1" x14ac:dyDescent="0.3">
      <c r="A11" s="16"/>
      <c r="B11" s="134" t="s">
        <v>74</v>
      </c>
      <c r="C11" s="208">
        <f t="shared" ref="C11:D11" si="10">O32+C53+R76</f>
        <v>396.90509920915019</v>
      </c>
      <c r="D11" s="140">
        <f t="shared" si="10"/>
        <v>2668.6808717858767</v>
      </c>
      <c r="E11" s="140"/>
      <c r="F11" s="209">
        <f t="shared" si="1"/>
        <v>3065.5859709950269</v>
      </c>
      <c r="G11" s="208">
        <f t="shared" ref="G11:H11" si="11">C11-R76</f>
        <v>339.8442325095902</v>
      </c>
      <c r="H11" s="140">
        <f t="shared" si="11"/>
        <v>2535.354973681493</v>
      </c>
      <c r="I11" s="209">
        <f t="shared" si="3"/>
        <v>2875.1992061910832</v>
      </c>
      <c r="K11" s="163"/>
      <c r="L11" s="163"/>
      <c r="M11" s="163"/>
      <c r="Q11" s="137"/>
      <c r="R11" s="142"/>
      <c r="S11" s="167"/>
      <c r="T11" s="167"/>
      <c r="U11" s="170"/>
      <c r="V11" s="167"/>
      <c r="W11" s="171"/>
      <c r="X11" s="171"/>
      <c r="Y11" s="171"/>
      <c r="Z11" s="171"/>
      <c r="AA11" s="171"/>
      <c r="AB11" s="171"/>
      <c r="AC11" s="143"/>
      <c r="AD11" s="143"/>
      <c r="AE11" s="143"/>
      <c r="AK11" s="143"/>
      <c r="AL11" s="143"/>
      <c r="AM11" s="143"/>
      <c r="AN11" s="143"/>
      <c r="AO11" s="143"/>
      <c r="AP11" s="143"/>
      <c r="AQ11" s="143"/>
      <c r="AR11" s="143"/>
      <c r="AS11" s="143"/>
      <c r="AT11" s="143"/>
    </row>
    <row r="12" spans="1:46" s="27" customFormat="1" x14ac:dyDescent="0.3">
      <c r="A12" s="16"/>
      <c r="B12" s="134" t="s">
        <v>19</v>
      </c>
      <c r="C12" s="208">
        <f t="shared" ref="C12:D12" si="12">O33+C54+R77</f>
        <v>75.342416040983252</v>
      </c>
      <c r="D12" s="140">
        <f t="shared" si="12"/>
        <v>871.17761459101837</v>
      </c>
      <c r="E12" s="140"/>
      <c r="F12" s="209">
        <f t="shared" si="1"/>
        <v>946.52003063200164</v>
      </c>
      <c r="G12" s="208">
        <f t="shared" ref="G12:H12" si="13">C12-R77</f>
        <v>73.952450218785273</v>
      </c>
      <c r="H12" s="140">
        <f t="shared" si="13"/>
        <v>854.22302106496591</v>
      </c>
      <c r="I12" s="209">
        <f t="shared" si="3"/>
        <v>928.17547128375122</v>
      </c>
      <c r="K12" s="163"/>
      <c r="L12" s="163"/>
      <c r="M12" s="163"/>
      <c r="Q12" s="137"/>
      <c r="R12" s="142"/>
      <c r="S12" s="167"/>
      <c r="T12" s="167"/>
      <c r="U12" s="170"/>
      <c r="V12" s="167"/>
      <c r="W12" s="171"/>
      <c r="X12" s="171"/>
      <c r="Y12" s="171"/>
      <c r="Z12" s="171"/>
      <c r="AA12" s="171"/>
      <c r="AB12" s="171"/>
      <c r="AC12" s="143"/>
      <c r="AD12" s="143"/>
      <c r="AE12" s="143"/>
      <c r="AK12" s="143"/>
      <c r="AL12" s="143"/>
      <c r="AM12" s="143"/>
      <c r="AN12" s="143"/>
      <c r="AO12" s="143"/>
      <c r="AP12" s="143"/>
      <c r="AQ12" s="143"/>
      <c r="AR12" s="143"/>
      <c r="AS12" s="143"/>
      <c r="AT12" s="143"/>
    </row>
    <row r="13" spans="1:46" s="27" customFormat="1" x14ac:dyDescent="0.3">
      <c r="A13" s="16"/>
      <c r="B13" s="134" t="s">
        <v>9</v>
      </c>
      <c r="C13" s="208">
        <f t="shared" ref="C13:D13" si="14">O34+C55+R78</f>
        <v>596.10253624465577</v>
      </c>
      <c r="D13" s="140">
        <f t="shared" si="14"/>
        <v>4507.7020867734236</v>
      </c>
      <c r="E13" s="140"/>
      <c r="F13" s="209">
        <f t="shared" si="1"/>
        <v>5103.8046230180789</v>
      </c>
      <c r="G13" s="208">
        <f t="shared" ref="G13:H13" si="15">C13-R78</f>
        <v>461.58769451278704</v>
      </c>
      <c r="H13" s="140">
        <f t="shared" si="15"/>
        <v>4346.2681853311751</v>
      </c>
      <c r="I13" s="209">
        <f t="shared" si="3"/>
        <v>4807.8558798439626</v>
      </c>
      <c r="K13" s="163"/>
      <c r="L13" s="163"/>
      <c r="M13" s="163"/>
      <c r="Q13" s="137"/>
      <c r="R13" s="142"/>
      <c r="S13" s="167"/>
      <c r="T13" s="167"/>
      <c r="U13" s="170"/>
      <c r="V13" s="167"/>
      <c r="W13" s="171"/>
      <c r="X13" s="171"/>
      <c r="Y13" s="171"/>
      <c r="Z13" s="171"/>
      <c r="AA13" s="171"/>
      <c r="AB13" s="171"/>
      <c r="AC13" s="143"/>
      <c r="AD13" s="143"/>
      <c r="AE13" s="143"/>
      <c r="AK13" s="143"/>
      <c r="AL13" s="143"/>
      <c r="AM13" s="143"/>
      <c r="AN13" s="143"/>
      <c r="AO13" s="143"/>
      <c r="AP13" s="143"/>
      <c r="AQ13" s="143"/>
      <c r="AR13" s="143"/>
      <c r="AS13" s="143"/>
      <c r="AT13" s="143"/>
    </row>
    <row r="14" spans="1:46" s="27" customFormat="1" x14ac:dyDescent="0.3">
      <c r="A14" s="16"/>
      <c r="B14" s="134" t="s">
        <v>23</v>
      </c>
      <c r="C14" s="208">
        <f t="shared" ref="C14:D14" si="16">O35+C56+R79</f>
        <v>321.71816565499068</v>
      </c>
      <c r="D14" s="140">
        <f t="shared" si="16"/>
        <v>1191.2170045245934</v>
      </c>
      <c r="E14" s="140"/>
      <c r="F14" s="209">
        <f t="shared" si="1"/>
        <v>1512.935170179584</v>
      </c>
      <c r="G14" s="208">
        <f t="shared" ref="G14:H14" si="17">C14-R79</f>
        <v>277.26253110747189</v>
      </c>
      <c r="H14" s="140">
        <f t="shared" si="17"/>
        <v>1175.7948133018012</v>
      </c>
      <c r="I14" s="209">
        <f t="shared" si="3"/>
        <v>1453.0573444092731</v>
      </c>
      <c r="K14" s="163"/>
      <c r="L14" s="163"/>
      <c r="M14" s="163"/>
      <c r="Q14" s="137"/>
      <c r="R14" s="142"/>
      <c r="S14" s="167"/>
      <c r="T14" s="167"/>
      <c r="U14" s="170"/>
      <c r="V14" s="167"/>
      <c r="W14" s="171"/>
      <c r="X14" s="171"/>
      <c r="Y14" s="171"/>
      <c r="Z14" s="171"/>
      <c r="AA14" s="171"/>
      <c r="AB14" s="171"/>
      <c r="AC14" s="143"/>
      <c r="AD14" s="143"/>
      <c r="AE14" s="143"/>
      <c r="AK14" s="143"/>
      <c r="AL14" s="143"/>
      <c r="AM14" s="143"/>
      <c r="AN14" s="143"/>
      <c r="AO14" s="143"/>
      <c r="AP14" s="143"/>
      <c r="AQ14" s="143"/>
      <c r="AR14" s="143"/>
      <c r="AS14" s="143"/>
      <c r="AT14" s="143"/>
    </row>
    <row r="15" spans="1:46" s="27" customFormat="1" x14ac:dyDescent="0.3">
      <c r="A15" s="16"/>
      <c r="B15" s="134" t="s">
        <v>10</v>
      </c>
      <c r="C15" s="208">
        <f t="shared" ref="C15:D15" si="18">O36+C57+R80</f>
        <v>85.34340693481623</v>
      </c>
      <c r="D15" s="140">
        <f t="shared" si="18"/>
        <v>545.73120113186781</v>
      </c>
      <c r="E15" s="140"/>
      <c r="F15" s="209">
        <f t="shared" si="1"/>
        <v>631.07460806668405</v>
      </c>
      <c r="G15" s="208">
        <f t="shared" ref="G15:H15" si="19">C15-R80</f>
        <v>80.9221719760545</v>
      </c>
      <c r="H15" s="140">
        <f t="shared" si="19"/>
        <v>534.02191038252522</v>
      </c>
      <c r="I15" s="209">
        <f t="shared" si="3"/>
        <v>614.94408235857975</v>
      </c>
      <c r="K15" s="163"/>
      <c r="L15" s="163"/>
      <c r="M15" s="163"/>
      <c r="Q15" s="137"/>
      <c r="R15" s="142"/>
      <c r="S15" s="167"/>
      <c r="T15" s="167"/>
      <c r="U15" s="170"/>
      <c r="V15" s="167"/>
      <c r="W15" s="171"/>
      <c r="X15" s="171"/>
      <c r="Y15" s="171"/>
      <c r="Z15" s="171"/>
      <c r="AA15" s="171"/>
      <c r="AB15" s="171"/>
      <c r="AC15" s="143"/>
      <c r="AD15" s="143"/>
      <c r="AE15" s="143"/>
      <c r="AK15" s="143"/>
      <c r="AL15" s="143"/>
      <c r="AM15" s="143"/>
      <c r="AN15" s="143"/>
      <c r="AO15" s="143"/>
      <c r="AP15" s="143"/>
      <c r="AQ15" s="143"/>
      <c r="AR15" s="143"/>
      <c r="AS15" s="143"/>
      <c r="AT15" s="143"/>
    </row>
    <row r="16" spans="1:46" s="16" customFormat="1" x14ac:dyDescent="0.3">
      <c r="B16" s="134" t="s">
        <v>11</v>
      </c>
      <c r="C16" s="208">
        <f t="shared" ref="C16:D16" si="20">O37+C58+R81</f>
        <v>215.04369870055027</v>
      </c>
      <c r="D16" s="140">
        <f t="shared" si="20"/>
        <v>1513.4588975649658</v>
      </c>
      <c r="E16" s="140"/>
      <c r="F16" s="209">
        <f t="shared" si="1"/>
        <v>1728.5025962655161</v>
      </c>
      <c r="G16" s="208">
        <f t="shared" ref="G16:H16" si="21">C16-R81</f>
        <v>214.28363756971166</v>
      </c>
      <c r="H16" s="140">
        <f t="shared" si="21"/>
        <v>1481.8029684948724</v>
      </c>
      <c r="I16" s="209">
        <f t="shared" si="3"/>
        <v>1696.086606064584</v>
      </c>
      <c r="J16" s="27"/>
      <c r="K16" s="163"/>
      <c r="L16" s="163"/>
      <c r="M16" s="163"/>
      <c r="N16" s="27"/>
      <c r="O16" s="27"/>
      <c r="P16" s="27"/>
      <c r="Q16" s="137"/>
      <c r="R16" s="142"/>
      <c r="S16" s="142"/>
      <c r="T16" s="142"/>
      <c r="U16" s="142"/>
      <c r="V16" s="142"/>
      <c r="W16" s="142"/>
      <c r="X16" s="142"/>
      <c r="Y16" s="143"/>
      <c r="Z16" s="143"/>
      <c r="AA16" s="143"/>
      <c r="AB16" s="143"/>
      <c r="AC16" s="143"/>
      <c r="AD16" s="143"/>
      <c r="AE16" s="137"/>
      <c r="AF16" s="137"/>
      <c r="AG16" s="137"/>
      <c r="AH16" s="137"/>
      <c r="AI16" s="137"/>
      <c r="AJ16" s="137"/>
      <c r="AK16" s="137"/>
      <c r="AL16" s="137"/>
      <c r="AM16" s="137"/>
      <c r="AN16" s="137"/>
      <c r="AO16" s="137"/>
      <c r="AP16" s="137"/>
      <c r="AQ16" s="137"/>
      <c r="AR16" s="137"/>
      <c r="AS16" s="137"/>
      <c r="AT16" s="137"/>
    </row>
    <row r="17" spans="2:46" s="16" customFormat="1" x14ac:dyDescent="0.3">
      <c r="B17" s="134" t="s">
        <v>12</v>
      </c>
      <c r="C17" s="208">
        <f t="shared" ref="C17:D17" si="22">O38+C59+R82</f>
        <v>279.01399558107369</v>
      </c>
      <c r="D17" s="140">
        <f t="shared" si="22"/>
        <v>1174.3331676303608</v>
      </c>
      <c r="E17" s="140"/>
      <c r="F17" s="209">
        <f t="shared" si="1"/>
        <v>1453.3471632114345</v>
      </c>
      <c r="G17" s="208">
        <f t="shared" ref="G17:H17" si="23">C17-R82</f>
        <v>216.75136728520374</v>
      </c>
      <c r="H17" s="140">
        <f t="shared" si="23"/>
        <v>1140.8409139407388</v>
      </c>
      <c r="I17" s="209">
        <f t="shared" si="3"/>
        <v>1357.5922812259425</v>
      </c>
      <c r="J17" s="27"/>
      <c r="K17" s="163"/>
      <c r="L17" s="163"/>
      <c r="M17" s="163"/>
      <c r="N17" s="27"/>
      <c r="O17" s="27"/>
      <c r="P17" s="27"/>
      <c r="Q17" s="137"/>
      <c r="R17" s="142"/>
      <c r="S17" s="142"/>
      <c r="T17" s="142"/>
      <c r="U17" s="142"/>
      <c r="V17" s="142"/>
      <c r="W17" s="142"/>
      <c r="X17" s="142"/>
      <c r="Y17" s="143"/>
      <c r="Z17" s="143"/>
      <c r="AA17" s="143"/>
      <c r="AB17" s="143"/>
      <c r="AC17" s="143"/>
      <c r="AD17" s="143"/>
      <c r="AE17" s="137"/>
      <c r="AF17" s="137"/>
      <c r="AG17" s="137"/>
      <c r="AH17" s="137"/>
      <c r="AI17" s="137"/>
      <c r="AJ17" s="137"/>
      <c r="AK17" s="137"/>
      <c r="AL17" s="137"/>
      <c r="AM17" s="137"/>
      <c r="AN17" s="137"/>
      <c r="AO17" s="137"/>
      <c r="AP17" s="137"/>
      <c r="AQ17" s="137"/>
      <c r="AR17" s="137"/>
      <c r="AS17" s="137"/>
      <c r="AT17" s="137"/>
    </row>
    <row r="18" spans="2:46" s="16" customFormat="1" x14ac:dyDescent="0.3">
      <c r="B18" s="134" t="s">
        <v>13</v>
      </c>
      <c r="C18" s="208">
        <f t="shared" ref="C18:D18" si="24">O39+C60+R83</f>
        <v>77.256966627628898</v>
      </c>
      <c r="D18" s="140">
        <f t="shared" si="24"/>
        <v>342.98291916153227</v>
      </c>
      <c r="E18" s="140"/>
      <c r="F18" s="209">
        <f t="shared" si="1"/>
        <v>420.23988578916118</v>
      </c>
      <c r="G18" s="208">
        <f t="shared" ref="G18:H18" si="25">C18-R83</f>
        <v>75.48341475029514</v>
      </c>
      <c r="H18" s="140">
        <f t="shared" si="25"/>
        <v>335.82595745227462</v>
      </c>
      <c r="I18" s="209">
        <f t="shared" si="3"/>
        <v>411.30937220256976</v>
      </c>
      <c r="J18" s="27"/>
      <c r="K18" s="163"/>
      <c r="L18" s="163"/>
      <c r="M18" s="163"/>
      <c r="N18" s="27"/>
      <c r="O18" s="27"/>
      <c r="P18" s="27"/>
      <c r="Q18" s="137"/>
      <c r="R18" s="142"/>
      <c r="S18" s="142"/>
      <c r="T18" s="142"/>
      <c r="U18" s="142"/>
      <c r="V18" s="142"/>
      <c r="W18" s="142"/>
      <c r="X18" s="142"/>
      <c r="Y18" s="143"/>
      <c r="Z18" s="143"/>
      <c r="AA18" s="143"/>
      <c r="AB18" s="143"/>
      <c r="AC18" s="143"/>
      <c r="AD18" s="143"/>
      <c r="AE18" s="137"/>
      <c r="AF18" s="137"/>
      <c r="AG18" s="137"/>
      <c r="AH18" s="137"/>
      <c r="AI18" s="137"/>
      <c r="AJ18" s="137"/>
      <c r="AK18" s="137"/>
      <c r="AL18" s="137"/>
      <c r="AM18" s="137"/>
      <c r="AN18" s="137"/>
      <c r="AO18" s="137"/>
      <c r="AP18" s="137"/>
      <c r="AQ18" s="137"/>
      <c r="AR18" s="137"/>
      <c r="AS18" s="137"/>
      <c r="AT18" s="137"/>
    </row>
    <row r="19" spans="2:46" s="16" customFormat="1" x14ac:dyDescent="0.3">
      <c r="B19" s="134" t="s">
        <v>15</v>
      </c>
      <c r="C19" s="208">
        <f t="shared" ref="C19:D19" si="26">O40+C61+R84</f>
        <v>32.321857694013858</v>
      </c>
      <c r="D19" s="140">
        <f t="shared" si="26"/>
        <v>151.28570316914121</v>
      </c>
      <c r="E19" s="140">
        <v>61.42650091578659</v>
      </c>
      <c r="F19" s="209">
        <f t="shared" si="1"/>
        <v>245.03406177894166</v>
      </c>
      <c r="G19" s="208">
        <f t="shared" ref="G19:H19" si="27">C19-R84</f>
        <v>32.321857694013858</v>
      </c>
      <c r="H19" s="140">
        <f t="shared" si="27"/>
        <v>150.07354230598614</v>
      </c>
      <c r="I19" s="209">
        <f t="shared" si="3"/>
        <v>182.3954</v>
      </c>
      <c r="J19" s="27"/>
      <c r="K19" s="163"/>
      <c r="L19" s="163"/>
      <c r="M19" s="163"/>
      <c r="N19" s="27"/>
      <c r="O19" s="27"/>
      <c r="P19" s="27"/>
      <c r="Q19" s="137"/>
      <c r="R19" s="142"/>
      <c r="S19" s="142"/>
      <c r="T19" s="142"/>
      <c r="U19" s="142"/>
      <c r="V19" s="142"/>
      <c r="W19" s="142"/>
      <c r="X19" s="142"/>
      <c r="Y19" s="143"/>
      <c r="Z19" s="143"/>
      <c r="AA19" s="143"/>
      <c r="AB19" s="143"/>
      <c r="AC19" s="143"/>
      <c r="AD19" s="143"/>
      <c r="AE19" s="137"/>
      <c r="AF19" s="137"/>
      <c r="AG19" s="137"/>
      <c r="AH19" s="137"/>
      <c r="AI19" s="137"/>
      <c r="AJ19" s="137"/>
      <c r="AK19" s="137"/>
      <c r="AL19" s="137"/>
      <c r="AM19" s="137"/>
      <c r="AN19" s="137"/>
      <c r="AO19" s="137"/>
      <c r="AP19" s="137"/>
      <c r="AQ19" s="137"/>
      <c r="AR19" s="137"/>
      <c r="AS19" s="137"/>
      <c r="AT19" s="137"/>
    </row>
    <row r="20" spans="2:46" s="16" customFormat="1" x14ac:dyDescent="0.3">
      <c r="B20" s="134" t="s">
        <v>16</v>
      </c>
      <c r="C20" s="208">
        <f t="shared" ref="C20:D20" si="28">O41+C62+R85</f>
        <v>24.830007861298853</v>
      </c>
      <c r="D20" s="140">
        <f t="shared" si="28"/>
        <v>229.81426283286896</v>
      </c>
      <c r="E20" s="140"/>
      <c r="F20" s="209">
        <f t="shared" si="1"/>
        <v>254.6442706941678</v>
      </c>
      <c r="G20" s="208">
        <f t="shared" ref="G20:H20" si="29">C20-R85</f>
        <v>24.830007861298853</v>
      </c>
      <c r="H20" s="140">
        <f t="shared" si="29"/>
        <v>218.77727042746659</v>
      </c>
      <c r="I20" s="209">
        <f t="shared" si="3"/>
        <v>243.60727828876543</v>
      </c>
      <c r="J20" s="27"/>
      <c r="K20" s="163"/>
      <c r="L20" s="163"/>
      <c r="M20" s="163"/>
      <c r="N20" s="27"/>
      <c r="O20" s="27"/>
      <c r="P20" s="27"/>
      <c r="Q20" s="137"/>
      <c r="R20" s="142"/>
      <c r="S20" s="142"/>
      <c r="T20" s="142"/>
      <c r="U20" s="142"/>
      <c r="V20" s="142"/>
      <c r="W20" s="142"/>
      <c r="X20" s="142"/>
      <c r="Y20" s="143"/>
      <c r="Z20" s="143"/>
      <c r="AA20" s="143"/>
      <c r="AB20" s="143"/>
      <c r="AC20" s="143"/>
      <c r="AD20" s="143"/>
      <c r="AE20" s="137"/>
      <c r="AF20" s="137"/>
      <c r="AG20" s="137"/>
      <c r="AH20" s="137"/>
      <c r="AI20" s="137"/>
      <c r="AJ20" s="137"/>
      <c r="AK20" s="137"/>
      <c r="AL20" s="137"/>
      <c r="AM20" s="137"/>
      <c r="AN20" s="137"/>
      <c r="AO20" s="137"/>
      <c r="AP20" s="137"/>
      <c r="AQ20" s="137"/>
      <c r="AR20" s="137"/>
      <c r="AS20" s="137"/>
      <c r="AT20" s="137"/>
    </row>
    <row r="21" spans="2:46" s="16" customFormat="1" x14ac:dyDescent="0.3">
      <c r="B21" s="134" t="s">
        <v>17</v>
      </c>
      <c r="C21" s="208">
        <f t="shared" ref="C21:D21" si="30">O42+C63+R86</f>
        <v>118.21657075356735</v>
      </c>
      <c r="D21" s="140">
        <f t="shared" si="30"/>
        <v>800.53329608449064</v>
      </c>
      <c r="E21" s="140"/>
      <c r="F21" s="209">
        <f t="shared" si="1"/>
        <v>918.74986683805798</v>
      </c>
      <c r="G21" s="208">
        <f t="shared" ref="G21:H21" si="31">C21-R86</f>
        <v>115.72498718779879</v>
      </c>
      <c r="H21" s="140">
        <f t="shared" si="31"/>
        <v>782.90247742127531</v>
      </c>
      <c r="I21" s="209">
        <f t="shared" si="3"/>
        <v>898.62746460907408</v>
      </c>
      <c r="J21" s="27"/>
      <c r="K21" s="163"/>
      <c r="L21" s="163"/>
      <c r="M21" s="163"/>
      <c r="N21" s="27"/>
      <c r="O21" s="27"/>
      <c r="P21" s="27"/>
      <c r="Q21" s="137"/>
      <c r="R21" s="142"/>
      <c r="S21" s="142"/>
      <c r="T21" s="142"/>
      <c r="U21" s="142"/>
      <c r="V21" s="142"/>
      <c r="W21" s="142"/>
      <c r="X21" s="142"/>
      <c r="Y21" s="143"/>
      <c r="Z21" s="143"/>
      <c r="AA21" s="143"/>
      <c r="AB21" s="143"/>
      <c r="AC21" s="143"/>
      <c r="AD21" s="143"/>
      <c r="AE21" s="137"/>
      <c r="AF21" s="137"/>
      <c r="AG21" s="137"/>
      <c r="AH21" s="137"/>
      <c r="AI21" s="137"/>
      <c r="AJ21" s="137"/>
      <c r="AK21" s="137"/>
      <c r="AL21" s="137"/>
      <c r="AM21" s="137"/>
      <c r="AN21" s="137"/>
      <c r="AO21" s="137"/>
      <c r="AP21" s="137"/>
      <c r="AQ21" s="137"/>
      <c r="AR21" s="137"/>
      <c r="AS21" s="137"/>
      <c r="AT21" s="137"/>
    </row>
    <row r="22" spans="2:46" s="16" customFormat="1" x14ac:dyDescent="0.3">
      <c r="B22" s="134" t="s">
        <v>18</v>
      </c>
      <c r="C22" s="208">
        <f t="shared" ref="C22:D22" si="32">O43+C64+R87</f>
        <v>53.653776266427599</v>
      </c>
      <c r="D22" s="140">
        <f t="shared" si="32"/>
        <v>518.8320739099446</v>
      </c>
      <c r="E22" s="140"/>
      <c r="F22" s="209">
        <f t="shared" si="1"/>
        <v>572.4858501763722</v>
      </c>
      <c r="G22" s="208">
        <f t="shared" ref="G22:H22" si="33">C22-R87</f>
        <v>52.796513958556559</v>
      </c>
      <c r="H22" s="140">
        <f t="shared" si="33"/>
        <v>500.60925049861993</v>
      </c>
      <c r="I22" s="209">
        <f t="shared" si="3"/>
        <v>553.40576445717647</v>
      </c>
      <c r="J22" s="27"/>
      <c r="K22" s="163"/>
      <c r="L22" s="163"/>
      <c r="M22" s="163"/>
      <c r="N22" s="27"/>
      <c r="O22" s="27"/>
      <c r="P22" s="27"/>
      <c r="Q22" s="137"/>
      <c r="R22" s="142"/>
      <c r="S22" s="142"/>
      <c r="T22" s="142"/>
      <c r="U22" s="142"/>
      <c r="V22" s="142"/>
      <c r="W22" s="142"/>
      <c r="X22" s="142"/>
      <c r="Y22" s="143"/>
      <c r="Z22" s="143"/>
      <c r="AA22" s="143"/>
      <c r="AB22" s="143"/>
      <c r="AC22" s="143"/>
      <c r="AD22" s="143"/>
      <c r="AE22" s="137"/>
      <c r="AF22" s="137"/>
      <c r="AG22" s="137"/>
      <c r="AH22" s="137"/>
      <c r="AI22" s="137"/>
      <c r="AJ22" s="137"/>
      <c r="AK22" s="137"/>
      <c r="AL22" s="137"/>
      <c r="AM22" s="137"/>
      <c r="AN22" s="137"/>
      <c r="AO22" s="137"/>
      <c r="AP22" s="137"/>
      <c r="AQ22" s="137"/>
      <c r="AR22" s="137"/>
      <c r="AS22" s="137"/>
      <c r="AT22" s="137"/>
    </row>
    <row r="23" spans="2:46" s="16" customFormat="1" ht="13.5" thickBot="1" x14ac:dyDescent="0.35">
      <c r="B23" s="135" t="s">
        <v>33</v>
      </c>
      <c r="C23" s="210">
        <f t="shared" ref="C23:I23" si="34">SUM(C6:C22)</f>
        <v>3432.6750091350273</v>
      </c>
      <c r="D23" s="211">
        <f t="shared" si="34"/>
        <v>21335.461023052252</v>
      </c>
      <c r="E23" s="211">
        <f t="shared" si="34"/>
        <v>61.42650091578659</v>
      </c>
      <c r="F23" s="212">
        <f t="shared" si="34"/>
        <v>24829.562533103071</v>
      </c>
      <c r="G23" s="210">
        <f t="shared" si="34"/>
        <v>2976.5890035725783</v>
      </c>
      <c r="H23" s="211">
        <f t="shared" si="34"/>
        <v>20573.770313007943</v>
      </c>
      <c r="I23" s="212">
        <f t="shared" si="34"/>
        <v>23550.359316580525</v>
      </c>
      <c r="J23" s="239"/>
      <c r="K23" s="164"/>
      <c r="L23" s="164"/>
      <c r="M23" s="164"/>
      <c r="N23" s="27"/>
      <c r="O23" s="27"/>
      <c r="P23" s="27"/>
      <c r="Q23" s="137"/>
      <c r="R23" s="142"/>
      <c r="S23" s="142"/>
      <c r="T23" s="142"/>
      <c r="U23" s="142"/>
      <c r="V23" s="142"/>
      <c r="W23" s="142"/>
      <c r="X23" s="142"/>
      <c r="Y23" s="143"/>
      <c r="Z23" s="143"/>
      <c r="AA23" s="143"/>
      <c r="AB23" s="143"/>
      <c r="AC23" s="143"/>
      <c r="AD23" s="143"/>
      <c r="AE23" s="137"/>
      <c r="AF23" s="137"/>
      <c r="AG23" s="137"/>
      <c r="AH23" s="137"/>
      <c r="AI23" s="137"/>
      <c r="AJ23" s="137"/>
      <c r="AK23" s="137"/>
      <c r="AL23" s="137"/>
      <c r="AM23" s="137"/>
      <c r="AN23" s="137"/>
      <c r="AO23" s="137"/>
      <c r="AP23" s="137"/>
      <c r="AQ23" s="137"/>
      <c r="AR23" s="137"/>
      <c r="AS23" s="137"/>
      <c r="AT23" s="137"/>
    </row>
    <row r="24" spans="2:46" ht="34.5" customHeight="1" thickBot="1" x14ac:dyDescent="0.35">
      <c r="B24" s="118"/>
      <c r="C24" s="147"/>
      <c r="D24" s="147"/>
      <c r="E24" s="147"/>
      <c r="F24" s="147"/>
      <c r="G24" s="147"/>
      <c r="H24" s="147"/>
      <c r="I24" s="147"/>
      <c r="J24" s="147"/>
      <c r="L24" s="149"/>
      <c r="M24" s="148"/>
      <c r="N24" s="148"/>
      <c r="O24" s="148"/>
      <c r="P24" s="148"/>
      <c r="Q24" s="148"/>
      <c r="R24" s="148"/>
      <c r="S24" s="148"/>
      <c r="T24" s="148"/>
      <c r="U24" s="148"/>
      <c r="V24" s="148"/>
      <c r="W24" s="148"/>
      <c r="X24" s="148"/>
      <c r="Y24" s="148"/>
      <c r="Z24" s="148"/>
      <c r="AA24" s="148"/>
      <c r="AB24" s="148"/>
      <c r="AC24" s="148"/>
      <c r="AD24" s="148"/>
      <c r="AE24" s="148"/>
    </row>
    <row r="25" spans="2:46" s="16" customFormat="1" ht="45.75" customHeight="1" x14ac:dyDescent="0.3">
      <c r="B25" s="174" t="s">
        <v>1012</v>
      </c>
      <c r="C25" s="176" t="s">
        <v>1013</v>
      </c>
      <c r="D25" s="177"/>
      <c r="E25" s="152"/>
      <c r="F25" s="175" t="s">
        <v>208</v>
      </c>
      <c r="G25" s="178"/>
      <c r="H25" s="183"/>
      <c r="I25" s="179" t="s">
        <v>1014</v>
      </c>
      <c r="J25" s="181"/>
      <c r="K25" s="184"/>
      <c r="L25" s="180" t="s">
        <v>209</v>
      </c>
      <c r="M25" s="185"/>
      <c r="N25" s="185"/>
      <c r="O25" s="186" t="s">
        <v>321</v>
      </c>
      <c r="P25" s="187"/>
      <c r="Q25" s="188"/>
      <c r="R25" s="165"/>
      <c r="S25" s="189" t="s">
        <v>323</v>
      </c>
      <c r="T25" s="190"/>
      <c r="U25" s="190"/>
      <c r="V25" s="191" t="s">
        <v>206</v>
      </c>
      <c r="W25" s="192"/>
      <c r="X25" s="192"/>
      <c r="Y25" s="192"/>
      <c r="Z25" s="192"/>
      <c r="AA25" s="192"/>
      <c r="AC25" s="246" t="s">
        <v>325</v>
      </c>
      <c r="AD25" s="246"/>
      <c r="AE25" s="246"/>
      <c r="AF25" s="137"/>
    </row>
    <row r="26" spans="2:46" s="16" customFormat="1" ht="52" x14ac:dyDescent="0.3">
      <c r="B26" s="133" t="s">
        <v>20</v>
      </c>
      <c r="C26" s="138" t="s">
        <v>100</v>
      </c>
      <c r="D26" s="138" t="s">
        <v>201</v>
      </c>
      <c r="E26" s="138" t="s">
        <v>95</v>
      </c>
      <c r="F26" s="138" t="s">
        <v>100</v>
      </c>
      <c r="G26" s="138" t="s">
        <v>201</v>
      </c>
      <c r="H26" s="138" t="s">
        <v>95</v>
      </c>
      <c r="I26" s="138" t="s">
        <v>100</v>
      </c>
      <c r="J26" s="138" t="s">
        <v>201</v>
      </c>
      <c r="K26" s="138" t="s">
        <v>95</v>
      </c>
      <c r="L26" s="138" t="s">
        <v>100</v>
      </c>
      <c r="M26" s="138" t="s">
        <v>201</v>
      </c>
      <c r="N26" s="144" t="s">
        <v>95</v>
      </c>
      <c r="O26" s="145" t="s">
        <v>100</v>
      </c>
      <c r="P26" s="138" t="s">
        <v>201</v>
      </c>
      <c r="Q26" s="146" t="s">
        <v>95</v>
      </c>
      <c r="R26" s="27"/>
      <c r="S26" s="138" t="s">
        <v>100</v>
      </c>
      <c r="T26" s="138" t="s">
        <v>201</v>
      </c>
      <c r="U26" s="144" t="s">
        <v>95</v>
      </c>
      <c r="V26" s="138" t="s">
        <v>207</v>
      </c>
      <c r="W26" s="138" t="s">
        <v>100</v>
      </c>
      <c r="X26" s="138" t="s">
        <v>201</v>
      </c>
      <c r="Y26" s="138" t="s">
        <v>204</v>
      </c>
      <c r="Z26" s="138" t="s">
        <v>205</v>
      </c>
      <c r="AA26" s="138" t="s">
        <v>95</v>
      </c>
      <c r="AC26" s="138" t="s">
        <v>100</v>
      </c>
      <c r="AD26" s="138" t="s">
        <v>201</v>
      </c>
      <c r="AE26" s="138" t="s">
        <v>95</v>
      </c>
      <c r="AF26" s="137"/>
    </row>
    <row r="27" spans="2:46" s="16" customFormat="1" x14ac:dyDescent="0.3">
      <c r="B27" s="150" t="s">
        <v>4</v>
      </c>
      <c r="C27" s="156">
        <f>((W27+Y27)*(1+S27))+AC27</f>
        <v>133.53844091373679</v>
      </c>
      <c r="D27" s="156">
        <f>((X27+Z27)*(1+T27))+AD27</f>
        <v>1180.8107468240862</v>
      </c>
      <c r="E27" s="156">
        <f>C27+D27</f>
        <v>1314.3491877378231</v>
      </c>
      <c r="F27" s="217">
        <v>46.10967992921794</v>
      </c>
      <c r="G27" s="217">
        <v>2.2747857840551418</v>
      </c>
      <c r="H27" s="217">
        <f t="shared" ref="H27:H43" si="35">F27+G27</f>
        <v>48.38446571327308</v>
      </c>
      <c r="I27" s="156">
        <v>0</v>
      </c>
      <c r="J27" s="156">
        <v>4.8792894552962842</v>
      </c>
      <c r="K27" s="156">
        <f t="shared" ref="K27:K43" si="36">I27+J27</f>
        <v>4.8792894552962842</v>
      </c>
      <c r="L27" s="217">
        <v>15.017879284905762</v>
      </c>
      <c r="M27" s="217">
        <v>173.73642308081222</v>
      </c>
      <c r="N27" s="157">
        <f t="shared" ref="N27:N43" si="37">L27+M27</f>
        <v>188.75430236571799</v>
      </c>
      <c r="O27" s="218">
        <f>C27+F27+I27+L27</f>
        <v>194.66600012786051</v>
      </c>
      <c r="P27" s="217">
        <f t="shared" ref="P27:P43" si="38">D27+G27+J27+M27</f>
        <v>1361.7012451442499</v>
      </c>
      <c r="Q27" s="159">
        <f t="shared" ref="Q27:Q43" si="39">E27+H27+K27+N27</f>
        <v>1556.3672452721103</v>
      </c>
      <c r="R27" s="182"/>
      <c r="S27" s="236">
        <v>-2.5488016018058281E-3</v>
      </c>
      <c r="T27" s="236">
        <v>-7.7180908547786952E-3</v>
      </c>
      <c r="U27" s="236">
        <v>-1.0266892456584523E-2</v>
      </c>
      <c r="V27" s="193">
        <v>0.10203886262132052</v>
      </c>
      <c r="W27" s="156">
        <f t="shared" ref="W27:W43" si="40">$V27*$AA27</f>
        <v>128.74018902760955</v>
      </c>
      <c r="X27" s="156">
        <f t="shared" ref="X27:X43" si="41">(1-$V27)*$AA27</f>
        <v>1132.9378199225796</v>
      </c>
      <c r="Y27" s="156">
        <v>0</v>
      </c>
      <c r="Z27" s="156">
        <v>0</v>
      </c>
      <c r="AA27" s="156">
        <f>SUMIF('Modelled costs'!$A$7:$A$106,$B27,'Modelled costs'!$R$7:$R$106)</f>
        <v>1261.6780089501892</v>
      </c>
      <c r="AB27" s="247"/>
      <c r="AC27" s="156">
        <v>5.1263850861375913</v>
      </c>
      <c r="AD27" s="156">
        <v>56.617043928484065</v>
      </c>
      <c r="AE27" s="156">
        <f>AC27+AD27</f>
        <v>61.743429014621654</v>
      </c>
      <c r="AF27" s="137"/>
    </row>
    <row r="28" spans="2:46" s="16" customFormat="1" x14ac:dyDescent="0.3">
      <c r="B28" s="150" t="s">
        <v>75</v>
      </c>
      <c r="C28" s="156">
        <f t="shared" ref="C28:C43" si="42">((W28+Y28)*(1+S28))+AC28</f>
        <v>8.0460563117432251</v>
      </c>
      <c r="D28" s="156">
        <f t="shared" ref="D28:D43" si="43">((X28+Z28)*(1+T28))+AD28</f>
        <v>92.607248919190184</v>
      </c>
      <c r="E28" s="156">
        <f t="shared" ref="E28:E43" si="44">C28+D28</f>
        <v>100.65330523093341</v>
      </c>
      <c r="F28" s="217">
        <v>2.2626114398783286</v>
      </c>
      <c r="G28" s="217">
        <v>0</v>
      </c>
      <c r="H28" s="217">
        <f t="shared" si="35"/>
        <v>2.2626114398783286</v>
      </c>
      <c r="I28" s="156">
        <v>0</v>
      </c>
      <c r="J28" s="156">
        <v>0.14184996832444757</v>
      </c>
      <c r="K28" s="156">
        <f t="shared" si="36"/>
        <v>0.14184996832444757</v>
      </c>
      <c r="L28" s="217">
        <v>0.71794735578998969</v>
      </c>
      <c r="M28" s="217">
        <v>7.0441101627652474</v>
      </c>
      <c r="N28" s="157">
        <f t="shared" si="37"/>
        <v>7.7620575185552374</v>
      </c>
      <c r="O28" s="218">
        <f t="shared" ref="O28:O43" si="45">C28+F28+I28+L28</f>
        <v>11.026615107411544</v>
      </c>
      <c r="P28" s="217">
        <f t="shared" si="38"/>
        <v>99.793209050279884</v>
      </c>
      <c r="Q28" s="159">
        <f t="shared" si="39"/>
        <v>110.81982415769143</v>
      </c>
      <c r="R28" s="182"/>
      <c r="S28" s="236">
        <v>-2.5488016018058281E-3</v>
      </c>
      <c r="T28" s="236">
        <v>-7.7180908547786952E-3</v>
      </c>
      <c r="U28" s="236">
        <v>-1.0266892456584523E-2</v>
      </c>
      <c r="V28" s="193">
        <v>7.9007569398246213E-2</v>
      </c>
      <c r="W28" s="156">
        <f t="shared" si="40"/>
        <v>8.0666165168425064</v>
      </c>
      <c r="X28" s="156">
        <f t="shared" si="41"/>
        <v>94.032670656287095</v>
      </c>
      <c r="Y28" s="156">
        <v>0</v>
      </c>
      <c r="Z28" s="156">
        <v>0</v>
      </c>
      <c r="AA28" s="156">
        <f>SUMIF('Modelled costs'!$A$7:$A$106,$B28,'Modelled costs'!$R$7:$R$106)</f>
        <v>102.0992871731296</v>
      </c>
      <c r="AB28" s="247"/>
      <c r="AC28" s="156">
        <v>0</v>
      </c>
      <c r="AD28" s="156">
        <v>-0.69966904165420507</v>
      </c>
      <c r="AE28" s="156">
        <f t="shared" ref="AE28:AE43" si="46">AC28+AD28</f>
        <v>-0.69966904165420507</v>
      </c>
      <c r="AF28" s="137"/>
    </row>
    <row r="29" spans="2:46" s="16" customFormat="1" x14ac:dyDescent="0.3">
      <c r="B29" s="150" t="s">
        <v>5</v>
      </c>
      <c r="C29" s="156">
        <f t="shared" si="42"/>
        <v>87.846845907265077</v>
      </c>
      <c r="D29" s="156">
        <f t="shared" si="43"/>
        <v>1035.0562041926628</v>
      </c>
      <c r="E29" s="156">
        <f t="shared" si="44"/>
        <v>1122.9030500999279</v>
      </c>
      <c r="F29" s="217">
        <v>131.33203118954901</v>
      </c>
      <c r="G29" s="217">
        <v>1.2851826018993568</v>
      </c>
      <c r="H29" s="217">
        <f t="shared" si="35"/>
        <v>132.61721379144836</v>
      </c>
      <c r="I29" s="156">
        <v>0</v>
      </c>
      <c r="J29" s="156">
        <v>5.4581315653392517</v>
      </c>
      <c r="K29" s="156">
        <f t="shared" si="36"/>
        <v>5.4581315653392517</v>
      </c>
      <c r="L29" s="217">
        <v>27.147246869661146</v>
      </c>
      <c r="M29" s="217">
        <v>171.05809266190118</v>
      </c>
      <c r="N29" s="157">
        <f t="shared" si="37"/>
        <v>198.20533953156234</v>
      </c>
      <c r="O29" s="218">
        <f t="shared" si="45"/>
        <v>246.32612396647522</v>
      </c>
      <c r="P29" s="217">
        <f t="shared" si="38"/>
        <v>1212.8576110218025</v>
      </c>
      <c r="Q29" s="159">
        <f t="shared" si="39"/>
        <v>1459.183734988278</v>
      </c>
      <c r="R29" s="182"/>
      <c r="S29" s="236">
        <v>-2.5488016018058281E-3</v>
      </c>
      <c r="T29" s="236">
        <v>-7.7180908547786952E-3</v>
      </c>
      <c r="U29" s="236">
        <v>-1.0266892456584523E-2</v>
      </c>
      <c r="V29" s="193">
        <v>7.751038057153456E-2</v>
      </c>
      <c r="W29" s="156">
        <f t="shared" si="40"/>
        <v>88.071322234449397</v>
      </c>
      <c r="X29" s="156">
        <f t="shared" si="41"/>
        <v>1048.1806427932299</v>
      </c>
      <c r="Y29" s="156">
        <v>0</v>
      </c>
      <c r="Z29" s="156">
        <v>0</v>
      </c>
      <c r="AA29" s="156">
        <f>SUMIF('Modelled costs'!$A$7:$A$106,$B29,'Modelled costs'!$R$7:$R$106)</f>
        <v>1136.2519650276793</v>
      </c>
      <c r="AB29" s="247"/>
      <c r="AC29" s="156">
        <v>0</v>
      </c>
      <c r="AD29" s="156">
        <v>-5.0344851672688185</v>
      </c>
      <c r="AE29" s="156">
        <f t="shared" si="46"/>
        <v>-5.0344851672688185</v>
      </c>
      <c r="AF29" s="137"/>
    </row>
    <row r="30" spans="2:46" s="16" customFormat="1" x14ac:dyDescent="0.3">
      <c r="B30" s="150" t="s">
        <v>6</v>
      </c>
      <c r="C30" s="156">
        <f t="shared" si="42"/>
        <v>194.82809274167565</v>
      </c>
      <c r="D30" s="156">
        <f t="shared" si="43"/>
        <v>1704.9129818740305</v>
      </c>
      <c r="E30" s="156">
        <f t="shared" si="44"/>
        <v>1899.7410746157061</v>
      </c>
      <c r="F30" s="217">
        <v>80.633391856264183</v>
      </c>
      <c r="G30" s="217">
        <v>1.4738186483043141</v>
      </c>
      <c r="H30" s="217">
        <f t="shared" si="35"/>
        <v>82.107210504568499</v>
      </c>
      <c r="I30" s="156">
        <v>0</v>
      </c>
      <c r="J30" s="156">
        <v>16.443253276994682</v>
      </c>
      <c r="K30" s="156">
        <f t="shared" si="36"/>
        <v>16.443253276994682</v>
      </c>
      <c r="L30" s="217">
        <v>85.201741702138932</v>
      </c>
      <c r="M30" s="217">
        <v>223.32987922425781</v>
      </c>
      <c r="N30" s="157">
        <f t="shared" si="37"/>
        <v>308.53162092639673</v>
      </c>
      <c r="O30" s="218">
        <f t="shared" si="45"/>
        <v>360.66322630007875</v>
      </c>
      <c r="P30" s="217">
        <f t="shared" si="38"/>
        <v>1946.1599330235874</v>
      </c>
      <c r="Q30" s="159">
        <f t="shared" si="39"/>
        <v>2306.823159323666</v>
      </c>
      <c r="R30" s="182"/>
      <c r="S30" s="236">
        <v>-2.5488016018058281E-3</v>
      </c>
      <c r="T30" s="236">
        <v>-7.7180908547786952E-3</v>
      </c>
      <c r="U30" s="236">
        <v>-1.0266892456584523E-2</v>
      </c>
      <c r="V30" s="193">
        <v>0.10118109393703323</v>
      </c>
      <c r="W30" s="156">
        <f t="shared" si="40"/>
        <v>195.32593980993744</v>
      </c>
      <c r="X30" s="156">
        <f t="shared" si="41"/>
        <v>1735.1329256723059</v>
      </c>
      <c r="Y30" s="156">
        <v>0</v>
      </c>
      <c r="Z30" s="156">
        <v>0</v>
      </c>
      <c r="AA30" s="156">
        <f>SUMIF('Modelled costs'!$A$7:$A$106,$B30,'Modelled costs'!$R$7:$R$106)</f>
        <v>1930.4588654822433</v>
      </c>
      <c r="AB30" s="247"/>
      <c r="AC30" s="156">
        <v>0</v>
      </c>
      <c r="AD30" s="156">
        <v>-16.828030232818563</v>
      </c>
      <c r="AE30" s="156">
        <f t="shared" si="46"/>
        <v>-16.828030232818563</v>
      </c>
      <c r="AF30" s="137"/>
    </row>
    <row r="31" spans="2:46" s="16" customFormat="1" x14ac:dyDescent="0.3">
      <c r="B31" s="150" t="s">
        <v>7</v>
      </c>
      <c r="C31" s="156">
        <f t="shared" si="42"/>
        <v>45.370009158292333</v>
      </c>
      <c r="D31" s="156">
        <f t="shared" si="43"/>
        <v>621.31485551700985</v>
      </c>
      <c r="E31" s="156">
        <f t="shared" si="44"/>
        <v>666.68486467530215</v>
      </c>
      <c r="F31" s="217">
        <v>22.656211474392506</v>
      </c>
      <c r="G31" s="217">
        <v>0</v>
      </c>
      <c r="H31" s="217">
        <f t="shared" si="35"/>
        <v>22.656211474392506</v>
      </c>
      <c r="I31" s="156">
        <v>0</v>
      </c>
      <c r="J31" s="156">
        <v>8.9340814280069978</v>
      </c>
      <c r="K31" s="156">
        <f t="shared" si="36"/>
        <v>8.9340814280069978</v>
      </c>
      <c r="L31" s="217">
        <v>4.3041324057433936</v>
      </c>
      <c r="M31" s="217">
        <v>51.659728167874185</v>
      </c>
      <c r="N31" s="157">
        <f t="shared" si="37"/>
        <v>55.96386057361758</v>
      </c>
      <c r="O31" s="218">
        <f t="shared" si="45"/>
        <v>72.330353038428228</v>
      </c>
      <c r="P31" s="217">
        <f t="shared" si="38"/>
        <v>681.90866511289096</v>
      </c>
      <c r="Q31" s="159">
        <f t="shared" si="39"/>
        <v>754.23901815131921</v>
      </c>
      <c r="R31" s="182"/>
      <c r="S31" s="236">
        <v>-2.5488016018058281E-3</v>
      </c>
      <c r="T31" s="236">
        <v>-7.7180908547786952E-3</v>
      </c>
      <c r="U31" s="236">
        <v>-1.0266892456584523E-2</v>
      </c>
      <c r="V31" s="193">
        <v>6.8294661186785954E-2</v>
      </c>
      <c r="W31" s="156">
        <f t="shared" si="40"/>
        <v>45.485943804721458</v>
      </c>
      <c r="X31" s="156">
        <f t="shared" si="41"/>
        <v>620.53894034130803</v>
      </c>
      <c r="Y31" s="156">
        <v>0</v>
      </c>
      <c r="Z31" s="156">
        <v>0</v>
      </c>
      <c r="AA31" s="156">
        <f>SUMIF('Modelled costs'!$A$7:$A$106,$B31,'Modelled costs'!$R$7:$R$106)</f>
        <v>666.02488414602954</v>
      </c>
      <c r="AB31" s="247"/>
      <c r="AC31" s="156">
        <v>0</v>
      </c>
      <c r="AD31" s="156">
        <v>5.5652910961841302</v>
      </c>
      <c r="AE31" s="156">
        <f t="shared" si="46"/>
        <v>5.5652910961841302</v>
      </c>
      <c r="AF31" s="137"/>
    </row>
    <row r="32" spans="2:46" s="16" customFormat="1" x14ac:dyDescent="0.3">
      <c r="B32" s="150" t="s">
        <v>74</v>
      </c>
      <c r="C32" s="156">
        <f t="shared" si="42"/>
        <v>203.95764022987643</v>
      </c>
      <c r="D32" s="156">
        <f t="shared" si="43"/>
        <v>1962.711182068349</v>
      </c>
      <c r="E32" s="156">
        <f t="shared" si="44"/>
        <v>2166.6688222982252</v>
      </c>
      <c r="F32" s="217">
        <v>54.322462522744914</v>
      </c>
      <c r="G32" s="217">
        <v>0</v>
      </c>
      <c r="H32" s="217">
        <f t="shared" si="35"/>
        <v>54.322462522744914</v>
      </c>
      <c r="I32" s="156">
        <v>0</v>
      </c>
      <c r="J32" s="156">
        <v>12.521267340483393</v>
      </c>
      <c r="K32" s="156">
        <f t="shared" si="36"/>
        <v>12.521267340483393</v>
      </c>
      <c r="L32" s="217">
        <v>21.952715652117273</v>
      </c>
      <c r="M32" s="217">
        <v>207.87686875858682</v>
      </c>
      <c r="N32" s="157">
        <f t="shared" si="37"/>
        <v>229.82958441070409</v>
      </c>
      <c r="O32" s="218">
        <f t="shared" si="45"/>
        <v>280.23281840473862</v>
      </c>
      <c r="P32" s="217">
        <f t="shared" si="38"/>
        <v>2183.1093181674191</v>
      </c>
      <c r="Q32" s="159">
        <f t="shared" si="39"/>
        <v>2463.3421365721579</v>
      </c>
      <c r="R32" s="182"/>
      <c r="S32" s="236">
        <v>-2.5488016018058281E-3</v>
      </c>
      <c r="T32" s="236">
        <v>-7.7180908547786952E-3</v>
      </c>
      <c r="U32" s="236">
        <v>-1.0266892456584523E-2</v>
      </c>
      <c r="V32" s="193">
        <v>9.3393005908281743E-2</v>
      </c>
      <c r="W32" s="156">
        <f t="shared" si="40"/>
        <v>204.47881616405073</v>
      </c>
      <c r="X32" s="156">
        <f t="shared" si="41"/>
        <v>1984.9658234577084</v>
      </c>
      <c r="Y32" s="156">
        <v>0</v>
      </c>
      <c r="Z32" s="156">
        <v>0</v>
      </c>
      <c r="AA32" s="156">
        <f>SUMIF('Modelled costs'!$A$7:$A$106,$B32,'Modelled costs'!$R$7:$R$106)</f>
        <v>2189.4446396217591</v>
      </c>
      <c r="AB32" s="247"/>
      <c r="AC32" s="156">
        <v>0</v>
      </c>
      <c r="AD32" s="156">
        <v>-6.9344948202823282</v>
      </c>
      <c r="AE32" s="156">
        <f t="shared" si="46"/>
        <v>-6.9344948202823282</v>
      </c>
      <c r="AF32" s="137"/>
    </row>
    <row r="33" spans="2:46" s="16" customFormat="1" x14ac:dyDescent="0.3">
      <c r="B33" s="150" t="s">
        <v>19</v>
      </c>
      <c r="C33" s="156">
        <f t="shared" si="42"/>
        <v>33.22095901477077</v>
      </c>
      <c r="D33" s="156">
        <f t="shared" si="43"/>
        <v>611.64721805853765</v>
      </c>
      <c r="E33" s="156">
        <f t="shared" si="44"/>
        <v>644.8681770733084</v>
      </c>
      <c r="F33" s="217">
        <v>23.07973755910934</v>
      </c>
      <c r="G33" s="217">
        <v>1.9375101346816139</v>
      </c>
      <c r="H33" s="217">
        <f t="shared" si="35"/>
        <v>25.017247693790953</v>
      </c>
      <c r="I33" s="156">
        <v>0</v>
      </c>
      <c r="J33" s="156">
        <v>0</v>
      </c>
      <c r="K33" s="156">
        <f t="shared" si="36"/>
        <v>0</v>
      </c>
      <c r="L33" s="217">
        <v>8.2959536449051594</v>
      </c>
      <c r="M33" s="217">
        <v>95.703553921067524</v>
      </c>
      <c r="N33" s="157">
        <f t="shared" si="37"/>
        <v>103.99950756597268</v>
      </c>
      <c r="O33" s="218">
        <f t="shared" si="45"/>
        <v>64.596650218785271</v>
      </c>
      <c r="P33" s="217">
        <f t="shared" si="38"/>
        <v>709.28828211428674</v>
      </c>
      <c r="Q33" s="159">
        <f t="shared" si="39"/>
        <v>773.88493233307202</v>
      </c>
      <c r="R33" s="182"/>
      <c r="S33" s="236">
        <v>-2.5488016018058281E-3</v>
      </c>
      <c r="T33" s="236">
        <v>-7.7180908547786952E-3</v>
      </c>
      <c r="U33" s="236">
        <v>-1.0266892456584523E-2</v>
      </c>
      <c r="V33" s="193">
        <v>5.1131605081938425E-2</v>
      </c>
      <c r="W33" s="156">
        <f t="shared" si="40"/>
        <v>32.747849016092488</v>
      </c>
      <c r="X33" s="156">
        <f t="shared" si="41"/>
        <v>607.71413068538652</v>
      </c>
      <c r="Y33" s="156">
        <v>0.55800000000000005</v>
      </c>
      <c r="Z33" s="156">
        <v>8.8789999999999996</v>
      </c>
      <c r="AA33" s="156">
        <f>SUMIF('Modelled costs'!$A$7:$A$106,$B33,'Modelled costs'!$R$7:$R$106)</f>
        <v>640.46197970147898</v>
      </c>
      <c r="AB33" s="247"/>
      <c r="AC33" s="156">
        <v>0</v>
      </c>
      <c r="AD33" s="156">
        <v>-0.18699082378674098</v>
      </c>
      <c r="AE33" s="156">
        <f t="shared" si="46"/>
        <v>-0.18699082378674098</v>
      </c>
      <c r="AF33" s="137"/>
    </row>
    <row r="34" spans="2:46" s="16" customFormat="1" x14ac:dyDescent="0.3">
      <c r="B34" s="150" t="s">
        <v>9</v>
      </c>
      <c r="C34" s="156">
        <f t="shared" si="42"/>
        <v>260.70368485387837</v>
      </c>
      <c r="D34" s="156">
        <f t="shared" si="43"/>
        <v>2947.8689173908433</v>
      </c>
      <c r="E34" s="156">
        <f t="shared" si="44"/>
        <v>3208.5726022447216</v>
      </c>
      <c r="F34" s="217">
        <v>64.6489986033082</v>
      </c>
      <c r="G34" s="217">
        <v>0.38330565983781373</v>
      </c>
      <c r="H34" s="217">
        <f t="shared" si="35"/>
        <v>65.032304263146017</v>
      </c>
      <c r="I34" s="156">
        <v>0</v>
      </c>
      <c r="J34" s="156">
        <v>56.896684891516934</v>
      </c>
      <c r="K34" s="156">
        <f t="shared" si="36"/>
        <v>56.896684891516934</v>
      </c>
      <c r="L34" s="217">
        <v>17.005661224400871</v>
      </c>
      <c r="M34" s="217">
        <v>352.64729700196295</v>
      </c>
      <c r="N34" s="157">
        <f t="shared" si="37"/>
        <v>369.65295822636381</v>
      </c>
      <c r="O34" s="218">
        <f t="shared" si="45"/>
        <v>342.35834468158743</v>
      </c>
      <c r="P34" s="217">
        <f t="shared" si="38"/>
        <v>3357.7962049441612</v>
      </c>
      <c r="Q34" s="159">
        <f t="shared" si="39"/>
        <v>3700.1545496257486</v>
      </c>
      <c r="R34" s="182"/>
      <c r="S34" s="236">
        <v>-2.5488016018058281E-3</v>
      </c>
      <c r="T34" s="236">
        <v>-7.7180908547786952E-3</v>
      </c>
      <c r="U34" s="236">
        <v>-1.0266892456584523E-2</v>
      </c>
      <c r="V34" s="193">
        <v>8.1569793731295651E-2</v>
      </c>
      <c r="W34" s="156">
        <f t="shared" si="40"/>
        <v>261.36986478390338</v>
      </c>
      <c r="X34" s="156">
        <f t="shared" si="41"/>
        <v>2942.8783357803741</v>
      </c>
      <c r="Y34" s="156">
        <v>0</v>
      </c>
      <c r="Z34" s="156">
        <v>0</v>
      </c>
      <c r="AA34" s="156">
        <f>SUMIF('Modelled costs'!$A$7:$A$106,$B34,'Modelled costs'!$R$7:$R$106)</f>
        <v>3204.2482005642773</v>
      </c>
      <c r="AB34" s="247"/>
      <c r="AC34" s="156">
        <v>0</v>
      </c>
      <c r="AD34" s="156">
        <v>27.703983980581871</v>
      </c>
      <c r="AE34" s="156">
        <f t="shared" si="46"/>
        <v>27.703983980581871</v>
      </c>
      <c r="AF34" s="137"/>
    </row>
    <row r="35" spans="2:46" s="16" customFormat="1" x14ac:dyDescent="0.3">
      <c r="B35" s="150" t="s">
        <v>23</v>
      </c>
      <c r="C35" s="156">
        <f t="shared" si="42"/>
        <v>117.39550201783719</v>
      </c>
      <c r="D35" s="156">
        <f t="shared" si="43"/>
        <v>889.7647127505121</v>
      </c>
      <c r="E35" s="156">
        <f t="shared" si="44"/>
        <v>1007.1602147683493</v>
      </c>
      <c r="F35" s="217">
        <v>39.582650515317034</v>
      </c>
      <c r="G35" s="217">
        <v>1.664895643369628</v>
      </c>
      <c r="H35" s="217">
        <f t="shared" si="35"/>
        <v>41.24754615868666</v>
      </c>
      <c r="I35" s="156">
        <v>0</v>
      </c>
      <c r="J35" s="156">
        <v>0</v>
      </c>
      <c r="K35" s="156">
        <f t="shared" si="36"/>
        <v>0</v>
      </c>
      <c r="L35" s="217">
        <v>2.4895379338241925</v>
      </c>
      <c r="M35" s="217">
        <v>72.02184428084098</v>
      </c>
      <c r="N35" s="157">
        <f t="shared" si="37"/>
        <v>74.511382214665176</v>
      </c>
      <c r="O35" s="218">
        <f t="shared" si="45"/>
        <v>159.46769046697841</v>
      </c>
      <c r="P35" s="217">
        <f t="shared" si="38"/>
        <v>963.45145267472276</v>
      </c>
      <c r="Q35" s="159">
        <f t="shared" si="39"/>
        <v>1122.9191431417012</v>
      </c>
      <c r="R35" s="182"/>
      <c r="S35" s="236">
        <v>-2.5488016018058281E-3</v>
      </c>
      <c r="T35" s="236">
        <v>-7.7180908547786952E-3</v>
      </c>
      <c r="U35" s="236">
        <v>-1.0266892456584523E-2</v>
      </c>
      <c r="V35" s="193">
        <v>0.115436895725797</v>
      </c>
      <c r="W35" s="156">
        <f t="shared" si="40"/>
        <v>117.69548445714688</v>
      </c>
      <c r="X35" s="156">
        <f t="shared" si="41"/>
        <v>901.87008612710395</v>
      </c>
      <c r="Y35" s="156">
        <v>0</v>
      </c>
      <c r="Z35" s="156">
        <v>0</v>
      </c>
      <c r="AA35" s="156">
        <f>SUMIF('Modelled costs'!$A$7:$A$106,$B35,'Modelled costs'!$R$7:$R$106)</f>
        <v>1019.5655705842507</v>
      </c>
      <c r="AB35" s="247"/>
      <c r="AC35" s="156">
        <v>0</v>
      </c>
      <c r="AD35" s="156">
        <v>-5.1446581126557156</v>
      </c>
      <c r="AE35" s="156">
        <f t="shared" si="46"/>
        <v>-5.1446581126557156</v>
      </c>
      <c r="AF35" s="137"/>
    </row>
    <row r="36" spans="2:46" s="16" customFormat="1" x14ac:dyDescent="0.3">
      <c r="B36" s="150" t="s">
        <v>10</v>
      </c>
      <c r="C36" s="156">
        <f t="shared" si="42"/>
        <v>46.316654166492953</v>
      </c>
      <c r="D36" s="156">
        <f t="shared" si="43"/>
        <v>416.14833048784567</v>
      </c>
      <c r="E36" s="156">
        <f t="shared" si="44"/>
        <v>462.46498465433865</v>
      </c>
      <c r="F36" s="217">
        <v>11.222511023359866</v>
      </c>
      <c r="G36" s="217">
        <v>1.4761620238208066</v>
      </c>
      <c r="H36" s="217">
        <f t="shared" si="35"/>
        <v>12.698673047180673</v>
      </c>
      <c r="I36" s="156">
        <v>0</v>
      </c>
      <c r="J36" s="156">
        <v>0</v>
      </c>
      <c r="K36" s="156">
        <f t="shared" si="36"/>
        <v>0</v>
      </c>
      <c r="L36" s="217">
        <v>3.2810145914608184</v>
      </c>
      <c r="M36" s="217">
        <v>68.609227970398777</v>
      </c>
      <c r="N36" s="157">
        <f t="shared" si="37"/>
        <v>71.890242561859594</v>
      </c>
      <c r="O36" s="218">
        <f t="shared" si="45"/>
        <v>60.820179781313634</v>
      </c>
      <c r="P36" s="217">
        <f t="shared" si="38"/>
        <v>486.23372048206522</v>
      </c>
      <c r="Q36" s="159">
        <f t="shared" si="39"/>
        <v>547.05390026337886</v>
      </c>
      <c r="R36" s="182"/>
      <c r="S36" s="236">
        <v>-2.5488016018058281E-3</v>
      </c>
      <c r="T36" s="236">
        <v>-7.7180908547786952E-3</v>
      </c>
      <c r="U36" s="236">
        <v>-1.0266892456584523E-2</v>
      </c>
      <c r="V36" s="193">
        <v>0.1000936921668221</v>
      </c>
      <c r="W36" s="156">
        <f t="shared" si="40"/>
        <v>46.435007788724718</v>
      </c>
      <c r="X36" s="156">
        <f t="shared" si="41"/>
        <v>417.48041768417494</v>
      </c>
      <c r="Y36" s="156">
        <v>0</v>
      </c>
      <c r="Z36" s="156">
        <v>0</v>
      </c>
      <c r="AA36" s="156">
        <f>SUMIF('Modelled costs'!$A$7:$A$106,$B36,'Modelled costs'!$R$7:$R$106)</f>
        <v>463.91542547289964</v>
      </c>
      <c r="AB36" s="247"/>
      <c r="AC36" s="156">
        <v>0</v>
      </c>
      <c r="AD36" s="156">
        <v>1.8900645974481514</v>
      </c>
      <c r="AE36" s="156">
        <f t="shared" si="46"/>
        <v>1.8900645974481514</v>
      </c>
      <c r="AF36" s="137"/>
    </row>
    <row r="37" spans="2:46" s="16" customFormat="1" x14ac:dyDescent="0.3">
      <c r="B37" s="150" t="s">
        <v>11</v>
      </c>
      <c r="C37" s="156">
        <f t="shared" si="42"/>
        <v>115.57635868355216</v>
      </c>
      <c r="D37" s="156">
        <f t="shared" si="43"/>
        <v>1207.9132482586319</v>
      </c>
      <c r="E37" s="156">
        <f t="shared" si="44"/>
        <v>1323.4896069421841</v>
      </c>
      <c r="F37" s="217">
        <v>25.657891748374116</v>
      </c>
      <c r="G37" s="217">
        <v>0.12170289790713723</v>
      </c>
      <c r="H37" s="217">
        <f t="shared" si="35"/>
        <v>25.779594646281254</v>
      </c>
      <c r="I37" s="156">
        <v>0</v>
      </c>
      <c r="J37" s="156">
        <v>17.494548168355042</v>
      </c>
      <c r="K37" s="156">
        <f t="shared" si="36"/>
        <v>17.494548168355042</v>
      </c>
      <c r="L37" s="217">
        <v>37.537487137785391</v>
      </c>
      <c r="M37" s="217">
        <v>149.00871477427322</v>
      </c>
      <c r="N37" s="157">
        <f t="shared" si="37"/>
        <v>186.54620191205862</v>
      </c>
      <c r="O37" s="218">
        <f t="shared" si="45"/>
        <v>178.77173756971166</v>
      </c>
      <c r="P37" s="217">
        <f t="shared" si="38"/>
        <v>1374.5382140991674</v>
      </c>
      <c r="Q37" s="159">
        <f t="shared" si="39"/>
        <v>1553.3099516688792</v>
      </c>
      <c r="R37" s="182"/>
      <c r="S37" s="236">
        <v>-2.5488016018058281E-3</v>
      </c>
      <c r="T37" s="236">
        <v>-7.7180908547786952E-3</v>
      </c>
      <c r="U37" s="236">
        <v>-1.0266892456584523E-2</v>
      </c>
      <c r="V37" s="193">
        <v>8.6216748857149667E-2</v>
      </c>
      <c r="W37" s="156">
        <f t="shared" si="40"/>
        <v>115.8716926393553</v>
      </c>
      <c r="X37" s="156">
        <f t="shared" si="41"/>
        <v>1228.0863453903569</v>
      </c>
      <c r="Y37" s="156">
        <v>0</v>
      </c>
      <c r="Z37" s="156">
        <v>0</v>
      </c>
      <c r="AA37" s="156">
        <f>SUMIF('Modelled costs'!$A$7:$A$106,$B37,'Modelled costs'!$R$7:$R$106)</f>
        <v>1343.9580380297123</v>
      </c>
      <c r="AB37" s="247"/>
      <c r="AC37" s="156">
        <v>0</v>
      </c>
      <c r="AD37" s="156">
        <v>-10.694615140489088</v>
      </c>
      <c r="AE37" s="156">
        <f t="shared" si="46"/>
        <v>-10.694615140489088</v>
      </c>
      <c r="AF37" s="137"/>
    </row>
    <row r="38" spans="2:46" s="16" customFormat="1" x14ac:dyDescent="0.3">
      <c r="B38" s="150" t="s">
        <v>12</v>
      </c>
      <c r="C38" s="156">
        <f t="shared" si="42"/>
        <v>57.847265098087419</v>
      </c>
      <c r="D38" s="156">
        <f t="shared" si="43"/>
        <v>932.48068251001121</v>
      </c>
      <c r="E38" s="156">
        <f t="shared" si="44"/>
        <v>990.32794760809861</v>
      </c>
      <c r="F38" s="217">
        <v>21.420303732211565</v>
      </c>
      <c r="G38" s="217">
        <v>0</v>
      </c>
      <c r="H38" s="217">
        <f t="shared" si="35"/>
        <v>21.420303732211565</v>
      </c>
      <c r="I38" s="156">
        <v>0</v>
      </c>
      <c r="J38" s="156">
        <v>9.4818993777492295</v>
      </c>
      <c r="K38" s="156">
        <f t="shared" si="36"/>
        <v>9.4818993777492295</v>
      </c>
      <c r="L38" s="217">
        <v>8.814084808826351</v>
      </c>
      <c r="M38" s="217">
        <v>60.994171299440602</v>
      </c>
      <c r="N38" s="157">
        <f t="shared" si="37"/>
        <v>69.80825610826696</v>
      </c>
      <c r="O38" s="218">
        <f t="shared" si="45"/>
        <v>88.081653639125335</v>
      </c>
      <c r="P38" s="217">
        <f t="shared" si="38"/>
        <v>1002.956753187201</v>
      </c>
      <c r="Q38" s="159">
        <f t="shared" si="39"/>
        <v>1091.0384068263263</v>
      </c>
      <c r="R38" s="182"/>
      <c r="S38" s="236">
        <v>-2.5488016018058281E-3</v>
      </c>
      <c r="T38" s="236">
        <v>-7.7180908547786952E-3</v>
      </c>
      <c r="U38" s="236">
        <v>-1.0266892456584523E-2</v>
      </c>
      <c r="V38" s="193">
        <v>5.8677535699540172E-2</v>
      </c>
      <c r="W38" s="156">
        <f t="shared" si="40"/>
        <v>57.995083058684259</v>
      </c>
      <c r="X38" s="156">
        <f t="shared" si="41"/>
        <v>930.37435623831641</v>
      </c>
      <c r="Y38" s="156">
        <v>0</v>
      </c>
      <c r="Z38" s="156">
        <v>0</v>
      </c>
      <c r="AA38" s="156">
        <f>SUMIF('Modelled costs'!$A$7:$A$106,$B38,'Modelled costs'!$R$7:$R$106)</f>
        <v>988.36943929700067</v>
      </c>
      <c r="AB38" s="247"/>
      <c r="AC38" s="156">
        <v>0</v>
      </c>
      <c r="AD38" s="156">
        <v>9.2870400820982653</v>
      </c>
      <c r="AE38" s="156">
        <f t="shared" si="46"/>
        <v>9.2870400820982653</v>
      </c>
      <c r="AF38" s="137"/>
    </row>
    <row r="39" spans="2:46" s="16" customFormat="1" x14ac:dyDescent="0.3">
      <c r="B39" s="150" t="s">
        <v>13</v>
      </c>
      <c r="C39" s="156">
        <f t="shared" si="42"/>
        <v>49.065619563258167</v>
      </c>
      <c r="D39" s="156">
        <f t="shared" si="43"/>
        <v>290.63509032633704</v>
      </c>
      <c r="E39" s="156">
        <f t="shared" si="44"/>
        <v>339.7007098895952</v>
      </c>
      <c r="F39" s="217">
        <v>14.129219635426905</v>
      </c>
      <c r="G39" s="217">
        <v>0.50433680892717336</v>
      </c>
      <c r="H39" s="217">
        <f t="shared" si="35"/>
        <v>14.633556444354078</v>
      </c>
      <c r="I39" s="156">
        <v>0</v>
      </c>
      <c r="J39" s="156">
        <v>4.025931862768072</v>
      </c>
      <c r="K39" s="156">
        <f t="shared" si="36"/>
        <v>4.025931862768072</v>
      </c>
      <c r="L39" s="217">
        <v>6.1696230925936693</v>
      </c>
      <c r="M39" s="217">
        <v>16.840850913258759</v>
      </c>
      <c r="N39" s="157">
        <f t="shared" si="37"/>
        <v>23.01047400585243</v>
      </c>
      <c r="O39" s="218">
        <f t="shared" si="45"/>
        <v>69.364462291278741</v>
      </c>
      <c r="P39" s="217">
        <f t="shared" si="38"/>
        <v>312.00620991129102</v>
      </c>
      <c r="Q39" s="159">
        <f t="shared" si="39"/>
        <v>381.37067220256978</v>
      </c>
      <c r="R39" s="182"/>
      <c r="S39" s="236">
        <v>-2.5488016018058281E-3</v>
      </c>
      <c r="T39" s="236">
        <v>-7.7180908547786952E-3</v>
      </c>
      <c r="U39" s="236">
        <v>-1.0266892456584523E-2</v>
      </c>
      <c r="V39" s="193">
        <v>0.13019990408966806</v>
      </c>
      <c r="W39" s="156">
        <f t="shared" si="40"/>
        <v>43.300997656880448</v>
      </c>
      <c r="X39" s="156">
        <f t="shared" si="41"/>
        <v>289.27219400276363</v>
      </c>
      <c r="Y39" s="156">
        <v>5.8899999999999988</v>
      </c>
      <c r="Z39" s="156">
        <v>0</v>
      </c>
      <c r="AA39" s="156">
        <f>SUMIF('Modelled costs'!$A$7:$A$106,$B39,'Modelled costs'!$R$7:$R$106)</f>
        <v>332.57319165964407</v>
      </c>
      <c r="AB39" s="247"/>
      <c r="AC39" s="156">
        <v>0</v>
      </c>
      <c r="AD39" s="156">
        <v>3.5955253986479194</v>
      </c>
      <c r="AE39" s="156">
        <f t="shared" si="46"/>
        <v>3.5955253986479194</v>
      </c>
      <c r="AF39" s="137"/>
    </row>
    <row r="40" spans="2:46" s="16" customFormat="1" x14ac:dyDescent="0.3">
      <c r="B40" s="150" t="s">
        <v>15</v>
      </c>
      <c r="C40" s="156">
        <f t="shared" si="42"/>
        <v>17.142831688127149</v>
      </c>
      <c r="D40" s="156">
        <f t="shared" si="43"/>
        <v>128.224325644489</v>
      </c>
      <c r="E40" s="156">
        <f t="shared" si="44"/>
        <v>145.36715733261616</v>
      </c>
      <c r="F40" s="217">
        <v>6.1844544600490412</v>
      </c>
      <c r="G40" s="217">
        <v>0</v>
      </c>
      <c r="H40" s="217">
        <f t="shared" si="35"/>
        <v>6.1844544600490412</v>
      </c>
      <c r="I40" s="156">
        <v>0</v>
      </c>
      <c r="J40" s="156">
        <v>1.7768623094441907</v>
      </c>
      <c r="K40" s="156">
        <f t="shared" si="36"/>
        <v>1.7768623094441907</v>
      </c>
      <c r="L40" s="217">
        <v>2.2026715458376649</v>
      </c>
      <c r="M40" s="217">
        <v>8.0301081101943588</v>
      </c>
      <c r="N40" s="157">
        <f t="shared" si="37"/>
        <v>10.232779656032024</v>
      </c>
      <c r="O40" s="218">
        <f t="shared" si="45"/>
        <v>25.529957694013856</v>
      </c>
      <c r="P40" s="217">
        <f t="shared" si="38"/>
        <v>138.03129606412756</v>
      </c>
      <c r="Q40" s="159">
        <f t="shared" si="39"/>
        <v>163.56125375814142</v>
      </c>
      <c r="R40" s="182"/>
      <c r="S40" s="236">
        <v>-2.5488016018058281E-3</v>
      </c>
      <c r="T40" s="236">
        <v>-7.7180908547786952E-3</v>
      </c>
      <c r="U40" s="236">
        <v>-1.0266892456584523E-2</v>
      </c>
      <c r="V40" s="193">
        <v>0.1170321491539197</v>
      </c>
      <c r="W40" s="156">
        <f t="shared" si="40"/>
        <v>18.345542681596715</v>
      </c>
      <c r="X40" s="156">
        <f t="shared" si="41"/>
        <v>138.41089402596825</v>
      </c>
      <c r="Y40" s="156">
        <v>0</v>
      </c>
      <c r="Z40" s="156">
        <v>0</v>
      </c>
      <c r="AA40" s="156">
        <f>SUMIF('Modelled costs'!$A$7:$A$106,$B40,'Modelled costs'!$R$7:$R$106)</f>
        <v>156.75643670756494</v>
      </c>
      <c r="AB40" s="247"/>
      <c r="AC40" s="156">
        <v>-1.1559518448967148</v>
      </c>
      <c r="AD40" s="156">
        <v>-9.1183005260956893</v>
      </c>
      <c r="AE40" s="156">
        <f t="shared" si="46"/>
        <v>-10.274252370992404</v>
      </c>
      <c r="AF40" s="137"/>
    </row>
    <row r="41" spans="2:46" s="16" customFormat="1" x14ac:dyDescent="0.3">
      <c r="B41" s="150" t="s">
        <v>16</v>
      </c>
      <c r="C41" s="156">
        <f t="shared" si="42"/>
        <v>18.744509688633812</v>
      </c>
      <c r="D41" s="156">
        <f t="shared" si="43"/>
        <v>164.14744379124602</v>
      </c>
      <c r="E41" s="156">
        <f t="shared" si="44"/>
        <v>182.89195347987982</v>
      </c>
      <c r="F41" s="217">
        <v>4.1378985288426362</v>
      </c>
      <c r="G41" s="217">
        <v>0</v>
      </c>
      <c r="H41" s="217">
        <f t="shared" si="35"/>
        <v>4.1378985288426362</v>
      </c>
      <c r="I41" s="156">
        <v>0</v>
      </c>
      <c r="J41" s="156">
        <v>1.5938211509918578</v>
      </c>
      <c r="K41" s="156">
        <f t="shared" si="36"/>
        <v>1.5938211509918578</v>
      </c>
      <c r="L41" s="217">
        <v>1.0175996438224044</v>
      </c>
      <c r="M41" s="217">
        <v>14.13927926153236</v>
      </c>
      <c r="N41" s="157">
        <f t="shared" si="37"/>
        <v>15.156878905354764</v>
      </c>
      <c r="O41" s="218">
        <f t="shared" si="45"/>
        <v>23.900007861298853</v>
      </c>
      <c r="P41" s="217">
        <f t="shared" si="38"/>
        <v>179.88054420377023</v>
      </c>
      <c r="Q41" s="159">
        <f t="shared" si="39"/>
        <v>203.78055206506909</v>
      </c>
      <c r="R41" s="182"/>
      <c r="S41" s="236">
        <v>-2.5488016018058281E-3</v>
      </c>
      <c r="T41" s="236">
        <v>-7.7180908547786952E-3</v>
      </c>
      <c r="U41" s="236">
        <v>-1.0266892456584523E-2</v>
      </c>
      <c r="V41" s="193">
        <v>9.5003223968523301E-2</v>
      </c>
      <c r="W41" s="156">
        <f t="shared" si="40"/>
        <v>15.258407807756011</v>
      </c>
      <c r="X41" s="156">
        <f t="shared" si="41"/>
        <v>145.35096069969026</v>
      </c>
      <c r="Y41" s="156">
        <v>3.5339999999999998</v>
      </c>
      <c r="Z41" s="156">
        <v>18.400573535141923</v>
      </c>
      <c r="AA41" s="156">
        <f>SUMIF('Modelled costs'!$A$7:$A$106,$B41,'Modelled costs'!$R$7:$R$106)</f>
        <v>160.60936850744628</v>
      </c>
      <c r="AB41" s="247"/>
      <c r="AC41" s="156">
        <v>0</v>
      </c>
      <c r="AD41" s="156">
        <v>1.6597587752476739</v>
      </c>
      <c r="AE41" s="156">
        <f t="shared" si="46"/>
        <v>1.6597587752476739</v>
      </c>
      <c r="AF41" s="137"/>
    </row>
    <row r="42" spans="2:46" s="16" customFormat="1" x14ac:dyDescent="0.3">
      <c r="B42" s="150" t="s">
        <v>17</v>
      </c>
      <c r="C42" s="156">
        <f t="shared" si="42"/>
        <v>56.54832733466386</v>
      </c>
      <c r="D42" s="156">
        <f t="shared" si="43"/>
        <v>573.92600885710181</v>
      </c>
      <c r="E42" s="156">
        <f t="shared" si="44"/>
        <v>630.4743361917657</v>
      </c>
      <c r="F42" s="217">
        <v>13.984149781121596</v>
      </c>
      <c r="G42" s="217">
        <v>0.6815362282799643</v>
      </c>
      <c r="H42" s="217">
        <f t="shared" si="35"/>
        <v>14.665686009401561</v>
      </c>
      <c r="I42" s="156">
        <v>0</v>
      </c>
      <c r="J42" s="156">
        <v>9.4531022108797469</v>
      </c>
      <c r="K42" s="156">
        <f t="shared" si="36"/>
        <v>9.4531022108797469</v>
      </c>
      <c r="L42" s="217">
        <v>4.4311206029116121</v>
      </c>
      <c r="M42" s="217">
        <v>77.182842733614052</v>
      </c>
      <c r="N42" s="157">
        <f t="shared" si="37"/>
        <v>81.613963336525671</v>
      </c>
      <c r="O42" s="218">
        <f t="shared" si="45"/>
        <v>74.963597718697059</v>
      </c>
      <c r="P42" s="217">
        <f t="shared" si="38"/>
        <v>661.24349002987549</v>
      </c>
      <c r="Q42" s="159">
        <f t="shared" si="39"/>
        <v>736.20708774857269</v>
      </c>
      <c r="R42" s="182"/>
      <c r="S42" s="236">
        <v>-2.5488016018058281E-3</v>
      </c>
      <c r="T42" s="236">
        <v>-7.7180908547786952E-3</v>
      </c>
      <c r="U42" s="236">
        <v>-1.0266892456584523E-2</v>
      </c>
      <c r="V42" s="193">
        <v>9.6720424623439147E-2</v>
      </c>
      <c r="W42" s="156">
        <f t="shared" si="40"/>
        <v>56.692826100640069</v>
      </c>
      <c r="X42" s="156">
        <f t="shared" si="41"/>
        <v>529.45871656846839</v>
      </c>
      <c r="Y42" s="156">
        <v>0</v>
      </c>
      <c r="Z42" s="156">
        <v>41.824700000000007</v>
      </c>
      <c r="AA42" s="156">
        <f>SUMIF('Modelled costs'!$A$7:$A$106,$B42,'Modelled costs'!$R$7:$R$106)</f>
        <v>586.15154266910838</v>
      </c>
      <c r="AB42" s="247"/>
      <c r="AC42" s="156">
        <v>0</v>
      </c>
      <c r="AD42" s="156">
        <v>7.0518096015372418</v>
      </c>
      <c r="AE42" s="156">
        <f t="shared" si="46"/>
        <v>7.0518096015372418</v>
      </c>
      <c r="AF42" s="137"/>
    </row>
    <row r="43" spans="2:46" s="16" customFormat="1" x14ac:dyDescent="0.3">
      <c r="B43" s="150" t="s">
        <v>18</v>
      </c>
      <c r="C43" s="156">
        <f t="shared" si="42"/>
        <v>25.727815846459759</v>
      </c>
      <c r="D43" s="156">
        <f t="shared" si="43"/>
        <v>372.19577968295425</v>
      </c>
      <c r="E43" s="156">
        <f t="shared" si="44"/>
        <v>397.923595529414</v>
      </c>
      <c r="F43" s="217">
        <v>15.224441083015877</v>
      </c>
      <c r="G43" s="217">
        <v>0.51034760066049789</v>
      </c>
      <c r="H43" s="217">
        <f t="shared" si="35"/>
        <v>15.734788683676376</v>
      </c>
      <c r="I43" s="156">
        <v>0</v>
      </c>
      <c r="J43" s="156">
        <v>3.3630046318113265</v>
      </c>
      <c r="K43" s="156">
        <f t="shared" si="36"/>
        <v>3.3630046318113265</v>
      </c>
      <c r="L43" s="217">
        <v>0.73234999090897113</v>
      </c>
      <c r="M43" s="217">
        <v>24.040591719874783</v>
      </c>
      <c r="N43" s="157">
        <f t="shared" si="37"/>
        <v>24.772941710783755</v>
      </c>
      <c r="O43" s="218">
        <f t="shared" si="45"/>
        <v>41.68460692038461</v>
      </c>
      <c r="P43" s="217">
        <f t="shared" si="38"/>
        <v>400.1097236353009</v>
      </c>
      <c r="Q43" s="159">
        <f t="shared" si="39"/>
        <v>441.79433055568546</v>
      </c>
      <c r="R43" s="182"/>
      <c r="S43" s="236">
        <v>-2.5488016018058281E-3</v>
      </c>
      <c r="T43" s="236">
        <v>-7.7180908547786952E-3</v>
      </c>
      <c r="U43" s="236">
        <v>-1.0266892456584523E-2</v>
      </c>
      <c r="V43" s="193">
        <v>6.3957409752516223E-2</v>
      </c>
      <c r="W43" s="156">
        <f t="shared" si="40"/>
        <v>25.793558509705569</v>
      </c>
      <c r="X43" s="156">
        <f t="shared" si="41"/>
        <v>377.49917347418773</v>
      </c>
      <c r="Y43" s="156">
        <v>0</v>
      </c>
      <c r="Z43" s="156">
        <v>0</v>
      </c>
      <c r="AA43" s="156">
        <f>SUMIF('Modelled costs'!$A$7:$A$106,$B43,'Modelled costs'!$R$7:$R$106)</f>
        <v>403.2927319838933</v>
      </c>
      <c r="AB43" s="247"/>
      <c r="AC43" s="156">
        <v>0</v>
      </c>
      <c r="AD43" s="156">
        <v>-2.3898208727558341</v>
      </c>
      <c r="AE43" s="156">
        <f t="shared" si="46"/>
        <v>-2.3898208727558341</v>
      </c>
      <c r="AF43" s="137"/>
    </row>
    <row r="44" spans="2:46" s="16" customFormat="1" ht="13.5" thickBot="1" x14ac:dyDescent="0.35">
      <c r="B44" s="151" t="s">
        <v>33</v>
      </c>
      <c r="C44" s="136">
        <f t="shared" ref="C44:Q44" si="47">SUM(C27:C43)</f>
        <v>1471.8766132183514</v>
      </c>
      <c r="D44" s="136">
        <f t="shared" si="47"/>
        <v>15132.364977153838</v>
      </c>
      <c r="E44" s="136">
        <f t="shared" si="47"/>
        <v>16604.241590372192</v>
      </c>
      <c r="F44" s="136">
        <f t="shared" si="47"/>
        <v>576.58864508218312</v>
      </c>
      <c r="G44" s="136">
        <f t="shared" si="47"/>
        <v>12.313584031743449</v>
      </c>
      <c r="H44" s="136">
        <f t="shared" si="47"/>
        <v>588.90222911392652</v>
      </c>
      <c r="I44" s="136">
        <f t="shared" si="47"/>
        <v>0</v>
      </c>
      <c r="J44" s="136">
        <f t="shared" si="47"/>
        <v>152.46372763796143</v>
      </c>
      <c r="K44" s="136">
        <f t="shared" si="47"/>
        <v>152.46372763796143</v>
      </c>
      <c r="L44" s="136">
        <f t="shared" si="47"/>
        <v>246.31876748763355</v>
      </c>
      <c r="M44" s="136">
        <f t="shared" si="47"/>
        <v>1773.9235840426554</v>
      </c>
      <c r="N44" s="158">
        <f t="shared" si="47"/>
        <v>2020.2423515302896</v>
      </c>
      <c r="O44" s="162">
        <f t="shared" si="47"/>
        <v>2294.784025788168</v>
      </c>
      <c r="P44" s="160">
        <f t="shared" si="47"/>
        <v>17071.065872866202</v>
      </c>
      <c r="Q44" s="161">
        <f t="shared" si="47"/>
        <v>19365.849898654367</v>
      </c>
      <c r="R44" s="27"/>
      <c r="S44" s="136"/>
      <c r="T44" s="136"/>
      <c r="U44" s="158"/>
      <c r="V44" s="194">
        <v>8.830345966521061E-2</v>
      </c>
      <c r="W44" s="136">
        <f>SUM(W27:W43)</f>
        <v>1461.675142058097</v>
      </c>
      <c r="X44" s="136">
        <f>SUM(X27:X43)</f>
        <v>15124.184433520209</v>
      </c>
      <c r="Y44" s="136">
        <f>SUM(Y27:Y43)</f>
        <v>9.9819999999999993</v>
      </c>
      <c r="Z44" s="136">
        <f>SUM(Z27:Z43)</f>
        <v>69.104273535141928</v>
      </c>
      <c r="AA44" s="136">
        <f>SUM(AA27:AA43)</f>
        <v>16585.859575578306</v>
      </c>
      <c r="AC44" s="136">
        <f>SUM(AC27:AC43)</f>
        <v>3.9704332412408765</v>
      </c>
      <c r="AD44" s="136">
        <f t="shared" ref="AD44:AE44" si="48">SUM(AD27:AD43)</f>
        <v>56.339452722422344</v>
      </c>
      <c r="AE44" s="136">
        <f t="shared" si="48"/>
        <v>60.309885963663213</v>
      </c>
      <c r="AF44" s="137"/>
    </row>
    <row r="45" spans="2:46" ht="24.75" customHeight="1" x14ac:dyDescent="0.3">
      <c r="F45" s="155"/>
      <c r="G45" s="153"/>
      <c r="H45" s="153"/>
    </row>
    <row r="46" spans="2:46" s="16" customFormat="1" ht="53.25" customHeight="1" x14ac:dyDescent="0.3">
      <c r="B46" s="129" t="s">
        <v>116</v>
      </c>
      <c r="C46" s="195" t="s">
        <v>213</v>
      </c>
      <c r="D46" s="196"/>
      <c r="E46" s="196"/>
      <c r="F46" s="137"/>
      <c r="G46" s="137"/>
      <c r="H46" s="137"/>
      <c r="I46" s="137"/>
      <c r="J46" s="238"/>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row>
    <row r="47" spans="2:46" s="16" customFormat="1" ht="38.25" customHeight="1" x14ac:dyDescent="0.3">
      <c r="B47" s="32" t="s">
        <v>20</v>
      </c>
      <c r="C47" s="32" t="s">
        <v>100</v>
      </c>
      <c r="D47" s="32" t="s">
        <v>201</v>
      </c>
      <c r="E47" s="32" t="s">
        <v>95</v>
      </c>
      <c r="I47" s="137"/>
      <c r="J47" s="141"/>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row>
    <row r="48" spans="2:46" s="16" customFormat="1" x14ac:dyDescent="0.3">
      <c r="B48" s="127" t="s">
        <v>4</v>
      </c>
      <c r="C48" s="217">
        <v>39.639195827056255</v>
      </c>
      <c r="D48" s="217">
        <v>644.73085521417431</v>
      </c>
      <c r="E48" s="156">
        <f t="shared" ref="E48:E64" si="49">C48+D48</f>
        <v>684.37005104123057</v>
      </c>
      <c r="I48" s="137"/>
      <c r="J48" s="163"/>
      <c r="K48" s="2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row>
    <row r="49" spans="2:46" s="16" customFormat="1" x14ac:dyDescent="0.3">
      <c r="B49" s="127" t="s">
        <v>75</v>
      </c>
      <c r="C49" s="217">
        <v>7.1642275493640497</v>
      </c>
      <c r="D49" s="217">
        <v>5.8081897673496208</v>
      </c>
      <c r="E49" s="156">
        <f t="shared" si="49"/>
        <v>12.97241731671367</v>
      </c>
      <c r="I49" s="137"/>
      <c r="J49" s="163"/>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row>
    <row r="50" spans="2:46" s="16" customFormat="1" x14ac:dyDescent="0.3">
      <c r="B50" s="127" t="s">
        <v>5</v>
      </c>
      <c r="C50" s="217">
        <v>14.505147517597724</v>
      </c>
      <c r="D50" s="217">
        <v>155.215642</v>
      </c>
      <c r="E50" s="156">
        <f t="shared" si="49"/>
        <v>169.72078951759772</v>
      </c>
      <c r="I50" s="137"/>
      <c r="J50" s="163"/>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row>
    <row r="51" spans="2:46" s="16" customFormat="1" x14ac:dyDescent="0.3">
      <c r="B51" s="127" t="s">
        <v>6</v>
      </c>
      <c r="C51" s="217">
        <v>25.28162432176622</v>
      </c>
      <c r="D51" s="217">
        <v>160.1013610838981</v>
      </c>
      <c r="E51" s="156">
        <f t="shared" si="49"/>
        <v>185.38298540566433</v>
      </c>
      <c r="I51" s="137"/>
      <c r="J51" s="163"/>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row>
    <row r="52" spans="2:46" s="16" customFormat="1" x14ac:dyDescent="0.3">
      <c r="B52" s="127" t="s">
        <v>7</v>
      </c>
      <c r="C52" s="217">
        <v>39.225623184971859</v>
      </c>
      <c r="D52" s="217">
        <v>248.99831728651998</v>
      </c>
      <c r="E52" s="156">
        <f t="shared" si="49"/>
        <v>288.22394047149186</v>
      </c>
      <c r="I52" s="137"/>
      <c r="J52" s="163"/>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row>
    <row r="53" spans="2:46" s="16" customFormat="1" x14ac:dyDescent="0.3">
      <c r="B53" s="127" t="s">
        <v>74</v>
      </c>
      <c r="C53" s="217">
        <v>59.611414104851569</v>
      </c>
      <c r="D53" s="217">
        <v>352.24565551407397</v>
      </c>
      <c r="E53" s="156">
        <f t="shared" si="49"/>
        <v>411.85706961892555</v>
      </c>
      <c r="I53" s="137"/>
      <c r="J53" s="163"/>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row>
    <row r="54" spans="2:46" s="16" customFormat="1" x14ac:dyDescent="0.3">
      <c r="B54" s="127" t="s">
        <v>19</v>
      </c>
      <c r="C54" s="217">
        <v>9.3558000000000003</v>
      </c>
      <c r="D54" s="217">
        <v>144.93473895067913</v>
      </c>
      <c r="E54" s="156">
        <f t="shared" si="49"/>
        <v>154.29053895067912</v>
      </c>
      <c r="I54" s="137"/>
      <c r="J54" s="163"/>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row>
    <row r="55" spans="2:46" s="16" customFormat="1" x14ac:dyDescent="0.3">
      <c r="B55" s="127" t="s">
        <v>9</v>
      </c>
      <c r="C55" s="217">
        <v>119.22934983119968</v>
      </c>
      <c r="D55" s="217">
        <v>988.47198038701379</v>
      </c>
      <c r="E55" s="156">
        <f t="shared" si="49"/>
        <v>1107.7013302182136</v>
      </c>
      <c r="I55" s="137"/>
      <c r="J55" s="163"/>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row>
    <row r="56" spans="2:46" s="16" customFormat="1" x14ac:dyDescent="0.3">
      <c r="B56" s="127" t="s">
        <v>23</v>
      </c>
      <c r="C56" s="217">
        <v>117.79484064049345</v>
      </c>
      <c r="D56" s="217">
        <v>212.3433606270784</v>
      </c>
      <c r="E56" s="156">
        <f t="shared" si="49"/>
        <v>330.13820126757184</v>
      </c>
      <c r="I56" s="137"/>
      <c r="J56" s="163"/>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row>
    <row r="57" spans="2:46" s="16" customFormat="1" x14ac:dyDescent="0.3">
      <c r="B57" s="127" t="s">
        <v>10</v>
      </c>
      <c r="C57" s="217">
        <v>20.10199219474087</v>
      </c>
      <c r="D57" s="217">
        <v>47.788189900459983</v>
      </c>
      <c r="E57" s="156">
        <f t="shared" si="49"/>
        <v>67.890182095200856</v>
      </c>
      <c r="I57" s="137"/>
      <c r="J57" s="163"/>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row>
    <row r="58" spans="2:46" s="16" customFormat="1" x14ac:dyDescent="0.3">
      <c r="B58" s="127" t="s">
        <v>11</v>
      </c>
      <c r="C58" s="217">
        <v>35.511899999999997</v>
      </c>
      <c r="D58" s="217">
        <v>107.26475439570505</v>
      </c>
      <c r="E58" s="156">
        <f t="shared" si="49"/>
        <v>142.77665439570507</v>
      </c>
      <c r="I58" s="137"/>
      <c r="J58" s="163"/>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row>
    <row r="59" spans="2:46" s="16" customFormat="1" x14ac:dyDescent="0.3">
      <c r="B59" s="127" t="s">
        <v>12</v>
      </c>
      <c r="C59" s="217">
        <v>128.66971364607838</v>
      </c>
      <c r="D59" s="217">
        <v>137.88416075353786</v>
      </c>
      <c r="E59" s="156">
        <f t="shared" si="49"/>
        <v>266.55387439961623</v>
      </c>
      <c r="I59" s="137"/>
      <c r="J59" s="163"/>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row>
    <row r="60" spans="2:46" s="16" customFormat="1" x14ac:dyDescent="0.3">
      <c r="B60" s="127" t="s">
        <v>13</v>
      </c>
      <c r="C60" s="217">
        <v>6.1189524590163948</v>
      </c>
      <c r="D60" s="217">
        <v>23.819747540983606</v>
      </c>
      <c r="E60" s="156">
        <f t="shared" si="49"/>
        <v>29.938700000000001</v>
      </c>
      <c r="I60" s="137"/>
      <c r="J60" s="163"/>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row>
    <row r="61" spans="2:46" s="16" customFormat="1" x14ac:dyDescent="0.3">
      <c r="B61" s="127" t="s">
        <v>15</v>
      </c>
      <c r="C61" s="217">
        <v>6.7919</v>
      </c>
      <c r="D61" s="217">
        <v>12.042246241858583</v>
      </c>
      <c r="E61" s="156">
        <f t="shared" si="49"/>
        <v>18.834146241858583</v>
      </c>
      <c r="I61" s="137"/>
      <c r="J61" s="163"/>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row>
    <row r="62" spans="2:46" s="16" customFormat="1" x14ac:dyDescent="0.3">
      <c r="B62" s="127" t="s">
        <v>16</v>
      </c>
      <c r="C62" s="217">
        <v>0.92999999999999994</v>
      </c>
      <c r="D62" s="217">
        <v>38.896726223696369</v>
      </c>
      <c r="E62" s="156">
        <f t="shared" si="49"/>
        <v>39.826726223696369</v>
      </c>
      <c r="I62" s="137"/>
      <c r="J62" s="163"/>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row>
    <row r="63" spans="2:46" s="16" customFormat="1" x14ac:dyDescent="0.3">
      <c r="B63" s="127" t="s">
        <v>17</v>
      </c>
      <c r="C63" s="217">
        <v>40.761389469101729</v>
      </c>
      <c r="D63" s="217">
        <v>121.65898739139986</v>
      </c>
      <c r="E63" s="156">
        <f t="shared" si="49"/>
        <v>162.42037686050159</v>
      </c>
      <c r="I63" s="137"/>
      <c r="J63" s="163"/>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row>
    <row r="64" spans="2:46" s="16" customFormat="1" x14ac:dyDescent="0.3">
      <c r="B64" s="127" t="s">
        <v>18</v>
      </c>
      <c r="C64" s="217">
        <v>11.111907038171948</v>
      </c>
      <c r="D64" s="217">
        <v>100.49952686331901</v>
      </c>
      <c r="E64" s="156">
        <f t="shared" si="49"/>
        <v>111.61143390149095</v>
      </c>
      <c r="I64" s="137"/>
      <c r="J64" s="163"/>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row>
    <row r="65" spans="2:46" x14ac:dyDescent="0.3">
      <c r="B65" s="128" t="s">
        <v>33</v>
      </c>
      <c r="C65" s="136">
        <f>SUM(C48:C64)</f>
        <v>681.8049777844102</v>
      </c>
      <c r="D65" s="136">
        <f>SUM(D48:D64)</f>
        <v>3502.7044401417479</v>
      </c>
      <c r="E65" s="136">
        <f>SUM(E48:E64)</f>
        <v>4184.5094179261578</v>
      </c>
      <c r="F65" s="4"/>
      <c r="G65" s="4"/>
      <c r="H65" s="4"/>
      <c r="J65" s="164"/>
    </row>
    <row r="66" spans="2:46" x14ac:dyDescent="0.3">
      <c r="B66" s="132"/>
      <c r="C66" s="153"/>
      <c r="D66" s="154"/>
      <c r="E66" s="154"/>
      <c r="F66" s="147"/>
      <c r="G66" s="147"/>
      <c r="H66" s="147"/>
      <c r="K66" s="147"/>
      <c r="L66" s="147"/>
      <c r="M66" s="147"/>
      <c r="N66" s="147"/>
      <c r="O66" s="147"/>
      <c r="P66" s="147"/>
    </row>
    <row r="67" spans="2:46" x14ac:dyDescent="0.3">
      <c r="B67" s="132"/>
      <c r="C67" s="153"/>
      <c r="D67" s="154"/>
      <c r="E67" s="154"/>
      <c r="F67" s="147"/>
      <c r="G67" s="147"/>
      <c r="H67" s="147"/>
      <c r="K67" s="147"/>
      <c r="L67" s="147"/>
      <c r="M67" s="147"/>
      <c r="N67" s="147"/>
      <c r="O67" s="147"/>
      <c r="P67" s="147"/>
    </row>
    <row r="68" spans="2:46" ht="13.5" thickBot="1" x14ac:dyDescent="0.35">
      <c r="U68" s="143"/>
      <c r="V68" s="143"/>
      <c r="W68" s="143"/>
      <c r="X68" s="143"/>
      <c r="Y68" s="143"/>
      <c r="Z68" s="143"/>
      <c r="AA68" s="143"/>
      <c r="AB68" s="143"/>
      <c r="AC68" s="143"/>
      <c r="AD68" s="143"/>
      <c r="AE68" s="143"/>
    </row>
    <row r="69" spans="2:46" s="16" customFormat="1" ht="37.5" customHeight="1" x14ac:dyDescent="0.3">
      <c r="B69" s="131" t="s">
        <v>117</v>
      </c>
      <c r="C69" s="198" t="s">
        <v>210</v>
      </c>
      <c r="D69" s="198"/>
      <c r="E69" s="198"/>
      <c r="F69" s="199" t="s">
        <v>119</v>
      </c>
      <c r="G69" s="199"/>
      <c r="H69" s="199"/>
      <c r="I69" s="200" t="s">
        <v>211</v>
      </c>
      <c r="J69" s="201"/>
      <c r="K69" s="201"/>
      <c r="L69" s="202" t="s">
        <v>212</v>
      </c>
      <c r="M69" s="203"/>
      <c r="N69" s="203"/>
      <c r="O69" s="234" t="s">
        <v>322</v>
      </c>
      <c r="P69" s="235"/>
      <c r="Q69" s="235"/>
      <c r="R69" s="214" t="s">
        <v>118</v>
      </c>
      <c r="S69" s="215"/>
      <c r="T69" s="216"/>
      <c r="U69" s="27"/>
      <c r="V69" s="197"/>
      <c r="W69" s="197"/>
      <c r="X69" s="197"/>
      <c r="Y69" s="197"/>
      <c r="Z69" s="197"/>
      <c r="AA69" s="27"/>
      <c r="AB69" s="197"/>
      <c r="AC69" s="197"/>
      <c r="AD69" s="197"/>
      <c r="AE69" s="197"/>
      <c r="AF69" s="137"/>
      <c r="AG69" s="137"/>
      <c r="AH69" s="137"/>
      <c r="AI69" s="137"/>
      <c r="AJ69" s="137"/>
      <c r="AK69" s="137"/>
      <c r="AL69" s="137"/>
      <c r="AM69" s="137"/>
      <c r="AN69" s="137"/>
      <c r="AO69" s="137"/>
      <c r="AP69" s="137"/>
      <c r="AQ69" s="137"/>
      <c r="AR69" s="137"/>
      <c r="AS69" s="137"/>
      <c r="AT69" s="137"/>
    </row>
    <row r="70" spans="2:46" s="16" customFormat="1" ht="42.75" customHeight="1" x14ac:dyDescent="0.3">
      <c r="B70" s="32" t="s">
        <v>20</v>
      </c>
      <c r="C70" s="138" t="s">
        <v>100</v>
      </c>
      <c r="D70" s="138" t="s">
        <v>201</v>
      </c>
      <c r="E70" s="138" t="s">
        <v>95</v>
      </c>
      <c r="F70" s="138" t="s">
        <v>100</v>
      </c>
      <c r="G70" s="138" t="s">
        <v>201</v>
      </c>
      <c r="H70" s="138" t="s">
        <v>95</v>
      </c>
      <c r="I70" s="138" t="s">
        <v>100</v>
      </c>
      <c r="J70" s="138" t="s">
        <v>201</v>
      </c>
      <c r="K70" s="138" t="s">
        <v>95</v>
      </c>
      <c r="L70" s="138" t="s">
        <v>100</v>
      </c>
      <c r="M70" s="138" t="s">
        <v>201</v>
      </c>
      <c r="N70" s="144" t="s">
        <v>95</v>
      </c>
      <c r="O70" s="138" t="s">
        <v>100</v>
      </c>
      <c r="P70" s="138" t="s">
        <v>201</v>
      </c>
      <c r="Q70" s="144" t="s">
        <v>95</v>
      </c>
      <c r="R70" s="145" t="s">
        <v>100</v>
      </c>
      <c r="S70" s="138" t="s">
        <v>201</v>
      </c>
      <c r="T70" s="146" t="s">
        <v>95</v>
      </c>
      <c r="U70" s="141"/>
      <c r="V70" s="141"/>
      <c r="W70" s="141"/>
      <c r="X70" s="27"/>
      <c r="Y70" s="27"/>
      <c r="Z70" s="27"/>
      <c r="AA70" s="141"/>
      <c r="AB70" s="141"/>
      <c r="AC70" s="141"/>
      <c r="AD70" s="27"/>
      <c r="AE70" s="27"/>
      <c r="AF70" s="137"/>
      <c r="AG70" s="137"/>
      <c r="AH70" s="137"/>
      <c r="AI70" s="137"/>
      <c r="AJ70" s="137"/>
      <c r="AK70" s="137"/>
      <c r="AL70" s="137"/>
      <c r="AM70" s="137"/>
      <c r="AN70" s="137"/>
      <c r="AO70" s="137"/>
      <c r="AP70" s="137"/>
      <c r="AQ70" s="137"/>
      <c r="AR70" s="137"/>
      <c r="AS70" s="137"/>
      <c r="AT70" s="137"/>
    </row>
    <row r="71" spans="2:46" s="16" customFormat="1" x14ac:dyDescent="0.3">
      <c r="B71" s="127" t="s">
        <v>4</v>
      </c>
      <c r="C71" s="217">
        <v>8.2358785071717318</v>
      </c>
      <c r="D71" s="217">
        <v>59.221603744795814</v>
      </c>
      <c r="E71" s="217">
        <f>C71+D71</f>
        <v>67.457482251967548</v>
      </c>
      <c r="F71" s="217">
        <v>0</v>
      </c>
      <c r="G71" s="217">
        <v>0</v>
      </c>
      <c r="H71" s="217">
        <f>F71+G71</f>
        <v>0</v>
      </c>
      <c r="I71" s="217">
        <v>2.9680882389665646</v>
      </c>
      <c r="J71" s="217">
        <v>24.471738938623808</v>
      </c>
      <c r="K71" s="217">
        <f>I71+J71</f>
        <v>27.439827177590374</v>
      </c>
      <c r="L71" s="217">
        <v>11.352159082299918</v>
      </c>
      <c r="M71" s="217">
        <v>13.442840917700082</v>
      </c>
      <c r="N71" s="219">
        <f t="shared" ref="N71:N87" si="50">L71+M71</f>
        <v>24.795000000000002</v>
      </c>
      <c r="O71" s="217">
        <v>0</v>
      </c>
      <c r="P71" s="217">
        <v>1.2774863545141022</v>
      </c>
      <c r="Q71" s="219">
        <f>O71+P71</f>
        <v>1.2774863545141022</v>
      </c>
      <c r="R71" s="218">
        <f>C71+F71+I71+L71+O71</f>
        <v>22.556125828438212</v>
      </c>
      <c r="S71" s="217">
        <f>D71+G71+J71+M71+P71</f>
        <v>98.413669955633793</v>
      </c>
      <c r="T71" s="220">
        <f>E71+H71+K71+N71+Q71</f>
        <v>120.96979578407202</v>
      </c>
      <c r="U71" s="182"/>
      <c r="V71" s="182"/>
      <c r="W71" s="182"/>
      <c r="X71" s="27"/>
      <c r="Y71" s="27"/>
      <c r="Z71" s="27"/>
      <c r="AA71" s="182"/>
      <c r="AB71" s="182"/>
      <c r="AC71" s="182"/>
      <c r="AD71" s="27"/>
      <c r="AE71" s="27"/>
      <c r="AF71" s="137"/>
      <c r="AG71" s="137"/>
      <c r="AH71" s="137"/>
      <c r="AI71" s="137"/>
      <c r="AJ71" s="137"/>
      <c r="AK71" s="137"/>
      <c r="AL71" s="137"/>
      <c r="AM71" s="137"/>
      <c r="AN71" s="137"/>
      <c r="AO71" s="137"/>
      <c r="AP71" s="137"/>
      <c r="AQ71" s="137"/>
      <c r="AR71" s="137"/>
      <c r="AS71" s="137"/>
      <c r="AT71" s="137"/>
    </row>
    <row r="72" spans="2:46" s="16" customFormat="1" x14ac:dyDescent="0.3">
      <c r="B72" s="127" t="s">
        <v>75</v>
      </c>
      <c r="C72" s="217">
        <v>7.0723477052618016</v>
      </c>
      <c r="D72" s="217">
        <v>8.517241576412097</v>
      </c>
      <c r="E72" s="217">
        <f t="shared" ref="E72:E87" si="51">C72+D72</f>
        <v>15.589589281673899</v>
      </c>
      <c r="F72" s="217">
        <v>0</v>
      </c>
      <c r="G72" s="217">
        <v>0</v>
      </c>
      <c r="H72" s="217">
        <f t="shared" ref="H72:H87" si="52">F72+G72</f>
        <v>0</v>
      </c>
      <c r="I72" s="217">
        <v>2.4545531727342682E-3</v>
      </c>
      <c r="J72" s="217">
        <v>1.0039122476483158</v>
      </c>
      <c r="K72" s="217">
        <f t="shared" ref="K72:K87" si="53">I72+J72</f>
        <v>1.00636680082105</v>
      </c>
      <c r="L72" s="217">
        <v>0</v>
      </c>
      <c r="M72" s="217">
        <v>0</v>
      </c>
      <c r="N72" s="219">
        <f t="shared" si="50"/>
        <v>0</v>
      </c>
      <c r="O72" s="217">
        <v>0</v>
      </c>
      <c r="P72" s="217">
        <v>0.44647090966237846</v>
      </c>
      <c r="Q72" s="219">
        <f t="shared" ref="Q72:Q87" si="54">O72+P72</f>
        <v>0.44647090966237846</v>
      </c>
      <c r="R72" s="218">
        <f t="shared" ref="R72:R87" si="55">C72+F72+I72+L72+O72</f>
        <v>7.074802258434536</v>
      </c>
      <c r="S72" s="217">
        <f t="shared" ref="S72:S87" si="56">D72+G72+J72+M72+P72</f>
        <v>9.9676247337227917</v>
      </c>
      <c r="T72" s="220">
        <f t="shared" ref="T72:T87" si="57">E72+H72+K72+N72+Q72</f>
        <v>17.042426992157324</v>
      </c>
      <c r="U72" s="182"/>
      <c r="V72" s="182"/>
      <c r="W72" s="182"/>
      <c r="X72" s="27"/>
      <c r="Y72" s="27"/>
      <c r="Z72" s="27"/>
      <c r="AA72" s="182"/>
      <c r="AB72" s="182"/>
      <c r="AC72" s="182"/>
      <c r="AD72" s="27"/>
      <c r="AE72" s="27"/>
      <c r="AF72" s="137"/>
      <c r="AG72" s="137"/>
      <c r="AH72" s="137"/>
      <c r="AI72" s="137"/>
      <c r="AJ72" s="137"/>
      <c r="AK72" s="137"/>
      <c r="AL72" s="137"/>
      <c r="AM72" s="137"/>
      <c r="AN72" s="137"/>
      <c r="AO72" s="137"/>
      <c r="AP72" s="137"/>
      <c r="AQ72" s="137"/>
      <c r="AR72" s="137"/>
      <c r="AS72" s="137"/>
      <c r="AT72" s="137"/>
    </row>
    <row r="73" spans="2:46" s="16" customFormat="1" x14ac:dyDescent="0.3">
      <c r="B73" s="127" t="s">
        <v>5</v>
      </c>
      <c r="C73" s="217">
        <v>24.131250597026998</v>
      </c>
      <c r="D73" s="217">
        <v>15.456268034206319</v>
      </c>
      <c r="E73" s="217">
        <f t="shared" si="51"/>
        <v>39.587518631233316</v>
      </c>
      <c r="F73" s="217">
        <v>0</v>
      </c>
      <c r="G73" s="217">
        <v>0</v>
      </c>
      <c r="H73" s="217">
        <f t="shared" si="52"/>
        <v>0</v>
      </c>
      <c r="I73" s="217">
        <v>1.6265048225350989</v>
      </c>
      <c r="J73" s="217">
        <v>24.202780063742352</v>
      </c>
      <c r="K73" s="217">
        <f t="shared" si="53"/>
        <v>25.829284886277453</v>
      </c>
      <c r="L73" s="217">
        <v>0</v>
      </c>
      <c r="M73" s="217">
        <v>0</v>
      </c>
      <c r="N73" s="219">
        <f t="shared" si="50"/>
        <v>0</v>
      </c>
      <c r="O73" s="217">
        <v>0</v>
      </c>
      <c r="P73" s="217">
        <v>4.1047953406118953</v>
      </c>
      <c r="Q73" s="219">
        <f t="shared" si="54"/>
        <v>4.1047953406118953</v>
      </c>
      <c r="R73" s="218">
        <f t="shared" si="55"/>
        <v>25.757755419562098</v>
      </c>
      <c r="S73" s="217">
        <f t="shared" si="56"/>
        <v>43.763843438560563</v>
      </c>
      <c r="T73" s="220">
        <f t="shared" si="57"/>
        <v>69.521598858122672</v>
      </c>
      <c r="U73" s="182"/>
      <c r="V73" s="182"/>
      <c r="W73" s="182"/>
      <c r="X73" s="27"/>
      <c r="Y73" s="27"/>
      <c r="Z73" s="27"/>
      <c r="AA73" s="182"/>
      <c r="AB73" s="182"/>
      <c r="AC73" s="182"/>
      <c r="AD73" s="27"/>
      <c r="AE73" s="27"/>
      <c r="AF73" s="137"/>
      <c r="AG73" s="137"/>
      <c r="AH73" s="137"/>
      <c r="AI73" s="137"/>
      <c r="AJ73" s="137"/>
      <c r="AK73" s="137"/>
      <c r="AL73" s="137"/>
      <c r="AM73" s="137"/>
      <c r="AN73" s="137"/>
      <c r="AO73" s="137"/>
      <c r="AP73" s="137"/>
      <c r="AQ73" s="137"/>
      <c r="AR73" s="137"/>
      <c r="AS73" s="137"/>
      <c r="AT73" s="137"/>
    </row>
    <row r="74" spans="2:46" s="16" customFormat="1" x14ac:dyDescent="0.3">
      <c r="B74" s="127" t="s">
        <v>6</v>
      </c>
      <c r="C74" s="217">
        <v>2.9504630216648089E-2</v>
      </c>
      <c r="D74" s="217">
        <v>6.26828901964672</v>
      </c>
      <c r="E74" s="217">
        <f t="shared" si="51"/>
        <v>6.297793649863368</v>
      </c>
      <c r="F74" s="217">
        <v>0</v>
      </c>
      <c r="G74" s="217">
        <v>0</v>
      </c>
      <c r="H74" s="217">
        <f t="shared" si="52"/>
        <v>0</v>
      </c>
      <c r="I74" s="217">
        <v>0</v>
      </c>
      <c r="J74" s="217">
        <v>0</v>
      </c>
      <c r="K74" s="217">
        <f t="shared" si="53"/>
        <v>0</v>
      </c>
      <c r="L74" s="217">
        <v>44.098333333333329</v>
      </c>
      <c r="M74" s="217">
        <v>0</v>
      </c>
      <c r="N74" s="219">
        <f t="shared" si="50"/>
        <v>44.098333333333329</v>
      </c>
      <c r="O74" s="217">
        <v>0</v>
      </c>
      <c r="P74" s="217">
        <v>59.281600535944946</v>
      </c>
      <c r="Q74" s="219">
        <f t="shared" si="54"/>
        <v>59.281600535944946</v>
      </c>
      <c r="R74" s="218">
        <f t="shared" si="55"/>
        <v>44.127837963549979</v>
      </c>
      <c r="S74" s="217">
        <f t="shared" si="56"/>
        <v>65.549889555591662</v>
      </c>
      <c r="T74" s="220">
        <f t="shared" si="57"/>
        <v>109.67772751914164</v>
      </c>
      <c r="U74" s="182"/>
      <c r="V74" s="182"/>
      <c r="W74" s="182"/>
      <c r="X74" s="27"/>
      <c r="Y74" s="27"/>
      <c r="Z74" s="27"/>
      <c r="AA74" s="182"/>
      <c r="AB74" s="182"/>
      <c r="AC74" s="182"/>
      <c r="AD74" s="27"/>
      <c r="AE74" s="27"/>
      <c r="AF74" s="137"/>
      <c r="AG74" s="137"/>
      <c r="AH74" s="137"/>
      <c r="AI74" s="137"/>
      <c r="AJ74" s="137"/>
      <c r="AK74" s="137"/>
      <c r="AL74" s="137"/>
      <c r="AM74" s="137"/>
      <c r="AN74" s="137"/>
      <c r="AO74" s="137"/>
      <c r="AP74" s="137"/>
      <c r="AQ74" s="137"/>
      <c r="AR74" s="137"/>
      <c r="AS74" s="137"/>
      <c r="AT74" s="137"/>
    </row>
    <row r="75" spans="2:46" s="16" customFormat="1" x14ac:dyDescent="0.3">
      <c r="B75" s="127" t="s">
        <v>7</v>
      </c>
      <c r="C75" s="217">
        <v>6.9253817025076874</v>
      </c>
      <c r="D75" s="217">
        <v>25.268442475071279</v>
      </c>
      <c r="E75" s="217">
        <f t="shared" si="51"/>
        <v>32.193824177578968</v>
      </c>
      <c r="F75" s="217">
        <v>0</v>
      </c>
      <c r="G75" s="217">
        <v>0</v>
      </c>
      <c r="H75" s="217">
        <f t="shared" si="52"/>
        <v>0</v>
      </c>
      <c r="I75" s="217">
        <v>0.51925547650514492</v>
      </c>
      <c r="J75" s="217">
        <v>13.687403362185949</v>
      </c>
      <c r="K75" s="217">
        <f t="shared" si="53"/>
        <v>14.206658838691094</v>
      </c>
      <c r="L75" s="217">
        <v>39.13721597586315</v>
      </c>
      <c r="M75" s="217">
        <v>45.786021666654776</v>
      </c>
      <c r="N75" s="219">
        <f t="shared" si="50"/>
        <v>84.923237642517932</v>
      </c>
      <c r="O75" s="217">
        <v>0</v>
      </c>
      <c r="P75" s="217">
        <v>0</v>
      </c>
      <c r="Q75" s="219">
        <f t="shared" si="54"/>
        <v>0</v>
      </c>
      <c r="R75" s="218">
        <f t="shared" si="55"/>
        <v>46.581853154875979</v>
      </c>
      <c r="S75" s="217">
        <f t="shared" si="56"/>
        <v>84.741867503912005</v>
      </c>
      <c r="T75" s="220">
        <f t="shared" si="57"/>
        <v>131.32372065878798</v>
      </c>
      <c r="U75" s="182"/>
      <c r="V75" s="182"/>
      <c r="W75" s="182"/>
      <c r="X75" s="27"/>
      <c r="Y75" s="27"/>
      <c r="Z75" s="27"/>
      <c r="AA75" s="182"/>
      <c r="AB75" s="182"/>
      <c r="AC75" s="182"/>
      <c r="AD75" s="27"/>
      <c r="AE75" s="27"/>
      <c r="AF75" s="137"/>
      <c r="AG75" s="137"/>
      <c r="AH75" s="137"/>
      <c r="AI75" s="137"/>
      <c r="AJ75" s="137"/>
      <c r="AK75" s="137"/>
      <c r="AL75" s="137"/>
      <c r="AM75" s="137"/>
      <c r="AN75" s="137"/>
      <c r="AO75" s="137"/>
      <c r="AP75" s="137"/>
      <c r="AQ75" s="137"/>
      <c r="AR75" s="137"/>
      <c r="AS75" s="137"/>
      <c r="AT75" s="137"/>
    </row>
    <row r="76" spans="2:46" s="16" customFormat="1" x14ac:dyDescent="0.3">
      <c r="B76" s="127" t="s">
        <v>74</v>
      </c>
      <c r="C76" s="217">
        <v>11.058381704949646</v>
      </c>
      <c r="D76" s="217">
        <v>27.337699510837123</v>
      </c>
      <c r="E76" s="217">
        <f t="shared" si="51"/>
        <v>38.396081215786765</v>
      </c>
      <c r="F76" s="217">
        <v>0</v>
      </c>
      <c r="G76" s="217">
        <v>0</v>
      </c>
      <c r="H76" s="217">
        <f t="shared" si="52"/>
        <v>0</v>
      </c>
      <c r="I76" s="217">
        <v>3.5041516612770272</v>
      </c>
      <c r="J76" s="217">
        <v>26.890555139799808</v>
      </c>
      <c r="K76" s="217">
        <f t="shared" si="53"/>
        <v>30.394706801076836</v>
      </c>
      <c r="L76" s="217">
        <v>42.498333333333328</v>
      </c>
      <c r="M76" s="217">
        <v>0</v>
      </c>
      <c r="N76" s="219">
        <f t="shared" si="50"/>
        <v>42.498333333333328</v>
      </c>
      <c r="O76" s="217">
        <v>0</v>
      </c>
      <c r="P76" s="217">
        <v>79.097643453746969</v>
      </c>
      <c r="Q76" s="219">
        <f t="shared" si="54"/>
        <v>79.097643453746969</v>
      </c>
      <c r="R76" s="218">
        <f t="shared" si="55"/>
        <v>57.060866699560002</v>
      </c>
      <c r="S76" s="217">
        <f t="shared" si="56"/>
        <v>133.3258981043839</v>
      </c>
      <c r="T76" s="220">
        <f t="shared" si="57"/>
        <v>190.38676480394389</v>
      </c>
      <c r="U76" s="182"/>
      <c r="V76" s="182"/>
      <c r="W76" s="182"/>
      <c r="X76" s="27"/>
      <c r="Y76" s="27"/>
      <c r="Z76" s="27"/>
      <c r="AA76" s="182"/>
      <c r="AB76" s="182"/>
      <c r="AC76" s="182"/>
      <c r="AD76" s="27"/>
      <c r="AE76" s="27"/>
      <c r="AF76" s="137"/>
      <c r="AG76" s="137"/>
      <c r="AH76" s="137"/>
      <c r="AI76" s="137"/>
      <c r="AJ76" s="137"/>
      <c r="AK76" s="137"/>
      <c r="AL76" s="137"/>
      <c r="AM76" s="137"/>
      <c r="AN76" s="137"/>
      <c r="AO76" s="137"/>
      <c r="AP76" s="137"/>
      <c r="AQ76" s="137"/>
      <c r="AR76" s="137"/>
      <c r="AS76" s="137"/>
      <c r="AT76" s="137"/>
    </row>
    <row r="77" spans="2:46" s="16" customFormat="1" x14ac:dyDescent="0.3">
      <c r="B77" s="127" t="s">
        <v>19</v>
      </c>
      <c r="C77" s="217">
        <v>0</v>
      </c>
      <c r="D77" s="217">
        <v>4.6636550478014653</v>
      </c>
      <c r="E77" s="217">
        <f t="shared" si="51"/>
        <v>4.6636550478014653</v>
      </c>
      <c r="F77" s="217">
        <v>0</v>
      </c>
      <c r="G77" s="217">
        <v>0</v>
      </c>
      <c r="H77" s="217">
        <f t="shared" si="52"/>
        <v>0</v>
      </c>
      <c r="I77" s="217">
        <v>0.40746582219798377</v>
      </c>
      <c r="J77" s="217">
        <v>8.8907036980364094</v>
      </c>
      <c r="K77" s="217">
        <f t="shared" si="53"/>
        <v>9.2981695202343939</v>
      </c>
      <c r="L77" s="217">
        <v>0.98249999999999993</v>
      </c>
      <c r="M77" s="217">
        <v>2.9474999999999993</v>
      </c>
      <c r="N77" s="219">
        <f t="shared" si="50"/>
        <v>3.9299999999999993</v>
      </c>
      <c r="O77" s="217">
        <v>0</v>
      </c>
      <c r="P77" s="217">
        <v>0.45273478021454727</v>
      </c>
      <c r="Q77" s="219">
        <f t="shared" si="54"/>
        <v>0.45273478021454727</v>
      </c>
      <c r="R77" s="218">
        <f t="shared" si="55"/>
        <v>1.3899658221979836</v>
      </c>
      <c r="S77" s="217">
        <f t="shared" si="56"/>
        <v>16.95459352605242</v>
      </c>
      <c r="T77" s="220">
        <f t="shared" si="57"/>
        <v>18.344559348250407</v>
      </c>
      <c r="U77" s="182"/>
      <c r="V77" s="182"/>
      <c r="W77" s="182"/>
      <c r="X77" s="27"/>
      <c r="Y77" s="27"/>
      <c r="Z77" s="27"/>
      <c r="AA77" s="182"/>
      <c r="AB77" s="182"/>
      <c r="AC77" s="182"/>
      <c r="AD77" s="27"/>
      <c r="AE77" s="27"/>
      <c r="AF77" s="137"/>
      <c r="AG77" s="137"/>
      <c r="AH77" s="137"/>
      <c r="AI77" s="137"/>
      <c r="AJ77" s="137"/>
      <c r="AK77" s="137"/>
      <c r="AL77" s="137"/>
      <c r="AM77" s="137"/>
      <c r="AN77" s="137"/>
      <c r="AO77" s="137"/>
      <c r="AP77" s="137"/>
      <c r="AQ77" s="137"/>
      <c r="AR77" s="137"/>
      <c r="AS77" s="137"/>
      <c r="AT77" s="137"/>
    </row>
    <row r="78" spans="2:46" s="16" customFormat="1" x14ac:dyDescent="0.3">
      <c r="B78" s="127" t="s">
        <v>9</v>
      </c>
      <c r="C78" s="217">
        <v>14.770609899930633</v>
      </c>
      <c r="D78" s="217">
        <v>18.690638724976477</v>
      </c>
      <c r="E78" s="217">
        <f t="shared" si="51"/>
        <v>33.461248624907114</v>
      </c>
      <c r="F78" s="217">
        <v>0</v>
      </c>
      <c r="G78" s="217">
        <v>0</v>
      </c>
      <c r="H78" s="217">
        <f t="shared" si="52"/>
        <v>0</v>
      </c>
      <c r="I78" s="217">
        <v>3.4226068350750696</v>
      </c>
      <c r="J78" s="217">
        <v>29.958418033201138</v>
      </c>
      <c r="K78" s="217">
        <f t="shared" si="53"/>
        <v>33.381024868276207</v>
      </c>
      <c r="L78" s="217">
        <v>116.32162499686299</v>
      </c>
      <c r="M78" s="217">
        <v>62.920708336470327</v>
      </c>
      <c r="N78" s="219">
        <f t="shared" si="50"/>
        <v>179.24233333333331</v>
      </c>
      <c r="O78" s="217">
        <v>0</v>
      </c>
      <c r="P78" s="217">
        <v>49.864136347600279</v>
      </c>
      <c r="Q78" s="219">
        <f t="shared" si="54"/>
        <v>49.864136347600279</v>
      </c>
      <c r="R78" s="218">
        <f t="shared" si="55"/>
        <v>134.5148417318687</v>
      </c>
      <c r="S78" s="217">
        <f t="shared" si="56"/>
        <v>161.43390144224821</v>
      </c>
      <c r="T78" s="220">
        <f t="shared" si="57"/>
        <v>295.94874317411688</v>
      </c>
      <c r="U78" s="182"/>
      <c r="V78" s="182"/>
      <c r="W78" s="182"/>
      <c r="X78" s="27"/>
      <c r="Y78" s="27"/>
      <c r="Z78" s="27"/>
      <c r="AA78" s="182"/>
      <c r="AB78" s="182"/>
      <c r="AC78" s="182"/>
      <c r="AD78" s="27"/>
      <c r="AE78" s="27"/>
      <c r="AF78" s="137"/>
      <c r="AG78" s="137"/>
      <c r="AH78" s="137"/>
      <c r="AI78" s="137"/>
      <c r="AJ78" s="137"/>
      <c r="AK78" s="137"/>
      <c r="AL78" s="137"/>
      <c r="AM78" s="137"/>
      <c r="AN78" s="137"/>
      <c r="AO78" s="137"/>
      <c r="AP78" s="137"/>
      <c r="AQ78" s="137"/>
      <c r="AR78" s="137"/>
      <c r="AS78" s="137"/>
      <c r="AT78" s="137"/>
    </row>
    <row r="79" spans="2:46" s="16" customFormat="1" x14ac:dyDescent="0.3">
      <c r="B79" s="127" t="s">
        <v>23</v>
      </c>
      <c r="C79" s="217">
        <v>44.45563454751877</v>
      </c>
      <c r="D79" s="217">
        <v>9.2981014001052174</v>
      </c>
      <c r="E79" s="217">
        <f t="shared" si="51"/>
        <v>53.753735947623987</v>
      </c>
      <c r="F79" s="217">
        <v>0</v>
      </c>
      <c r="G79" s="217">
        <v>0</v>
      </c>
      <c r="H79" s="217">
        <f t="shared" si="52"/>
        <v>0</v>
      </c>
      <c r="I79" s="217">
        <v>0</v>
      </c>
      <c r="J79" s="217">
        <v>0</v>
      </c>
      <c r="K79" s="217">
        <f t="shared" si="53"/>
        <v>0</v>
      </c>
      <c r="L79" s="217">
        <v>0</v>
      </c>
      <c r="M79" s="217">
        <v>0</v>
      </c>
      <c r="N79" s="219">
        <f t="shared" si="50"/>
        <v>0</v>
      </c>
      <c r="O79" s="217">
        <v>0</v>
      </c>
      <c r="P79" s="217">
        <v>6.1240898226871021</v>
      </c>
      <c r="Q79" s="219">
        <f t="shared" si="54"/>
        <v>6.1240898226871021</v>
      </c>
      <c r="R79" s="218">
        <f t="shared" si="55"/>
        <v>44.45563454751877</v>
      </c>
      <c r="S79" s="217">
        <f t="shared" si="56"/>
        <v>15.422191222792319</v>
      </c>
      <c r="T79" s="220">
        <f t="shared" si="57"/>
        <v>59.877825770311091</v>
      </c>
      <c r="U79" s="182"/>
      <c r="V79" s="182"/>
      <c r="W79" s="182"/>
      <c r="X79" s="27"/>
      <c r="Y79" s="27"/>
      <c r="Z79" s="27"/>
      <c r="AA79" s="182"/>
      <c r="AB79" s="182"/>
      <c r="AC79" s="182"/>
      <c r="AD79" s="27"/>
      <c r="AE79" s="27"/>
      <c r="AF79" s="137"/>
      <c r="AG79" s="137"/>
      <c r="AH79" s="137"/>
      <c r="AI79" s="137"/>
      <c r="AJ79" s="137"/>
      <c r="AK79" s="137"/>
      <c r="AL79" s="137"/>
      <c r="AM79" s="137"/>
      <c r="AN79" s="137"/>
      <c r="AO79" s="137"/>
      <c r="AP79" s="137"/>
      <c r="AQ79" s="137"/>
      <c r="AR79" s="137"/>
      <c r="AS79" s="137"/>
      <c r="AT79" s="137"/>
    </row>
    <row r="80" spans="2:46" s="16" customFormat="1" x14ac:dyDescent="0.3">
      <c r="B80" s="127" t="s">
        <v>10</v>
      </c>
      <c r="C80" s="217">
        <v>2.6928098414758064</v>
      </c>
      <c r="D80" s="217">
        <v>2.4829825231013962</v>
      </c>
      <c r="E80" s="217">
        <f t="shared" si="51"/>
        <v>5.1757923645772026</v>
      </c>
      <c r="F80" s="217">
        <v>0</v>
      </c>
      <c r="G80" s="217">
        <v>0</v>
      </c>
      <c r="H80" s="217">
        <f t="shared" si="52"/>
        <v>0</v>
      </c>
      <c r="I80" s="217">
        <v>0.67092511728592585</v>
      </c>
      <c r="J80" s="217">
        <v>5.0051869054637406</v>
      </c>
      <c r="K80" s="217">
        <f t="shared" si="53"/>
        <v>5.6761120227496669</v>
      </c>
      <c r="L80" s="217">
        <v>1.0575000000000001</v>
      </c>
      <c r="M80" s="217">
        <v>3.1725000000000003</v>
      </c>
      <c r="N80" s="219">
        <f t="shared" si="50"/>
        <v>4.2300000000000004</v>
      </c>
      <c r="O80" s="217">
        <v>0</v>
      </c>
      <c r="P80" s="217">
        <v>1.0486213207774253</v>
      </c>
      <c r="Q80" s="219">
        <f t="shared" si="54"/>
        <v>1.0486213207774253</v>
      </c>
      <c r="R80" s="218">
        <f t="shared" si="55"/>
        <v>4.4212349587617323</v>
      </c>
      <c r="S80" s="217">
        <f t="shared" si="56"/>
        <v>11.709290749342561</v>
      </c>
      <c r="T80" s="220">
        <f t="shared" si="57"/>
        <v>16.130525708104294</v>
      </c>
      <c r="U80" s="182"/>
      <c r="V80" s="182"/>
      <c r="W80" s="182"/>
      <c r="X80" s="27"/>
      <c r="Y80" s="27"/>
      <c r="Z80" s="27"/>
      <c r="AA80" s="182"/>
      <c r="AB80" s="182"/>
      <c r="AC80" s="182"/>
      <c r="AD80" s="27"/>
      <c r="AE80" s="27"/>
      <c r="AF80" s="137"/>
      <c r="AG80" s="137"/>
      <c r="AH80" s="137"/>
      <c r="AI80" s="137"/>
      <c r="AJ80" s="137"/>
      <c r="AK80" s="137"/>
      <c r="AL80" s="137"/>
      <c r="AM80" s="137"/>
      <c r="AN80" s="137"/>
      <c r="AO80" s="137"/>
      <c r="AP80" s="137"/>
      <c r="AQ80" s="137"/>
      <c r="AR80" s="137"/>
      <c r="AS80" s="137"/>
      <c r="AT80" s="137"/>
    </row>
    <row r="81" spans="2:46" s="16" customFormat="1" x14ac:dyDescent="0.3">
      <c r="B81" s="127" t="s">
        <v>11</v>
      </c>
      <c r="C81" s="217">
        <v>0</v>
      </c>
      <c r="D81" s="217">
        <v>12.365014427365054</v>
      </c>
      <c r="E81" s="217">
        <f t="shared" si="51"/>
        <v>12.365014427365054</v>
      </c>
      <c r="F81" s="217">
        <v>0</v>
      </c>
      <c r="G81" s="217">
        <v>0</v>
      </c>
      <c r="H81" s="217">
        <f t="shared" si="52"/>
        <v>0</v>
      </c>
      <c r="I81" s="217">
        <v>0.76006113083860738</v>
      </c>
      <c r="J81" s="217">
        <v>11.956611203252656</v>
      </c>
      <c r="K81" s="217">
        <f t="shared" si="53"/>
        <v>12.716672334091264</v>
      </c>
      <c r="L81" s="217">
        <v>0</v>
      </c>
      <c r="M81" s="217">
        <v>0</v>
      </c>
      <c r="N81" s="219">
        <f t="shared" si="50"/>
        <v>0</v>
      </c>
      <c r="O81" s="217">
        <v>0</v>
      </c>
      <c r="P81" s="217">
        <v>7.3343034394756668</v>
      </c>
      <c r="Q81" s="219">
        <f t="shared" si="54"/>
        <v>7.3343034394756668</v>
      </c>
      <c r="R81" s="218">
        <f t="shared" si="55"/>
        <v>0.76006113083860738</v>
      </c>
      <c r="S81" s="217">
        <f t="shared" si="56"/>
        <v>31.655929070093379</v>
      </c>
      <c r="T81" s="220">
        <f t="shared" si="57"/>
        <v>32.415990200931986</v>
      </c>
      <c r="U81" s="182"/>
      <c r="V81" s="182"/>
      <c r="W81" s="182"/>
      <c r="X81" s="27"/>
      <c r="Y81" s="27"/>
      <c r="Z81" s="27"/>
      <c r="AA81" s="182"/>
      <c r="AB81" s="182"/>
      <c r="AC81" s="182"/>
      <c r="AD81" s="27"/>
      <c r="AE81" s="27"/>
      <c r="AF81" s="137"/>
      <c r="AG81" s="137"/>
      <c r="AH81" s="137"/>
      <c r="AI81" s="137"/>
      <c r="AJ81" s="137"/>
      <c r="AK81" s="137"/>
      <c r="AL81" s="137"/>
      <c r="AM81" s="137"/>
      <c r="AN81" s="137"/>
      <c r="AO81" s="137"/>
      <c r="AP81" s="137"/>
      <c r="AQ81" s="137"/>
      <c r="AR81" s="137"/>
      <c r="AS81" s="137"/>
      <c r="AT81" s="137"/>
    </row>
    <row r="82" spans="2:46" s="16" customFormat="1" x14ac:dyDescent="0.3">
      <c r="B82" s="127" t="s">
        <v>12</v>
      </c>
      <c r="C82" s="217">
        <v>0</v>
      </c>
      <c r="D82" s="217">
        <v>10.331325413652682</v>
      </c>
      <c r="E82" s="217">
        <f t="shared" si="51"/>
        <v>10.331325413652682</v>
      </c>
      <c r="F82" s="217">
        <v>0.22272501119717289</v>
      </c>
      <c r="G82" s="217">
        <v>1.8988315606420485</v>
      </c>
      <c r="H82" s="217">
        <f t="shared" si="52"/>
        <v>2.1215565718392213</v>
      </c>
      <c r="I82" s="217">
        <v>0</v>
      </c>
      <c r="J82" s="217">
        <v>0</v>
      </c>
      <c r="K82" s="217">
        <f t="shared" si="53"/>
        <v>0</v>
      </c>
      <c r="L82" s="217">
        <v>62.039903284672789</v>
      </c>
      <c r="M82" s="217">
        <v>21.262096715327193</v>
      </c>
      <c r="N82" s="219">
        <f t="shared" si="50"/>
        <v>83.301999999999978</v>
      </c>
      <c r="O82" s="217">
        <v>0</v>
      </c>
      <c r="P82" s="217">
        <v>0</v>
      </c>
      <c r="Q82" s="219">
        <f t="shared" si="54"/>
        <v>0</v>
      </c>
      <c r="R82" s="218">
        <f t="shared" si="55"/>
        <v>62.262628295869959</v>
      </c>
      <c r="S82" s="217">
        <f t="shared" si="56"/>
        <v>33.492253689621919</v>
      </c>
      <c r="T82" s="220">
        <f t="shared" si="57"/>
        <v>95.754881985491878</v>
      </c>
      <c r="U82" s="182"/>
      <c r="V82" s="182"/>
      <c r="W82" s="182"/>
      <c r="X82" s="27"/>
      <c r="Y82" s="27"/>
      <c r="Z82" s="27"/>
      <c r="AA82" s="182"/>
      <c r="AB82" s="182"/>
      <c r="AC82" s="182"/>
      <c r="AD82" s="27"/>
      <c r="AE82" s="27"/>
      <c r="AF82" s="137"/>
      <c r="AG82" s="137"/>
      <c r="AH82" s="137"/>
      <c r="AI82" s="137"/>
      <c r="AJ82" s="137"/>
      <c r="AK82" s="137"/>
      <c r="AL82" s="137"/>
      <c r="AM82" s="137"/>
      <c r="AN82" s="137"/>
      <c r="AO82" s="137"/>
      <c r="AP82" s="137"/>
      <c r="AQ82" s="137"/>
      <c r="AR82" s="137"/>
      <c r="AS82" s="137"/>
      <c r="AT82" s="137"/>
    </row>
    <row r="83" spans="2:46" s="16" customFormat="1" x14ac:dyDescent="0.3">
      <c r="B83" s="127" t="s">
        <v>13</v>
      </c>
      <c r="C83" s="217">
        <v>1.2715518773337608</v>
      </c>
      <c r="D83" s="217">
        <v>5.5418631590993623</v>
      </c>
      <c r="E83" s="217">
        <f t="shared" si="51"/>
        <v>6.8134150364331232</v>
      </c>
      <c r="F83" s="217">
        <v>0</v>
      </c>
      <c r="G83" s="217">
        <v>0</v>
      </c>
      <c r="H83" s="217">
        <f t="shared" si="52"/>
        <v>0</v>
      </c>
      <c r="I83" s="217">
        <v>0</v>
      </c>
      <c r="J83" s="217">
        <v>0</v>
      </c>
      <c r="K83" s="217">
        <f t="shared" si="53"/>
        <v>0</v>
      </c>
      <c r="L83" s="217">
        <v>0.502</v>
      </c>
      <c r="M83" s="217">
        <v>1.508</v>
      </c>
      <c r="N83" s="219">
        <f t="shared" si="50"/>
        <v>2.0099999999999998</v>
      </c>
      <c r="O83" s="217">
        <v>0</v>
      </c>
      <c r="P83" s="217">
        <v>0.10709855015827999</v>
      </c>
      <c r="Q83" s="219">
        <f t="shared" si="54"/>
        <v>0.10709855015827999</v>
      </c>
      <c r="R83" s="218">
        <f t="shared" si="55"/>
        <v>1.7735518773337609</v>
      </c>
      <c r="S83" s="217">
        <f t="shared" si="56"/>
        <v>7.1569617092576427</v>
      </c>
      <c r="T83" s="220">
        <f t="shared" si="57"/>
        <v>8.9305135865914025</v>
      </c>
      <c r="U83" s="182"/>
      <c r="V83" s="182"/>
      <c r="W83" s="182"/>
      <c r="X83" s="27"/>
      <c r="Y83" s="27"/>
      <c r="Z83" s="27"/>
      <c r="AA83" s="182"/>
      <c r="AB83" s="182"/>
      <c r="AC83" s="182"/>
      <c r="AD83" s="27"/>
      <c r="AE83" s="27"/>
      <c r="AF83" s="137"/>
      <c r="AG83" s="137"/>
      <c r="AH83" s="137"/>
      <c r="AI83" s="137"/>
      <c r="AJ83" s="137"/>
      <c r="AK83" s="137"/>
      <c r="AL83" s="137"/>
      <c r="AM83" s="137"/>
      <c r="AN83" s="137"/>
      <c r="AO83" s="137"/>
      <c r="AP83" s="137"/>
      <c r="AQ83" s="137"/>
      <c r="AR83" s="137"/>
      <c r="AS83" s="137"/>
      <c r="AT83" s="137"/>
    </row>
    <row r="84" spans="2:46" s="16" customFormat="1" x14ac:dyDescent="0.3">
      <c r="B84" s="127" t="s">
        <v>15</v>
      </c>
      <c r="C84" s="217">
        <v>0</v>
      </c>
      <c r="D84" s="217">
        <v>1.2121608631550784</v>
      </c>
      <c r="E84" s="217">
        <f t="shared" si="51"/>
        <v>1.2121608631550784</v>
      </c>
      <c r="F84" s="217">
        <v>0</v>
      </c>
      <c r="G84" s="217">
        <v>0</v>
      </c>
      <c r="H84" s="217">
        <f t="shared" si="52"/>
        <v>0</v>
      </c>
      <c r="I84" s="217">
        <v>0</v>
      </c>
      <c r="J84" s="217">
        <v>0</v>
      </c>
      <c r="K84" s="217">
        <f t="shared" si="53"/>
        <v>0</v>
      </c>
      <c r="L84" s="217">
        <v>0</v>
      </c>
      <c r="M84" s="217">
        <v>0</v>
      </c>
      <c r="N84" s="219">
        <f t="shared" si="50"/>
        <v>0</v>
      </c>
      <c r="O84" s="217">
        <v>0</v>
      </c>
      <c r="P84" s="217">
        <v>0</v>
      </c>
      <c r="Q84" s="219">
        <f t="shared" si="54"/>
        <v>0</v>
      </c>
      <c r="R84" s="218">
        <f t="shared" si="55"/>
        <v>0</v>
      </c>
      <c r="S84" s="217">
        <f t="shared" si="56"/>
        <v>1.2121608631550784</v>
      </c>
      <c r="T84" s="220">
        <f t="shared" si="57"/>
        <v>1.2121608631550784</v>
      </c>
      <c r="U84" s="182"/>
      <c r="V84" s="182"/>
      <c r="W84" s="182"/>
      <c r="X84" s="27"/>
      <c r="Y84" s="27"/>
      <c r="Z84" s="27"/>
      <c r="AA84" s="182"/>
      <c r="AB84" s="182"/>
      <c r="AC84" s="182"/>
      <c r="AD84" s="27"/>
      <c r="AE84" s="27"/>
      <c r="AF84" s="137"/>
      <c r="AG84" s="137"/>
      <c r="AH84" s="137"/>
      <c r="AI84" s="137"/>
      <c r="AJ84" s="137"/>
      <c r="AK84" s="137"/>
      <c r="AL84" s="137"/>
      <c r="AM84" s="137"/>
      <c r="AN84" s="137"/>
      <c r="AO84" s="137"/>
      <c r="AP84" s="137"/>
      <c r="AQ84" s="137"/>
      <c r="AR84" s="137"/>
      <c r="AS84" s="137"/>
      <c r="AT84" s="137"/>
    </row>
    <row r="85" spans="2:46" s="16" customFormat="1" x14ac:dyDescent="0.3">
      <c r="B85" s="127" t="s">
        <v>16</v>
      </c>
      <c r="C85" s="217">
        <v>0</v>
      </c>
      <c r="D85" s="217">
        <v>9.819963426331018</v>
      </c>
      <c r="E85" s="217">
        <f t="shared" si="51"/>
        <v>9.819963426331018</v>
      </c>
      <c r="F85" s="217">
        <v>0</v>
      </c>
      <c r="G85" s="217">
        <v>0</v>
      </c>
      <c r="H85" s="217">
        <f t="shared" si="52"/>
        <v>0</v>
      </c>
      <c r="I85" s="217">
        <v>0</v>
      </c>
      <c r="J85" s="217">
        <v>0</v>
      </c>
      <c r="K85" s="217">
        <f t="shared" si="53"/>
        <v>0</v>
      </c>
      <c r="L85" s="217">
        <v>0</v>
      </c>
      <c r="M85" s="217">
        <v>0</v>
      </c>
      <c r="N85" s="219">
        <f t="shared" si="50"/>
        <v>0</v>
      </c>
      <c r="O85" s="217">
        <v>0</v>
      </c>
      <c r="P85" s="217">
        <v>1.2170289790713638</v>
      </c>
      <c r="Q85" s="219">
        <f t="shared" si="54"/>
        <v>1.2170289790713638</v>
      </c>
      <c r="R85" s="218">
        <f t="shared" si="55"/>
        <v>0</v>
      </c>
      <c r="S85" s="217">
        <f t="shared" si="56"/>
        <v>11.036992405402382</v>
      </c>
      <c r="T85" s="220">
        <f t="shared" si="57"/>
        <v>11.036992405402382</v>
      </c>
      <c r="U85" s="182"/>
      <c r="V85" s="182"/>
      <c r="W85" s="182"/>
      <c r="X85" s="27"/>
      <c r="Y85" s="27"/>
      <c r="Z85" s="27"/>
      <c r="AA85" s="182"/>
      <c r="AB85" s="182"/>
      <c r="AC85" s="182"/>
      <c r="AD85" s="27"/>
      <c r="AE85" s="27"/>
      <c r="AF85" s="137"/>
      <c r="AG85" s="137"/>
      <c r="AH85" s="137"/>
      <c r="AI85" s="137"/>
      <c r="AJ85" s="137"/>
      <c r="AK85" s="137"/>
      <c r="AL85" s="137"/>
      <c r="AM85" s="137"/>
      <c r="AN85" s="137"/>
      <c r="AO85" s="137"/>
      <c r="AP85" s="137"/>
      <c r="AQ85" s="137"/>
      <c r="AR85" s="137"/>
      <c r="AS85" s="137"/>
      <c r="AT85" s="137"/>
    </row>
    <row r="86" spans="2:46" s="16" customFormat="1" x14ac:dyDescent="0.3">
      <c r="B86" s="127" t="s">
        <v>17</v>
      </c>
      <c r="C86" s="217">
        <v>0</v>
      </c>
      <c r="D86" s="217">
        <v>2.1565753509144563</v>
      </c>
      <c r="E86" s="217">
        <f t="shared" si="51"/>
        <v>2.1565753509144563</v>
      </c>
      <c r="F86" s="217">
        <v>0</v>
      </c>
      <c r="G86" s="217">
        <v>0</v>
      </c>
      <c r="H86" s="217">
        <f t="shared" si="52"/>
        <v>0</v>
      </c>
      <c r="I86" s="217">
        <v>2.4915835657685586</v>
      </c>
      <c r="J86" s="217">
        <v>15.040591546478158</v>
      </c>
      <c r="K86" s="217">
        <f t="shared" si="53"/>
        <v>17.532175112246716</v>
      </c>
      <c r="L86" s="217">
        <v>0</v>
      </c>
      <c r="M86" s="217">
        <v>0</v>
      </c>
      <c r="N86" s="219">
        <f t="shared" si="50"/>
        <v>0</v>
      </c>
      <c r="O86" s="217">
        <v>0</v>
      </c>
      <c r="P86" s="217">
        <v>0.43365176582270831</v>
      </c>
      <c r="Q86" s="219">
        <f t="shared" si="54"/>
        <v>0.43365176582270831</v>
      </c>
      <c r="R86" s="218">
        <f t="shared" si="55"/>
        <v>2.4915835657685586</v>
      </c>
      <c r="S86" s="217">
        <f t="shared" si="56"/>
        <v>17.630818663215322</v>
      </c>
      <c r="T86" s="220">
        <f t="shared" si="57"/>
        <v>20.12240222898388</v>
      </c>
      <c r="U86" s="182"/>
      <c r="V86" s="182"/>
      <c r="W86" s="182"/>
      <c r="X86" s="27"/>
      <c r="Y86" s="27"/>
      <c r="Z86" s="27"/>
      <c r="AA86" s="182"/>
      <c r="AB86" s="182"/>
      <c r="AC86" s="182"/>
      <c r="AD86" s="27"/>
      <c r="AE86" s="27"/>
      <c r="AF86" s="137"/>
      <c r="AG86" s="137"/>
      <c r="AH86" s="137"/>
      <c r="AI86" s="137"/>
      <c r="AJ86" s="137"/>
      <c r="AK86" s="137"/>
      <c r="AL86" s="137"/>
      <c r="AM86" s="137"/>
      <c r="AN86" s="137"/>
      <c r="AO86" s="137"/>
      <c r="AP86" s="137"/>
      <c r="AQ86" s="137"/>
      <c r="AR86" s="137"/>
      <c r="AS86" s="137"/>
      <c r="AT86" s="137"/>
    </row>
    <row r="87" spans="2:46" s="16" customFormat="1" x14ac:dyDescent="0.3">
      <c r="B87" s="127" t="s">
        <v>18</v>
      </c>
      <c r="C87" s="217">
        <v>3.0528294955097606E-2</v>
      </c>
      <c r="D87" s="217">
        <v>6.8018941460117617</v>
      </c>
      <c r="E87" s="217">
        <f t="shared" si="51"/>
        <v>6.8324224409668597</v>
      </c>
      <c r="F87" s="217">
        <v>0</v>
      </c>
      <c r="G87" s="217">
        <v>0</v>
      </c>
      <c r="H87" s="217">
        <f t="shared" si="52"/>
        <v>0</v>
      </c>
      <c r="I87" s="217">
        <v>0.82673401291594495</v>
      </c>
      <c r="J87" s="217">
        <v>8.8653411678102572</v>
      </c>
      <c r="K87" s="217">
        <f t="shared" si="53"/>
        <v>9.6920751807262029</v>
      </c>
      <c r="L87" s="217">
        <v>0</v>
      </c>
      <c r="M87" s="217">
        <v>0</v>
      </c>
      <c r="N87" s="219">
        <f t="shared" si="50"/>
        <v>0</v>
      </c>
      <c r="O87" s="217">
        <v>0</v>
      </c>
      <c r="P87" s="217">
        <v>2.555588097502671</v>
      </c>
      <c r="Q87" s="219">
        <f t="shared" si="54"/>
        <v>2.555588097502671</v>
      </c>
      <c r="R87" s="218">
        <f t="shared" si="55"/>
        <v>0.85726230787104252</v>
      </c>
      <c r="S87" s="217">
        <f t="shared" si="56"/>
        <v>18.22282341132469</v>
      </c>
      <c r="T87" s="220">
        <f t="shared" si="57"/>
        <v>19.080085719195733</v>
      </c>
      <c r="U87" s="182"/>
      <c r="V87" s="182"/>
      <c r="W87" s="182"/>
      <c r="X87" s="27"/>
      <c r="Y87" s="27"/>
      <c r="Z87" s="27"/>
      <c r="AA87" s="182"/>
      <c r="AB87" s="182"/>
      <c r="AC87" s="182"/>
      <c r="AD87" s="27"/>
      <c r="AE87" s="27"/>
      <c r="AF87" s="137"/>
      <c r="AG87" s="137"/>
      <c r="AH87" s="137"/>
      <c r="AI87" s="137"/>
      <c r="AJ87" s="137"/>
      <c r="AK87" s="137"/>
      <c r="AL87" s="137"/>
      <c r="AM87" s="137"/>
      <c r="AN87" s="137"/>
      <c r="AO87" s="137"/>
      <c r="AP87" s="137"/>
      <c r="AQ87" s="137"/>
      <c r="AR87" s="137"/>
      <c r="AS87" s="137"/>
      <c r="AT87" s="137"/>
    </row>
    <row r="88" spans="2:46" s="16" customFormat="1" ht="13.5" thickBot="1" x14ac:dyDescent="0.35">
      <c r="B88" s="128" t="s">
        <v>33</v>
      </c>
      <c r="C88" s="136">
        <f t="shared" ref="C88:N88" si="58">SUM(C71:C87)</f>
        <v>120.67387930834859</v>
      </c>
      <c r="D88" s="136">
        <f t="shared" si="58"/>
        <v>225.43371884348332</v>
      </c>
      <c r="E88" s="136">
        <f t="shared" si="58"/>
        <v>346.10759815183189</v>
      </c>
      <c r="F88" s="136">
        <f t="shared" si="58"/>
        <v>0.22272501119717289</v>
      </c>
      <c r="G88" s="136">
        <f t="shared" si="58"/>
        <v>1.8988315606420485</v>
      </c>
      <c r="H88" s="136">
        <f t="shared" si="58"/>
        <v>2.1215565718392213</v>
      </c>
      <c r="I88" s="136">
        <f t="shared" si="58"/>
        <v>17.19983123653866</v>
      </c>
      <c r="J88" s="136">
        <f t="shared" si="58"/>
        <v>169.97324230624258</v>
      </c>
      <c r="K88" s="136">
        <f t="shared" si="58"/>
        <v>187.17307354278125</v>
      </c>
      <c r="L88" s="136">
        <f t="shared" si="58"/>
        <v>317.98957000636551</v>
      </c>
      <c r="M88" s="136">
        <f t="shared" si="58"/>
        <v>151.03966763615242</v>
      </c>
      <c r="N88" s="158">
        <f t="shared" si="58"/>
        <v>469.0292376425179</v>
      </c>
      <c r="O88" s="136">
        <f t="shared" ref="O88:Q88" si="59">SUM(O71:O87)</f>
        <v>0</v>
      </c>
      <c r="P88" s="136">
        <f t="shared" si="59"/>
        <v>213.34524969779025</v>
      </c>
      <c r="Q88" s="158">
        <f t="shared" si="59"/>
        <v>213.34524969779025</v>
      </c>
      <c r="R88" s="162">
        <f>SUM(R71:R87)</f>
        <v>456.08600556244994</v>
      </c>
      <c r="S88" s="160">
        <f>SUM(S71:S87)</f>
        <v>761.69071004431078</v>
      </c>
      <c r="T88" s="161">
        <f>SUM(T71:T87)</f>
        <v>1217.7767156067605</v>
      </c>
      <c r="U88" s="148"/>
      <c r="V88" s="148"/>
      <c r="W88" s="148"/>
      <c r="X88" s="27"/>
      <c r="Y88" s="27"/>
      <c r="Z88" s="27"/>
      <c r="AA88" s="148"/>
      <c r="AB88" s="148"/>
      <c r="AC88" s="148"/>
      <c r="AD88" s="27"/>
      <c r="AE88" s="27"/>
      <c r="AF88" s="137"/>
      <c r="AG88" s="137"/>
      <c r="AH88" s="137"/>
      <c r="AI88" s="137"/>
      <c r="AJ88" s="137"/>
      <c r="AK88" s="137"/>
      <c r="AL88" s="137"/>
      <c r="AM88" s="137"/>
      <c r="AN88" s="137"/>
      <c r="AO88" s="137"/>
      <c r="AP88" s="137"/>
      <c r="AQ88" s="137"/>
      <c r="AR88" s="137"/>
      <c r="AS88" s="137"/>
      <c r="AT88" s="137"/>
    </row>
    <row r="89" spans="2:46" s="16" customFormat="1" x14ac:dyDescent="0.3">
      <c r="C89" s="137"/>
      <c r="D89" s="137"/>
      <c r="E89" s="137"/>
      <c r="F89" s="137"/>
      <c r="G89" s="137"/>
      <c r="H89" s="137"/>
      <c r="I89" s="137"/>
      <c r="J89" s="137"/>
      <c r="K89" s="137"/>
      <c r="L89" s="137"/>
      <c r="M89" s="137"/>
      <c r="N89" s="137"/>
      <c r="O89" s="137"/>
      <c r="P89" s="137"/>
      <c r="Q89" s="137"/>
      <c r="R89" s="137"/>
      <c r="S89" s="137"/>
      <c r="T89" s="137"/>
      <c r="U89" s="143"/>
      <c r="V89" s="143"/>
      <c r="W89" s="143"/>
      <c r="X89" s="143"/>
      <c r="Y89" s="143"/>
      <c r="Z89" s="143"/>
      <c r="AA89" s="143"/>
      <c r="AB89" s="143"/>
      <c r="AC89" s="143"/>
      <c r="AD89" s="143"/>
      <c r="AE89" s="143"/>
      <c r="AF89" s="137"/>
      <c r="AG89" s="137"/>
      <c r="AH89" s="137"/>
      <c r="AI89" s="137"/>
      <c r="AJ89" s="137"/>
      <c r="AK89" s="137"/>
      <c r="AL89" s="137"/>
      <c r="AM89" s="137"/>
      <c r="AN89" s="137"/>
      <c r="AO89" s="137"/>
      <c r="AP89" s="137"/>
      <c r="AQ89" s="137"/>
      <c r="AR89" s="137"/>
      <c r="AS89" s="137"/>
      <c r="AT89" s="137"/>
    </row>
    <row r="90" spans="2:46" s="16" customFormat="1" x14ac:dyDescent="0.3">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row>
  </sheetData>
  <sortState ref="B51:X68">
    <sortCondition descending="1" ref="S5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Inputs&gt;&gt;</vt:lpstr>
      <vt:lpstr>Controls</vt:lpstr>
      <vt:lpstr>Inputs</vt:lpstr>
      <vt:lpstr>Forecast drivers</vt:lpstr>
      <vt:lpstr>Coeffs</vt:lpstr>
      <vt:lpstr>Outputs&gt;&gt;</vt:lpstr>
      <vt:lpstr>Modelled costs</vt:lpstr>
      <vt:lpstr>Final allowances</vt:lpstr>
      <vt:lpstr>PDR</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2019-12-11T16:31:31Z</dcterms:created>
  <dcterms:modified xsi:type="dcterms:W3CDTF">2019-12-11T16:31:39Z</dcterms:modified>
</cp:coreProperties>
</file>