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11670" tabRatio="720"/>
  </bookViews>
  <sheets>
    <sheet name="Contents" sheetId="11" r:id="rId1"/>
    <sheet name="PAYG summary tables" sheetId="12" r:id="rId2"/>
    <sheet name="Working--&gt;" sheetId="13" r:id="rId3"/>
    <sheet name="F_Inputs" sheetId="7" r:id="rId4"/>
    <sheet name="Draft determination totex" sheetId="8" r:id="rId5"/>
    <sheet name="Calculation" sheetId="9" r:id="rId6"/>
    <sheet name="PAYG" sheetId="10" r:id="rId7"/>
    <sheet name="F_Outputs" sheetId="6" r:id="rId8"/>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0" l="1"/>
  <c r="D16" i="10"/>
  <c r="E16" i="10"/>
  <c r="F16" i="10"/>
  <c r="G16" i="10"/>
  <c r="C17" i="10"/>
  <c r="D17" i="10"/>
  <c r="E17" i="10"/>
  <c r="E18" i="10" s="1"/>
  <c r="F17" i="10"/>
  <c r="G17" i="10"/>
  <c r="B17" i="10"/>
  <c r="B16" i="10"/>
  <c r="B18" i="10" s="1"/>
  <c r="C6" i="10"/>
  <c r="C26" i="10" s="1"/>
  <c r="D6" i="10"/>
  <c r="D26" i="10" s="1"/>
  <c r="E6" i="10"/>
  <c r="E26" i="10" s="1"/>
  <c r="F6" i="10"/>
  <c r="F26" i="10" s="1"/>
  <c r="G6" i="10"/>
  <c r="G26" i="10" s="1"/>
  <c r="C7" i="10"/>
  <c r="C27" i="10" s="1"/>
  <c r="D7" i="10"/>
  <c r="D27" i="10" s="1"/>
  <c r="E7" i="10"/>
  <c r="E27" i="10" s="1"/>
  <c r="F7" i="10"/>
  <c r="F27" i="10" s="1"/>
  <c r="G7" i="10"/>
  <c r="G27" i="10" s="1"/>
  <c r="B7" i="10"/>
  <c r="B27" i="10" s="1"/>
  <c r="B6" i="10"/>
  <c r="B26" i="10" s="1"/>
  <c r="B28" i="10" s="1"/>
  <c r="G18" i="10" l="1"/>
  <c r="D18" i="10"/>
  <c r="C18" i="10"/>
  <c r="F18" i="10"/>
  <c r="D8" i="10"/>
  <c r="E8" i="10"/>
  <c r="G28" i="10"/>
  <c r="C28" i="10"/>
  <c r="F28" i="10"/>
  <c r="B8" i="10"/>
  <c r="E28" i="10"/>
  <c r="G8" i="10"/>
  <c r="C8" i="10"/>
  <c r="D28" i="10"/>
  <c r="F8" i="10"/>
  <c r="J11" i="6"/>
  <c r="I11" i="6"/>
  <c r="H11" i="6"/>
  <c r="G11" i="6"/>
  <c r="F11" i="6"/>
  <c r="J10" i="6"/>
  <c r="I10" i="6"/>
  <c r="H10" i="6"/>
  <c r="G10" i="6"/>
  <c r="F10" i="6"/>
  <c r="M15" i="8" l="1"/>
  <c r="P14" i="9" s="1"/>
  <c r="M20" i="8"/>
  <c r="P15" i="9" s="1"/>
  <c r="M21" i="8"/>
  <c r="M22" i="8"/>
  <c r="M16" i="8"/>
  <c r="M17" i="8"/>
  <c r="F20" i="12"/>
  <c r="L15" i="8"/>
  <c r="O14" i="9" s="1"/>
  <c r="L20" i="8"/>
  <c r="O15" i="9" s="1"/>
  <c r="L21" i="8"/>
  <c r="L22" i="8"/>
  <c r="L16" i="8"/>
  <c r="L17" i="8"/>
  <c r="K15" i="8"/>
  <c r="N14" i="9" s="1"/>
  <c r="K16" i="8"/>
  <c r="K17" i="8"/>
  <c r="K20" i="8"/>
  <c r="N15" i="9" s="1"/>
  <c r="K21" i="8"/>
  <c r="K22" i="8"/>
  <c r="J15" i="8"/>
  <c r="M14" i="9" s="1"/>
  <c r="J20" i="8"/>
  <c r="M15" i="9" s="1"/>
  <c r="J21" i="8"/>
  <c r="J22" i="8"/>
  <c r="J16" i="8"/>
  <c r="J17" i="8"/>
  <c r="I15" i="8"/>
  <c r="L14" i="9" s="1"/>
  <c r="I20" i="8"/>
  <c r="L15" i="9" s="1"/>
  <c r="I21" i="8"/>
  <c r="I22" i="8"/>
  <c r="I16" i="8"/>
  <c r="I17" i="8"/>
  <c r="J4" i="8"/>
  <c r="M5" i="9" s="1"/>
  <c r="J9" i="8"/>
  <c r="M6" i="9" s="1"/>
  <c r="K4" i="8"/>
  <c r="N5" i="9" s="1"/>
  <c r="K9" i="8"/>
  <c r="N6" i="9" s="1"/>
  <c r="L4" i="8"/>
  <c r="O5" i="9" s="1"/>
  <c r="L9" i="8"/>
  <c r="O6" i="9" s="1"/>
  <c r="M4" i="8"/>
  <c r="P5" i="9" s="1"/>
  <c r="M9" i="8"/>
  <c r="P6" i="9" s="1"/>
  <c r="I4" i="8"/>
  <c r="L5" i="9" s="1"/>
  <c r="I9" i="8"/>
  <c r="L6" i="9" s="1"/>
  <c r="K10" i="8"/>
  <c r="K11" i="8"/>
  <c r="J10" i="8"/>
  <c r="L10" i="8"/>
  <c r="M10" i="8"/>
  <c r="M11" i="8"/>
  <c r="J11" i="8"/>
  <c r="L11" i="8"/>
  <c r="I11" i="8"/>
  <c r="I10" i="8"/>
  <c r="K5" i="8"/>
  <c r="K6" i="8"/>
  <c r="L5" i="8"/>
  <c r="L6" i="8"/>
  <c r="M5" i="8"/>
  <c r="M6" i="8"/>
  <c r="J6" i="8"/>
  <c r="J5" i="8"/>
  <c r="I6" i="8"/>
  <c r="I5" i="8"/>
  <c r="C11" i="12"/>
  <c r="C15" i="12" s="1"/>
  <c r="D11" i="12"/>
  <c r="E11" i="12"/>
  <c r="F11" i="12"/>
  <c r="F15" i="12" s="1"/>
  <c r="B11" i="12"/>
  <c r="C4" i="12"/>
  <c r="D4" i="12"/>
  <c r="E4" i="12"/>
  <c r="F4" i="12"/>
  <c r="B4" i="12"/>
  <c r="E22" i="8"/>
  <c r="E21" i="8"/>
  <c r="E20" i="8"/>
  <c r="E17" i="8"/>
  <c r="E16" i="8"/>
  <c r="E15" i="8"/>
  <c r="E11" i="8"/>
  <c r="E10" i="8"/>
  <c r="E9" i="8"/>
  <c r="E6" i="8"/>
  <c r="E5" i="8"/>
  <c r="E4" i="8"/>
  <c r="O8" i="9" l="1"/>
  <c r="P7" i="9"/>
  <c r="N7" i="9"/>
  <c r="L8" i="9"/>
  <c r="L10" i="9" s="1"/>
  <c r="I6" i="10" s="1"/>
  <c r="P8" i="9"/>
  <c r="P10" i="9" s="1"/>
  <c r="M6" i="10" s="1"/>
  <c r="N8" i="9"/>
  <c r="M7" i="9"/>
  <c r="M8" i="9"/>
  <c r="M10" i="9" s="1"/>
  <c r="L7" i="9"/>
  <c r="O7" i="9"/>
  <c r="I18" i="8"/>
  <c r="K18" i="8"/>
  <c r="J7" i="8"/>
  <c r="L7" i="8"/>
  <c r="I12" i="8"/>
  <c r="O17" i="9"/>
  <c r="O19" i="9" s="1"/>
  <c r="D8" i="12"/>
  <c r="M7" i="8"/>
  <c r="I7" i="8"/>
  <c r="M12" i="8"/>
  <c r="L16" i="9"/>
  <c r="M16" i="9"/>
  <c r="C20" i="12"/>
  <c r="C25" i="12" s="1"/>
  <c r="P9" i="9"/>
  <c r="F19" i="12"/>
  <c r="F21" i="12" s="1"/>
  <c r="D19" i="12"/>
  <c r="D20" i="12"/>
  <c r="B19" i="12"/>
  <c r="E19" i="12"/>
  <c r="E20" i="12"/>
  <c r="L17" i="9"/>
  <c r="L19" i="9" s="1"/>
  <c r="P17" i="9"/>
  <c r="P19" i="9" s="1"/>
  <c r="K12" i="8"/>
  <c r="O16" i="9"/>
  <c r="L12" i="8"/>
  <c r="M17" i="9"/>
  <c r="N16" i="9"/>
  <c r="N17" i="9"/>
  <c r="N19" i="9" s="1"/>
  <c r="K16" i="10" s="1"/>
  <c r="P16" i="9"/>
  <c r="O10" i="9"/>
  <c r="N10" i="9"/>
  <c r="K23" i="8"/>
  <c r="J23" i="8"/>
  <c r="M18" i="8"/>
  <c r="J12" i="8"/>
  <c r="I23" i="8"/>
  <c r="K7" i="8"/>
  <c r="L23" i="8"/>
  <c r="M23" i="8"/>
  <c r="L18" i="8"/>
  <c r="J18" i="8"/>
  <c r="E8" i="12"/>
  <c r="C8" i="12"/>
  <c r="D15" i="12"/>
  <c r="B15" i="12"/>
  <c r="F8" i="12"/>
  <c r="E15" i="12"/>
  <c r="F25" i="12"/>
  <c r="B8" i="12"/>
  <c r="L9" i="9" l="1"/>
  <c r="I7" i="10" s="1"/>
  <c r="O9" i="9"/>
  <c r="L7" i="10" s="1"/>
  <c r="N9" i="9"/>
  <c r="M9" i="9"/>
  <c r="M11" i="9" s="1"/>
  <c r="P11" i="9"/>
  <c r="M7" i="10"/>
  <c r="O18" i="9"/>
  <c r="O20" i="9" s="1"/>
  <c r="M18" i="9"/>
  <c r="J17" i="10" s="1"/>
  <c r="J20" i="12" s="1"/>
  <c r="M19" i="9"/>
  <c r="L18" i="9"/>
  <c r="E25" i="12"/>
  <c r="D25" i="12"/>
  <c r="L11" i="9"/>
  <c r="E21" i="12"/>
  <c r="E24" i="12"/>
  <c r="E26" i="12" s="1"/>
  <c r="F24" i="12"/>
  <c r="F26" i="12" s="1"/>
  <c r="F29" i="12" s="1"/>
  <c r="M11" i="10"/>
  <c r="D21" i="12"/>
  <c r="D24" i="12"/>
  <c r="B24" i="12"/>
  <c r="C19" i="12"/>
  <c r="C24" i="12" s="1"/>
  <c r="C26" i="12" s="1"/>
  <c r="L21" i="10"/>
  <c r="L11" i="10"/>
  <c r="B20" i="12"/>
  <c r="I11" i="10"/>
  <c r="K11" i="10"/>
  <c r="M21" i="10"/>
  <c r="P18" i="9"/>
  <c r="M17" i="10" s="1"/>
  <c r="M20" i="12" s="1"/>
  <c r="N18" i="9"/>
  <c r="K17" i="10" s="1"/>
  <c r="K20" i="12" s="1"/>
  <c r="M8" i="10"/>
  <c r="I8" i="10"/>
  <c r="O11" i="9"/>
  <c r="L16" i="10"/>
  <c r="I17" i="10"/>
  <c r="I27" i="10" s="1"/>
  <c r="L20" i="9"/>
  <c r="K7" i="10"/>
  <c r="N11" i="9"/>
  <c r="M16" i="10"/>
  <c r="L17" i="10"/>
  <c r="L20" i="12" s="1"/>
  <c r="I16" i="10"/>
  <c r="K6" i="10"/>
  <c r="M19" i="12"/>
  <c r="I19" i="12"/>
  <c r="Q10" i="9"/>
  <c r="J6" i="10"/>
  <c r="L6" i="10"/>
  <c r="J7" i="10" l="1"/>
  <c r="Q9" i="9"/>
  <c r="M20" i="9"/>
  <c r="Q19" i="9"/>
  <c r="J16" i="10"/>
  <c r="J18" i="10" s="1"/>
  <c r="P20" i="9"/>
  <c r="D26" i="12"/>
  <c r="E29" i="12"/>
  <c r="M10" i="10"/>
  <c r="K21" i="10"/>
  <c r="D29" i="12"/>
  <c r="Q18" i="9"/>
  <c r="B21" i="12"/>
  <c r="G20" i="12"/>
  <c r="G24" i="12"/>
  <c r="J21" i="10"/>
  <c r="I10" i="10"/>
  <c r="I21" i="10"/>
  <c r="J11" i="10"/>
  <c r="B25" i="12"/>
  <c r="G19" i="12"/>
  <c r="C21" i="12"/>
  <c r="C29" i="12" s="1"/>
  <c r="N20" i="9"/>
  <c r="K18" i="10"/>
  <c r="M27" i="10"/>
  <c r="L18" i="10"/>
  <c r="L20" i="10" s="1"/>
  <c r="N6" i="10"/>
  <c r="J27" i="10"/>
  <c r="J19" i="12"/>
  <c r="L26" i="10"/>
  <c r="L8" i="10"/>
  <c r="L10" i="10" s="1"/>
  <c r="M21" i="12"/>
  <c r="J26" i="10"/>
  <c r="J8" i="10"/>
  <c r="Q11" i="9"/>
  <c r="I18" i="10"/>
  <c r="I20" i="10" s="1"/>
  <c r="I23" i="10" s="1"/>
  <c r="N16" i="10"/>
  <c r="K27" i="10"/>
  <c r="K19" i="12"/>
  <c r="I20" i="12"/>
  <c r="I21" i="12" s="1"/>
  <c r="N17" i="10"/>
  <c r="L27" i="10"/>
  <c r="L19" i="12"/>
  <c r="N7" i="10"/>
  <c r="K26" i="10"/>
  <c r="K8" i="10"/>
  <c r="K10" i="10" s="1"/>
  <c r="M18" i="10"/>
  <c r="M20" i="10" s="1"/>
  <c r="M26" i="10"/>
  <c r="I26" i="10"/>
  <c r="Q20" i="9" l="1"/>
  <c r="M11" i="12"/>
  <c r="M15" i="12" s="1"/>
  <c r="J5" i="6" s="1"/>
  <c r="M23" i="10"/>
  <c r="L11" i="12"/>
  <c r="L15" i="12" s="1"/>
  <c r="I5" i="6" s="1"/>
  <c r="L23" i="10"/>
  <c r="I4" i="12"/>
  <c r="I8" i="12" s="1"/>
  <c r="I24" i="12" s="1"/>
  <c r="I13" i="10"/>
  <c r="I30" i="10" s="1"/>
  <c r="F9" i="6" s="1"/>
  <c r="M4" i="12"/>
  <c r="M8" i="12" s="1"/>
  <c r="J4" i="6" s="1"/>
  <c r="M13" i="10"/>
  <c r="L4" i="12"/>
  <c r="L8" i="12" s="1"/>
  <c r="I4" i="6" s="1"/>
  <c r="L13" i="10"/>
  <c r="K4" i="12"/>
  <c r="K8" i="12" s="1"/>
  <c r="H4" i="6" s="1"/>
  <c r="K13" i="10"/>
  <c r="M25" i="12"/>
  <c r="K20" i="10"/>
  <c r="J20" i="10"/>
  <c r="M28" i="10"/>
  <c r="N19" i="12"/>
  <c r="I11" i="12"/>
  <c r="I15" i="12" s="1"/>
  <c r="G21" i="12"/>
  <c r="G25" i="12"/>
  <c r="G26" i="12" s="1"/>
  <c r="B26" i="12"/>
  <c r="B29" i="12" s="1"/>
  <c r="J10" i="10"/>
  <c r="J28" i="10"/>
  <c r="L28" i="10"/>
  <c r="I28" i="10"/>
  <c r="N26" i="10"/>
  <c r="N18" i="10"/>
  <c r="J21" i="12"/>
  <c r="L21" i="12"/>
  <c r="N27" i="10"/>
  <c r="K28" i="10"/>
  <c r="N20" i="12"/>
  <c r="K21" i="12"/>
  <c r="N8" i="10"/>
  <c r="L25" i="12" l="1"/>
  <c r="L24" i="12"/>
  <c r="F4" i="6"/>
  <c r="M30" i="10"/>
  <c r="J9" i="6" s="1"/>
  <c r="L30" i="10"/>
  <c r="I9" i="6" s="1"/>
  <c r="K11" i="12"/>
  <c r="K15" i="12" s="1"/>
  <c r="K25" i="12" s="1"/>
  <c r="K23" i="10"/>
  <c r="K30" i="10" s="1"/>
  <c r="H9" i="6" s="1"/>
  <c r="J11" i="12"/>
  <c r="J15" i="12" s="1"/>
  <c r="J25" i="12" s="1"/>
  <c r="J23" i="10"/>
  <c r="J4" i="12"/>
  <c r="J8" i="12" s="1"/>
  <c r="G4" i="6" s="1"/>
  <c r="J13" i="10"/>
  <c r="K24" i="12"/>
  <c r="M24" i="12"/>
  <c r="M26" i="12" s="1"/>
  <c r="M29" i="12" s="1"/>
  <c r="L26" i="12"/>
  <c r="L29" i="12" s="1"/>
  <c r="I25" i="12"/>
  <c r="I26" i="12" s="1"/>
  <c r="I29" i="12" s="1"/>
  <c r="F5" i="6"/>
  <c r="N21" i="12"/>
  <c r="N20" i="10"/>
  <c r="G29" i="12"/>
  <c r="N10" i="10"/>
  <c r="N11" i="10" s="1"/>
  <c r="N28" i="10"/>
  <c r="G5" i="6" l="1"/>
  <c r="J24" i="12"/>
  <c r="N24" i="12" s="1"/>
  <c r="N13" i="10"/>
  <c r="J30" i="10"/>
  <c r="G9" i="6" s="1"/>
  <c r="H5" i="6"/>
  <c r="N23" i="10"/>
  <c r="K26" i="12"/>
  <c r="K29" i="12" s="1"/>
  <c r="N25" i="12"/>
  <c r="N21" i="10"/>
  <c r="J26" i="12" l="1"/>
  <c r="J29" i="12" s="1"/>
  <c r="N30" i="10"/>
  <c r="N26" i="12"/>
  <c r="N29" i="12" s="1"/>
</calcChain>
</file>

<file path=xl/sharedStrings.xml><?xml version="1.0" encoding="utf-8"?>
<sst xmlns="http://schemas.openxmlformats.org/spreadsheetml/2006/main" count="376" uniqueCount="158">
  <si>
    <r>
      <t>1.</t>
    </r>
    <r>
      <rPr>
        <sz val="7"/>
        <color theme="1"/>
        <rFont val="Times New Roman"/>
        <family val="1"/>
      </rPr>
      <t xml:space="preserve">    </t>
    </r>
    <r>
      <rPr>
        <b/>
        <sz val="12"/>
        <color theme="1"/>
        <rFont val="Arial"/>
        <family val="2"/>
      </rPr>
      <t>Final determination totex</t>
    </r>
    <r>
      <rPr>
        <sz val="12"/>
        <color theme="1"/>
        <rFont val="Arial"/>
        <family val="2"/>
      </rPr>
      <t xml:space="preserve"> – As per the final determination cost allowances, shows the totex allowances by year and by wholesale controls for 2020-2025.</t>
    </r>
  </si>
  <si>
    <r>
      <t>2.</t>
    </r>
    <r>
      <rPr>
        <sz val="7"/>
        <color theme="1"/>
        <rFont val="Times New Roman"/>
        <family val="1"/>
      </rPr>
      <t xml:space="preserve">    </t>
    </r>
    <r>
      <rPr>
        <b/>
        <sz val="12"/>
        <color theme="1"/>
        <rFont val="Arial"/>
        <family val="2"/>
      </rPr>
      <t>Calculation</t>
    </r>
    <r>
      <rPr>
        <sz val="12"/>
        <color theme="1"/>
        <rFont val="Arial"/>
        <family val="2"/>
      </rPr>
      <t xml:space="preserve"> – Calculates the net totex, net opex and net capex using the data from the ‘Final determination totex’ and the draft determination totex as published, by year and by wholesale controls for 2020-2025</t>
    </r>
  </si>
  <si>
    <r>
      <t>3.</t>
    </r>
    <r>
      <rPr>
        <sz val="7"/>
        <color theme="1"/>
        <rFont val="Times New Roman"/>
        <family val="1"/>
      </rPr>
      <t xml:space="preserve">    </t>
    </r>
    <r>
      <rPr>
        <b/>
        <sz val="12"/>
        <color theme="1"/>
        <rFont val="Arial"/>
        <family val="2"/>
      </rPr>
      <t>PAYG</t>
    </r>
    <r>
      <rPr>
        <sz val="12"/>
        <color theme="1"/>
        <rFont val="Arial"/>
        <family val="2"/>
      </rPr>
      <t xml:space="preserve"> – Uses the draft determination opex as a percentage of totex using the data from the ‘calculation’ tab.</t>
    </r>
  </si>
  <si>
    <t>This produces a figure for PAYG as a percentage of opex rate which we use to calculate the PAYG rates for the final determination to align to the company approach in setting the natural rate. We set out the calculations below:</t>
  </si>
  <si>
    <t>Draft determination</t>
  </si>
  <si>
    <t>(a) Opex as percentage of totex</t>
  </si>
  <si>
    <t>(b) Total opex</t>
  </si>
  <si>
    <t>(c) Totex</t>
  </si>
  <si>
    <t>(d) Draft determination natural rate</t>
  </si>
  <si>
    <t>(e) PAYG as a percentage of opex rate</t>
  </si>
  <si>
    <t>(a) = (b) / (c)</t>
  </si>
  <si>
    <t>(e) = (d) / (a)</t>
  </si>
  <si>
    <t>Final determination</t>
  </si>
  <si>
    <t xml:space="preserve">(f) Opex as percentage of totex </t>
  </si>
  <si>
    <t>(g) Total opex</t>
  </si>
  <si>
    <t>(h) Totex</t>
  </si>
  <si>
    <t xml:space="preserve">(i) PAYG as a percentage of opex rate </t>
  </si>
  <si>
    <t xml:space="preserve">(j) Final determination natural rate </t>
  </si>
  <si>
    <t xml:space="preserve">(f) = (g) / (h) </t>
  </si>
  <si>
    <t>(i) = (e)</t>
  </si>
  <si>
    <t xml:space="preserve">(j) = (f) * (i) </t>
  </si>
  <si>
    <r>
      <t>4.</t>
    </r>
    <r>
      <rPr>
        <sz val="7"/>
        <color theme="1"/>
        <rFont val="Times New Roman"/>
        <family val="1"/>
      </rPr>
      <t xml:space="preserve">    </t>
    </r>
    <r>
      <rPr>
        <b/>
        <sz val="12"/>
        <color theme="1"/>
        <rFont val="Arial"/>
        <family val="2"/>
      </rPr>
      <t xml:space="preserve">PAYG summary tables </t>
    </r>
    <r>
      <rPr>
        <sz val="12"/>
        <color theme="1"/>
        <rFont val="Arial"/>
        <family val="2"/>
      </rPr>
      <t>- Sets out the draft determination versus the final determination PAYG rates by year and by wholesale control for 2020 – 2025 including the following:</t>
    </r>
  </si>
  <si>
    <r>
      <t>·</t>
    </r>
    <r>
      <rPr>
        <sz val="7"/>
        <color theme="1"/>
        <rFont val="Times New Roman"/>
        <family val="1"/>
      </rPr>
      <t xml:space="preserve">         </t>
    </r>
    <r>
      <rPr>
        <sz val="12"/>
        <color theme="1"/>
        <rFont val="Arial"/>
        <family val="2"/>
      </rPr>
      <t>“Natural” PAYG rate</t>
    </r>
  </si>
  <si>
    <r>
      <t>·</t>
    </r>
    <r>
      <rPr>
        <sz val="7"/>
        <color theme="1"/>
        <rFont val="Times New Roman"/>
        <family val="1"/>
      </rPr>
      <t xml:space="preserve">         </t>
    </r>
    <r>
      <rPr>
        <sz val="12"/>
        <color theme="1"/>
        <rFont val="Arial"/>
        <family val="2"/>
      </rPr>
      <t>Adjustments to PAYG rate to address transition from RPI to CPI</t>
    </r>
  </si>
  <si>
    <r>
      <t>·</t>
    </r>
    <r>
      <rPr>
        <sz val="7"/>
        <color theme="1"/>
        <rFont val="Times New Roman"/>
        <family val="1"/>
      </rPr>
      <t xml:space="preserve">         </t>
    </r>
    <r>
      <rPr>
        <sz val="12"/>
        <color theme="1"/>
        <rFont val="Arial"/>
        <family val="2"/>
      </rPr>
      <t>Other adjustments to PAYG rate</t>
    </r>
  </si>
  <si>
    <r>
      <t>·</t>
    </r>
    <r>
      <rPr>
        <sz val="7"/>
        <color theme="1"/>
        <rFont val="Times New Roman"/>
        <family val="1"/>
      </rPr>
      <t xml:space="preserve">         </t>
    </r>
    <r>
      <rPr>
        <sz val="12"/>
        <color theme="1"/>
        <rFont val="Arial"/>
        <family val="2"/>
      </rPr>
      <t>Other interventions (Ofwat interventions)</t>
    </r>
  </si>
  <si>
    <r>
      <t>·</t>
    </r>
    <r>
      <rPr>
        <sz val="7"/>
        <color theme="1"/>
        <rFont val="Times New Roman"/>
        <family val="1"/>
      </rPr>
      <t xml:space="preserve">         </t>
    </r>
    <r>
      <rPr>
        <sz val="12"/>
        <color theme="1"/>
        <rFont val="Arial"/>
        <family val="2"/>
      </rPr>
      <t>Total PAYG rate (sum of the above)</t>
    </r>
  </si>
  <si>
    <t>We also calculate the total PAYG % = total totex / total PAYG revenue</t>
  </si>
  <si>
    <t>(Total totex – as per ‘PAYG’ tab)</t>
  </si>
  <si>
    <t>(PAYG revenue is calculated per control as totex * total PAYG rate)</t>
  </si>
  <si>
    <t>PAYG Rates</t>
  </si>
  <si>
    <t>Ofwat - DD</t>
  </si>
  <si>
    <t>Ofwat - FD</t>
  </si>
  <si>
    <t>PAYG Rate ~ water resources</t>
  </si>
  <si>
    <t>2020-21</t>
  </si>
  <si>
    <t>2021-22</t>
  </si>
  <si>
    <t>2022-23</t>
  </si>
  <si>
    <t>2023-24</t>
  </si>
  <si>
    <t>2024-25</t>
  </si>
  <si>
    <t>"Natural" PAYG rate ~ water resources</t>
  </si>
  <si>
    <t>Adjustments to PAYG rate to address transition from RPI to CPI ~ water resources</t>
  </si>
  <si>
    <t>Other adjustments to PAYG rate ~ water resources</t>
  </si>
  <si>
    <t>Other interventions ~ water resources</t>
  </si>
  <si>
    <t>Total PAYG rate ~ water resources</t>
  </si>
  <si>
    <t>PAYG Rate ~ water network plus</t>
  </si>
  <si>
    <t>"Natural" PAYG rate ~ water network plus</t>
  </si>
  <si>
    <t>Adjustments to PAYG rate to address transition from RPI to CPI ~ water network plus</t>
  </si>
  <si>
    <t>Other adjustments to PAYG rate ~ water network plus</t>
  </si>
  <si>
    <t>Other interventions ~ water network plus</t>
  </si>
  <si>
    <t>Total PAYG rate ~ water network plus</t>
  </si>
  <si>
    <t>Totex</t>
  </si>
  <si>
    <t>2020-25</t>
  </si>
  <si>
    <t>Water resources</t>
  </si>
  <si>
    <t>Water network plus</t>
  </si>
  <si>
    <t>Total totex</t>
  </si>
  <si>
    <t>PAYG revenue</t>
  </si>
  <si>
    <t>Total PAYG revenue</t>
  </si>
  <si>
    <t>Average PAYG%</t>
  </si>
  <si>
    <t>Pr19FMTotex_for_PAYG</t>
  </si>
  <si>
    <t>Acronym</t>
  </si>
  <si>
    <t>Reference</t>
  </si>
  <si>
    <t>Item description</t>
  </si>
  <si>
    <t>Unit</t>
  </si>
  <si>
    <t>Model</t>
  </si>
  <si>
    <t>Price Review 2019</t>
  </si>
  <si>
    <t>PR19 Run 8: Final Determinations</t>
  </si>
  <si>
    <t>Latest</t>
  </si>
  <si>
    <t>BRL</t>
  </si>
  <si>
    <t>C_WROPEXFM_PR19FM008</t>
  </si>
  <si>
    <t>WR - Total gross operational expenditure -real - including cost sharing</t>
  </si>
  <si>
    <t>£m</t>
  </si>
  <si>
    <t>C_WRCAPEXFM_PR19FM008</t>
  </si>
  <si>
    <t>WR - Total gross capital expenditure - real (including g&amp;c) - including cost sharing</t>
  </si>
  <si>
    <t>C_WNOPEXFM_PR19FM008</t>
  </si>
  <si>
    <t>WN - Total gross operational expenditure -real - including cost sharing</t>
  </si>
  <si>
    <t>C_WNCAPEXFM_PR19FM008</t>
  </si>
  <si>
    <t>WN - Total gross capital expenditure - real - including cost sharing</t>
  </si>
  <si>
    <t>C_WWNOPEXFM_PR19FM008</t>
  </si>
  <si>
    <t>WWN - Total gross operational expenditure - real - including cost sharing</t>
  </si>
  <si>
    <t>C_WWNCAPEXFM_PR19FM008</t>
  </si>
  <si>
    <t>WWN - Total gross capital expenditure - real - including cost sharing</t>
  </si>
  <si>
    <t>C_BROPEXFM_PR19FM008</t>
  </si>
  <si>
    <t>BIO - Total gross operational expenditure -real</t>
  </si>
  <si>
    <t>C_BRCAPEXFM_PR19FM008</t>
  </si>
  <si>
    <t>BIO - Total gross capital expenditure - real (including g&amp;c)</t>
  </si>
  <si>
    <t>PR19GC0061</t>
  </si>
  <si>
    <t>WN - Grants and contributions net of income offset - capital expenditure - price control - real</t>
  </si>
  <si>
    <t>PR19GC0002</t>
  </si>
  <si>
    <t>WN - Grants and contributions - capital expenditure - non price control - real</t>
  </si>
  <si>
    <t>PR19GC0063</t>
  </si>
  <si>
    <t>WN - Grants and contributions net of income offset - operational expenditure - price control - real</t>
  </si>
  <si>
    <t>PR19GC0004</t>
  </si>
  <si>
    <t>WN - Grants and contributions - operational expenditure - non price control - real</t>
  </si>
  <si>
    <t>PR19GC0065</t>
  </si>
  <si>
    <t>WR - Grants and contributions net of income offset - capital expenditure - price control - real</t>
  </si>
  <si>
    <t>PR19GC0006</t>
  </si>
  <si>
    <t>WR - Grants and contributions - capital expenditure - non price control - real</t>
  </si>
  <si>
    <t>PR19GC0067</t>
  </si>
  <si>
    <t>WR - Grants and contributions net of income offset - operational expenditure - price control - real</t>
  </si>
  <si>
    <t>PR19GC0008</t>
  </si>
  <si>
    <t>WR - Grants and contributions - operational expenditure - non price control - real</t>
  </si>
  <si>
    <t>PR19GC0069</t>
  </si>
  <si>
    <t>WWN - Grants and contributions net of income offset - capital expenditure - price control - real</t>
  </si>
  <si>
    <t>PR19GC0010</t>
  </si>
  <si>
    <t>WWN - Grants and contributions - capital expenditure - non price control - real</t>
  </si>
  <si>
    <t>PR19GC0071</t>
  </si>
  <si>
    <t>WWN - Grants and contributions net of income offset - operational expenditure - price control - real</t>
  </si>
  <si>
    <t>PR19GC0012</t>
  </si>
  <si>
    <t>WWN - Grants and contributions - operational expenditure - non price control - real</t>
  </si>
  <si>
    <t>Water resources Net Opex</t>
  </si>
  <si>
    <t>Water resources Net Capex</t>
  </si>
  <si>
    <t>Water Network</t>
  </si>
  <si>
    <t>Water network Net Opex</t>
  </si>
  <si>
    <t>Water network Net Capex</t>
  </si>
  <si>
    <t>Draft determination totex</t>
  </si>
  <si>
    <t>Final determination totex</t>
  </si>
  <si>
    <t>Water totex</t>
  </si>
  <si>
    <t>Total</t>
  </si>
  <si>
    <t>Water resources operating expenditure (amount for totex CR) (post override) - real</t>
  </si>
  <si>
    <t>Capital Expenditure (excluding Atypical expenditure) - Total gross capital expenditure - Water resources</t>
  </si>
  <si>
    <t>Water resources capex grants and contributions - real</t>
  </si>
  <si>
    <t>Water resources opex grants and contributions - real</t>
  </si>
  <si>
    <t>Net Totex</t>
  </si>
  <si>
    <t>Net Opex</t>
  </si>
  <si>
    <t>Net capex</t>
  </si>
  <si>
    <t>Water network totex</t>
  </si>
  <si>
    <t>Water network operating expenditure (amount for totex CR) (post override) - real</t>
  </si>
  <si>
    <t>Total gross capital expenditure - WN - real</t>
  </si>
  <si>
    <t xml:space="preserve">Water network plus capex grants and contributions </t>
  </si>
  <si>
    <t xml:space="preserve">Water network plus opex grants and contributions </t>
  </si>
  <si>
    <t>PAYG - Water Resources</t>
  </si>
  <si>
    <t>Total Opex</t>
  </si>
  <si>
    <t>Opex as a percentage of totex</t>
  </si>
  <si>
    <t>Draft determination natural rate</t>
  </si>
  <si>
    <t>PAYG as a percentage of opex rate</t>
  </si>
  <si>
    <t>Calculated capitalised IRE</t>
  </si>
  <si>
    <t>PAYG - Water Network Plus</t>
  </si>
  <si>
    <t>Total calculated capitalised IRE</t>
  </si>
  <si>
    <t>C_WR40019</t>
  </si>
  <si>
    <t>%</t>
  </si>
  <si>
    <t>C_WN40019</t>
  </si>
  <si>
    <t>C_WWN60019</t>
  </si>
  <si>
    <t>Total PAYG rate ~ wastewater network plus</t>
  </si>
  <si>
    <t>C_BR50019</t>
  </si>
  <si>
    <t>Total PAYG rate ~ bio resources</t>
  </si>
  <si>
    <t>C_DMMY60019</t>
  </si>
  <si>
    <t xml:space="preserve">Total PAYG rate ~ dummy </t>
  </si>
  <si>
    <t>£M</t>
  </si>
  <si>
    <t>PR19QA_RR002_OUT_1</t>
  </si>
  <si>
    <t>Date &amp; Time for Model PR19 RR002 Pay as you go (PAYG)</t>
  </si>
  <si>
    <t>text</t>
  </si>
  <si>
    <t>PR19QA_RR002_OUT_2</t>
  </si>
  <si>
    <t>Name &amp; Path of Model PR19 RR002 Pay as you go (PAYG)</t>
  </si>
  <si>
    <t>C_DUMMYCAPEXFM_PR19FM008</t>
  </si>
  <si>
    <t>Dummy - profiled total capex</t>
  </si>
  <si>
    <t>PAYG_OUT</t>
  </si>
  <si>
    <t>PR19_RR002_001</t>
  </si>
  <si>
    <t>IRE expected from totex – real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</si>
</sst>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0_-;\-* #,##0.000_-;_-* &quot;-&quot;??_-;_-@_-"/>
    <numFmt numFmtId="165" formatCode="#,##0.0000_);\(#,##0.0000\);&quot;-  &quot;;&quot; &quot;@&quot; &quot;"/>
    <numFmt numFmtId="166" formatCode="#,##0.00_);\(#,##0.00\);&quot;-  &quot;;&quot; &quot;@&quot; &quot;"/>
    <numFmt numFmtId="167" formatCode="#,##0.000_);\(#,##0.000\);&quot;-  &quot;;&quot; &quot;@&quot; &quot;"/>
    <numFmt numFmtId="168" formatCode="0.0"/>
    <numFmt numFmtId="169" formatCode="#,##0.000"/>
  </numFmts>
  <fonts count="33" x14ac:knownFonts="1">
    <font>
      <sz val="11"/>
      <color theme="1"/>
      <name val="Arial"/>
      <family val="2"/>
    </font>
    <font>
      <sz val="11"/>
      <color theme="1"/>
      <name val="Arial"/>
      <family val="2"/>
    </font>
    <font>
      <b/>
      <sz val="11"/>
      <color theme="1"/>
      <name val="Arial"/>
      <family val="2"/>
    </font>
    <font>
      <sz val="15"/>
      <color rgb="FFFFFFFF"/>
      <name val="Franklin Gothic Demi"/>
      <family val="2"/>
    </font>
    <font>
      <sz val="11"/>
      <color rgb="FF000000"/>
      <name val="Arial"/>
      <family val="2"/>
    </font>
    <font>
      <sz val="10"/>
      <color rgb="FF0078C9"/>
      <name val="Franklin Gothic Demi"/>
      <family val="2"/>
    </font>
    <font>
      <sz val="9"/>
      <color theme="1"/>
      <name val="Arial"/>
      <family val="2"/>
    </font>
    <font>
      <sz val="9"/>
      <color rgb="FF000000"/>
      <name val="Arial"/>
      <family val="2"/>
    </font>
    <font>
      <sz val="10"/>
      <color rgb="FF000000"/>
      <name val="Arial"/>
      <family val="2"/>
    </font>
    <font>
      <sz val="10"/>
      <color theme="1"/>
      <name val="Arial"/>
      <family val="2"/>
    </font>
    <font>
      <sz val="10"/>
      <name val="Arial"/>
      <family val="2"/>
    </font>
    <font>
      <sz val="10"/>
      <name val="Franklin Gothic Demi"/>
      <family val="2"/>
    </font>
    <font>
      <b/>
      <sz val="11"/>
      <color rgb="FF203764"/>
      <name val="Arial"/>
      <family val="2"/>
    </font>
    <font>
      <b/>
      <sz val="9"/>
      <color rgb="FFFF0000"/>
      <name val="Arial"/>
      <family val="2"/>
    </font>
    <font>
      <i/>
      <sz val="11"/>
      <color rgb="FF0070C0"/>
      <name val="Arial"/>
      <family val="2"/>
    </font>
    <font>
      <i/>
      <sz val="11"/>
      <name val="Arial"/>
      <family val="2"/>
    </font>
    <font>
      <i/>
      <sz val="10"/>
      <color rgb="FF0070C0"/>
      <name val="Arial"/>
      <family val="2"/>
    </font>
    <font>
      <i/>
      <sz val="9"/>
      <color rgb="FF0070C0"/>
      <name val="Arial"/>
      <family val="2"/>
    </font>
    <font>
      <i/>
      <sz val="10"/>
      <name val="Arial"/>
      <family val="2"/>
    </font>
    <font>
      <i/>
      <sz val="9"/>
      <name val="Arial"/>
      <family val="2"/>
    </font>
    <font>
      <b/>
      <i/>
      <sz val="9"/>
      <color rgb="FFFF0000"/>
      <name val="Arial"/>
      <family val="2"/>
    </font>
    <font>
      <i/>
      <sz val="9"/>
      <color rgb="FFFF0000"/>
      <name val="Arial"/>
      <family val="2"/>
    </font>
    <font>
      <b/>
      <sz val="10"/>
      <color theme="1"/>
      <name val="Arial"/>
      <family val="2"/>
    </font>
    <font>
      <b/>
      <sz val="10"/>
      <color rgb="FF0000FF"/>
      <name val="Arial"/>
      <family val="2"/>
    </font>
    <font>
      <sz val="10"/>
      <color rgb="FF0000FF"/>
      <name val="Arial"/>
      <family val="2"/>
    </font>
    <font>
      <sz val="10"/>
      <color rgb="FFFF0000"/>
      <name val="Arial"/>
      <family val="2"/>
    </font>
    <font>
      <sz val="11"/>
      <color rgb="FF0000FF"/>
      <name val="Arial"/>
      <family val="2"/>
    </font>
    <font>
      <sz val="12"/>
      <color rgb="FF0078C9"/>
      <name val="Franklin Gothic Demi"/>
      <family val="2"/>
    </font>
    <font>
      <sz val="11"/>
      <name val="Arial"/>
      <family val="2"/>
    </font>
    <font>
      <sz val="12"/>
      <color theme="1"/>
      <name val="Arial"/>
      <family val="2"/>
    </font>
    <font>
      <sz val="7"/>
      <color theme="1"/>
      <name val="Times New Roman"/>
      <family val="1"/>
    </font>
    <font>
      <b/>
      <sz val="12"/>
      <color theme="1"/>
      <name val="Arial"/>
      <family val="2"/>
    </font>
    <font>
      <sz val="12"/>
      <color theme="1"/>
      <name val="Symbol"/>
      <family val="1"/>
      <charset val="2"/>
    </font>
  </fonts>
  <fills count="13">
    <fill>
      <patternFill patternType="none"/>
    </fill>
    <fill>
      <patternFill patternType="gray125"/>
    </fill>
    <fill>
      <patternFill patternType="solid">
        <fgColor rgb="FF003479"/>
        <bgColor rgb="FF000000"/>
      </patternFill>
    </fill>
    <fill>
      <patternFill patternType="solid">
        <fgColor theme="0"/>
        <bgColor indexed="64"/>
      </patternFill>
    </fill>
    <fill>
      <patternFill patternType="solid">
        <fgColor rgb="FFE0DCD8"/>
        <bgColor rgb="FF000000"/>
      </patternFill>
    </fill>
    <fill>
      <patternFill patternType="solid">
        <fgColor rgb="FFFE4819"/>
        <bgColor indexed="64"/>
      </patternFill>
    </fill>
    <fill>
      <patternFill patternType="solid">
        <fgColor rgb="FFFCEABF"/>
        <bgColor rgb="FF000000"/>
      </patternFill>
    </fill>
    <fill>
      <patternFill patternType="solid">
        <fgColor rgb="FFFFFF00"/>
        <bgColor indexed="64"/>
      </patternFill>
    </fill>
    <fill>
      <patternFill patternType="solid">
        <fgColor rgb="FFBFDDF1"/>
        <bgColor rgb="FF000000"/>
      </patternFill>
    </fill>
    <fill>
      <patternFill patternType="solid">
        <fgColor rgb="FFBFDDF1"/>
        <bgColor indexed="64"/>
      </patternFill>
    </fill>
    <fill>
      <patternFill patternType="solid">
        <fgColor rgb="FF003892"/>
        <bgColor indexed="64"/>
      </patternFill>
    </fill>
    <fill>
      <patternFill patternType="solid">
        <fgColor theme="4" tint="0.59999389629810485"/>
        <bgColor rgb="FF000000"/>
      </patternFill>
    </fill>
    <fill>
      <patternFill patternType="solid">
        <fgColor theme="5" tint="0.39997558519241921"/>
        <bgColor rgb="FF000000"/>
      </patternFill>
    </fill>
  </fills>
  <borders count="26">
    <border>
      <left/>
      <right/>
      <top/>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style="medium">
        <color rgb="FF857362"/>
      </left>
      <right style="thin">
        <color rgb="FF857362"/>
      </right>
      <top style="thin">
        <color rgb="FF857362"/>
      </top>
      <bottom/>
      <diagonal/>
    </border>
    <border>
      <left/>
      <right style="thin">
        <color rgb="FF857362"/>
      </right>
      <top style="medium">
        <color rgb="FF857362"/>
      </top>
      <bottom style="thin">
        <color rgb="FF857362"/>
      </bottom>
      <diagonal/>
    </border>
    <border>
      <left/>
      <right style="thin">
        <color rgb="FF857362"/>
      </right>
      <top style="thin">
        <color rgb="FF857362"/>
      </top>
      <bottom style="medium">
        <color rgb="FF857362"/>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857362"/>
      </left>
      <right style="thin">
        <color rgb="FF857362"/>
      </right>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thin">
        <color indexed="64"/>
      </left>
      <right style="thin">
        <color indexed="64"/>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6" fillId="5" borderId="0" applyBorder="0"/>
    <xf numFmtId="0" fontId="9" fillId="9" borderId="10">
      <alignment horizontal="right" vertical="center" wrapText="1"/>
    </xf>
    <xf numFmtId="0" fontId="10" fillId="0" borderId="0"/>
    <xf numFmtId="0" fontId="10" fillId="0" borderId="0"/>
    <xf numFmtId="0" fontId="1" fillId="0" borderId="0"/>
    <xf numFmtId="165" fontId="10" fillId="0" borderId="0" applyFont="0" applyFill="0" applyBorder="0" applyProtection="0">
      <alignment vertical="top"/>
    </xf>
    <xf numFmtId="0" fontId="1" fillId="0" borderId="0"/>
  </cellStyleXfs>
  <cellXfs count="115">
    <xf numFmtId="0" fontId="0" fillId="0" borderId="0" xfId="0"/>
    <xf numFmtId="0" fontId="0" fillId="3" borderId="0" xfId="0" applyFill="1" applyAlignment="1">
      <alignment vertical="top"/>
    </xf>
    <xf numFmtId="0" fontId="12" fillId="0" borderId="0" xfId="0" applyFont="1"/>
    <xf numFmtId="0" fontId="3" fillId="2" borderId="0" xfId="3" applyFont="1" applyFill="1" applyAlignment="1">
      <alignment vertical="center"/>
    </xf>
    <xf numFmtId="0" fontId="4" fillId="3" borderId="0" xfId="3" applyFont="1" applyFill="1" applyAlignment="1">
      <alignment vertical="center"/>
    </xf>
    <xf numFmtId="164" fontId="4" fillId="3" borderId="0" xfId="1" applyNumberFormat="1" applyFont="1" applyFill="1" applyAlignment="1">
      <alignment vertical="center"/>
    </xf>
    <xf numFmtId="0" fontId="5" fillId="4" borderId="4" xfId="3" applyFont="1" applyFill="1" applyBorder="1" applyAlignment="1">
      <alignment horizontal="left" vertical="center"/>
    </xf>
    <xf numFmtId="164" fontId="5" fillId="4" borderId="1" xfId="1" applyNumberFormat="1" applyFont="1" applyFill="1" applyBorder="1" applyAlignment="1">
      <alignment horizontal="center" vertical="center"/>
    </xf>
    <xf numFmtId="164" fontId="5" fillId="4" borderId="2" xfId="1" applyNumberFormat="1" applyFont="1" applyFill="1" applyBorder="1" applyAlignment="1">
      <alignment horizontal="center" vertical="center"/>
    </xf>
    <xf numFmtId="2" fontId="4" fillId="3" borderId="0" xfId="3" applyNumberFormat="1" applyFont="1" applyFill="1" applyAlignment="1">
      <alignment vertical="center"/>
    </xf>
    <xf numFmtId="0" fontId="7" fillId="0" borderId="5" xfId="3" applyFont="1" applyBorder="1" applyAlignment="1">
      <alignment horizontal="left" vertical="center"/>
    </xf>
    <xf numFmtId="0" fontId="7" fillId="0" borderId="11" xfId="3" applyFont="1" applyBorder="1" applyAlignment="1">
      <alignment horizontal="left" vertical="center"/>
    </xf>
    <xf numFmtId="0" fontId="4" fillId="3" borderId="0" xfId="3" applyFont="1" applyFill="1" applyAlignment="1">
      <alignment horizontal="left" vertical="center"/>
    </xf>
    <xf numFmtId="164" fontId="0" fillId="0" borderId="0" xfId="1" applyNumberFormat="1" applyFont="1"/>
    <xf numFmtId="0" fontId="11" fillId="4" borderId="4" xfId="3" applyFont="1" applyFill="1" applyBorder="1" applyAlignment="1">
      <alignment horizontal="left" vertical="center"/>
    </xf>
    <xf numFmtId="0" fontId="5" fillId="4" borderId="3" xfId="3" applyFont="1" applyFill="1" applyBorder="1" applyAlignment="1">
      <alignment vertical="center"/>
    </xf>
    <xf numFmtId="0" fontId="8" fillId="0" borderId="5" xfId="3" applyFont="1" applyBorder="1" applyAlignment="1">
      <alignment vertical="center"/>
    </xf>
    <xf numFmtId="164" fontId="7" fillId="6" borderId="16" xfId="1" applyNumberFormat="1" applyFont="1" applyFill="1" applyBorder="1" applyAlignment="1" applyProtection="1">
      <alignment vertical="center"/>
      <protection locked="0"/>
    </xf>
    <xf numFmtId="164" fontId="7" fillId="6" borderId="7" xfId="1" applyNumberFormat="1" applyFont="1" applyFill="1" applyBorder="1" applyAlignment="1" applyProtection="1">
      <alignment vertical="center"/>
      <protection locked="0"/>
    </xf>
    <xf numFmtId="0" fontId="14" fillId="3" borderId="0" xfId="0" applyFont="1" applyFill="1" applyAlignment="1">
      <alignment vertical="top"/>
    </xf>
    <xf numFmtId="0" fontId="15" fillId="3" borderId="0" xfId="0" applyFont="1" applyFill="1" applyAlignment="1">
      <alignment vertical="top"/>
    </xf>
    <xf numFmtId="0" fontId="8" fillId="0" borderId="14" xfId="3" applyFont="1" applyBorder="1" applyAlignment="1">
      <alignment vertical="center"/>
    </xf>
    <xf numFmtId="10" fontId="7" fillId="8" borderId="17" xfId="2" applyNumberFormat="1" applyFont="1" applyFill="1" applyBorder="1" applyAlignment="1">
      <alignment vertical="center"/>
    </xf>
    <xf numFmtId="10" fontId="7" fillId="8" borderId="13" xfId="2" applyNumberFormat="1" applyFont="1" applyFill="1" applyBorder="1" applyAlignment="1">
      <alignment vertical="center"/>
    </xf>
    <xf numFmtId="0" fontId="16" fillId="0" borderId="0" xfId="3" applyFont="1" applyAlignment="1">
      <alignment vertical="center"/>
    </xf>
    <xf numFmtId="10" fontId="17" fillId="3" borderId="0" xfId="2" applyNumberFormat="1" applyFont="1" applyFill="1" applyAlignment="1">
      <alignment vertical="center"/>
    </xf>
    <xf numFmtId="0" fontId="18" fillId="0" borderId="8" xfId="3" applyFont="1" applyBorder="1" applyAlignment="1">
      <alignment vertical="center"/>
    </xf>
    <xf numFmtId="10" fontId="19" fillId="3" borderId="6" xfId="2" applyNumberFormat="1" applyFont="1" applyFill="1" applyBorder="1" applyAlignment="1">
      <alignment vertical="center"/>
    </xf>
    <xf numFmtId="10" fontId="19" fillId="3" borderId="7" xfId="2" applyNumberFormat="1" applyFont="1" applyFill="1" applyBorder="1" applyAlignment="1">
      <alignment vertical="center"/>
    </xf>
    <xf numFmtId="10" fontId="20" fillId="3" borderId="6" xfId="2" applyNumberFormat="1" applyFont="1" applyFill="1" applyBorder="1" applyAlignment="1">
      <alignment vertical="center"/>
    </xf>
    <xf numFmtId="10" fontId="20" fillId="3" borderId="7" xfId="2" applyNumberFormat="1" applyFont="1" applyFill="1" applyBorder="1" applyAlignment="1">
      <alignment vertical="center"/>
    </xf>
    <xf numFmtId="0" fontId="18" fillId="0" borderId="11" xfId="3" applyFont="1" applyBorder="1" applyAlignment="1">
      <alignment vertical="center"/>
    </xf>
    <xf numFmtId="10" fontId="21" fillId="3" borderId="12" xfId="2" applyNumberFormat="1" applyFont="1" applyFill="1" applyBorder="1" applyAlignment="1">
      <alignment vertical="center"/>
    </xf>
    <xf numFmtId="10" fontId="21" fillId="3" borderId="13" xfId="2" applyNumberFormat="1" applyFont="1" applyFill="1" applyBorder="1" applyAlignment="1">
      <alignment vertical="center"/>
    </xf>
    <xf numFmtId="10" fontId="19" fillId="3" borderId="12" xfId="2" applyNumberFormat="1" applyFont="1" applyFill="1" applyBorder="1" applyAlignment="1">
      <alignment vertical="center"/>
    </xf>
    <xf numFmtId="10" fontId="19" fillId="3" borderId="13" xfId="2" applyNumberFormat="1" applyFont="1" applyFill="1" applyBorder="1" applyAlignment="1">
      <alignment vertical="center"/>
    </xf>
    <xf numFmtId="9" fontId="17" fillId="3" borderId="0" xfId="2" applyFont="1" applyFill="1" applyAlignment="1">
      <alignment vertical="center"/>
    </xf>
    <xf numFmtId="0" fontId="8" fillId="3" borderId="0" xfId="3" applyFont="1" applyFill="1" applyAlignment="1">
      <alignment vertical="center"/>
    </xf>
    <xf numFmtId="0" fontId="2" fillId="0" borderId="0" xfId="0" applyFont="1"/>
    <xf numFmtId="1" fontId="9" fillId="0" borderId="18" xfId="0" applyNumberFormat="1" applyFont="1" applyBorder="1" applyAlignment="1">
      <alignment horizontal="center" vertical="top"/>
    </xf>
    <xf numFmtId="0" fontId="9" fillId="0" borderId="0" xfId="0" applyFont="1" applyAlignment="1">
      <alignment horizontal="center"/>
    </xf>
    <xf numFmtId="0" fontId="22" fillId="0" borderId="0" xfId="7" applyFont="1" applyAlignment="1" applyProtection="1"/>
    <xf numFmtId="0" fontId="22" fillId="10" borderId="0" xfId="7" applyFont="1" applyFill="1" applyAlignment="1"/>
    <xf numFmtId="0" fontId="9" fillId="0" borderId="18" xfId="0" applyFont="1" applyBorder="1" applyAlignment="1">
      <alignment horizontal="center"/>
    </xf>
    <xf numFmtId="0" fontId="23" fillId="0" borderId="0" xfId="0" applyFont="1" applyAlignment="1">
      <alignment vertical="top"/>
    </xf>
    <xf numFmtId="0" fontId="23" fillId="10" borderId="0" xfId="7" applyFont="1" applyFill="1" applyAlignment="1"/>
    <xf numFmtId="0" fontId="22" fillId="0" borderId="0" xfId="7" applyFont="1" applyAlignment="1"/>
    <xf numFmtId="0" fontId="10" fillId="0" borderId="0" xfId="7" applyAlignment="1"/>
    <xf numFmtId="0" fontId="9" fillId="0" borderId="0" xfId="0" applyFont="1" applyBorder="1" applyAlignment="1">
      <alignment horizontal="center"/>
    </xf>
    <xf numFmtId="0" fontId="9" fillId="0" borderId="0" xfId="7" applyFont="1" applyAlignment="1" applyProtection="1"/>
    <xf numFmtId="0" fontId="9" fillId="10" borderId="0" xfId="7" applyFont="1" applyFill="1" applyAlignment="1"/>
    <xf numFmtId="166" fontId="24" fillId="0" borderId="0" xfId="10" applyNumberFormat="1" applyFont="1">
      <alignment vertical="top"/>
    </xf>
    <xf numFmtId="0" fontId="24" fillId="0" borderId="0" xfId="7" applyFont="1" applyAlignment="1"/>
    <xf numFmtId="0" fontId="24" fillId="10" borderId="0" xfId="7" applyFont="1" applyFill="1" applyAlignment="1"/>
    <xf numFmtId="166" fontId="24" fillId="0" borderId="0" xfId="10" applyNumberFormat="1" applyFont="1" applyAlignment="1">
      <alignment horizontal="center" vertical="top"/>
    </xf>
    <xf numFmtId="167" fontId="10" fillId="0" borderId="0" xfId="0" applyNumberFormat="1" applyFont="1" applyAlignment="1">
      <alignment vertical="top"/>
    </xf>
    <xf numFmtId="166" fontId="24" fillId="7" borderId="0" xfId="10" applyNumberFormat="1" applyFont="1" applyFill="1">
      <alignment vertical="top"/>
    </xf>
    <xf numFmtId="166" fontId="10" fillId="0" borderId="0" xfId="10" applyNumberFormat="1" applyFont="1">
      <alignment vertical="top"/>
    </xf>
    <xf numFmtId="166" fontId="10" fillId="0" borderId="0" xfId="10" applyNumberFormat="1" applyFont="1" applyAlignment="1">
      <alignment horizontal="center" vertical="top"/>
    </xf>
    <xf numFmtId="166" fontId="23" fillId="0" borderId="0" xfId="10" applyNumberFormat="1" applyFont="1">
      <alignment vertical="top"/>
    </xf>
    <xf numFmtId="166" fontId="23" fillId="0" borderId="0" xfId="10" applyNumberFormat="1" applyFont="1" applyAlignment="1">
      <alignment horizontal="center" vertical="top"/>
    </xf>
    <xf numFmtId="166" fontId="25" fillId="0" borderId="0" xfId="10" applyNumberFormat="1" applyFont="1">
      <alignment vertical="top"/>
    </xf>
    <xf numFmtId="0" fontId="10" fillId="0" borderId="0" xfId="11" applyFont="1" applyFill="1" applyBorder="1" applyAlignment="1">
      <alignment vertical="top"/>
    </xf>
    <xf numFmtId="0" fontId="26" fillId="0" borderId="0" xfId="0" applyFont="1"/>
    <xf numFmtId="168" fontId="0" fillId="0" borderId="0" xfId="0" applyNumberFormat="1"/>
    <xf numFmtId="169" fontId="0" fillId="0" borderId="0" xfId="0" applyNumberFormat="1"/>
    <xf numFmtId="1" fontId="9" fillId="0" borderId="0" xfId="0" applyNumberFormat="1" applyFont="1" applyBorder="1" applyAlignment="1">
      <alignment horizontal="center" vertical="top"/>
    </xf>
    <xf numFmtId="166" fontId="10" fillId="0" borderId="19" xfId="10" applyNumberFormat="1" applyFont="1" applyBorder="1" applyAlignment="1">
      <alignment horizontal="center" vertical="top"/>
    </xf>
    <xf numFmtId="166" fontId="10" fillId="0" borderId="20" xfId="10" applyNumberFormat="1" applyFont="1" applyBorder="1" applyAlignment="1">
      <alignment horizontal="center" vertical="top"/>
    </xf>
    <xf numFmtId="166" fontId="10" fillId="0" borderId="21" xfId="10" applyNumberFormat="1" applyFont="1" applyBorder="1" applyAlignment="1">
      <alignment horizontal="center" vertical="top"/>
    </xf>
    <xf numFmtId="0" fontId="7" fillId="0" borderId="22" xfId="3" applyFont="1" applyBorder="1" applyAlignment="1">
      <alignment horizontal="left" vertical="center"/>
    </xf>
    <xf numFmtId="10" fontId="7" fillId="6" borderId="15" xfId="3" applyNumberFormat="1" applyFont="1" applyFill="1" applyBorder="1" applyAlignment="1" applyProtection="1">
      <alignment horizontal="center" vertical="center"/>
      <protection locked="0"/>
    </xf>
    <xf numFmtId="0" fontId="0" fillId="3" borderId="0" xfId="0" applyFill="1" applyAlignment="1">
      <alignment horizontal="center" vertical="top"/>
    </xf>
    <xf numFmtId="10" fontId="7" fillId="6" borderId="23" xfId="3" applyNumberFormat="1" applyFont="1" applyFill="1" applyBorder="1" applyAlignment="1" applyProtection="1">
      <alignment horizontal="center" vertical="center"/>
      <protection locked="0"/>
    </xf>
    <xf numFmtId="10" fontId="7" fillId="6" borderId="24" xfId="3" applyNumberFormat="1" applyFont="1" applyFill="1" applyBorder="1" applyAlignment="1" applyProtection="1">
      <alignment horizontal="center" vertical="center"/>
      <protection locked="0"/>
    </xf>
    <xf numFmtId="43" fontId="7" fillId="6" borderId="8" xfId="1" applyFont="1" applyFill="1" applyBorder="1" applyAlignment="1" applyProtection="1">
      <alignment horizontal="center" vertical="center"/>
      <protection locked="0"/>
    </xf>
    <xf numFmtId="43" fontId="7" fillId="6" borderId="9" xfId="1" applyFont="1" applyFill="1" applyBorder="1" applyAlignment="1" applyProtection="1">
      <alignment horizontal="center" vertical="center"/>
      <protection locked="0"/>
    </xf>
    <xf numFmtId="164" fontId="27" fillId="4" borderId="2" xfId="1" applyNumberFormat="1" applyFont="1" applyFill="1" applyBorder="1" applyAlignment="1">
      <alignment horizontal="left" vertical="center"/>
    </xf>
    <xf numFmtId="0" fontId="28" fillId="0" borderId="0" xfId="11" applyFont="1" applyFill="1" applyBorder="1" applyAlignment="1">
      <alignment vertical="top"/>
    </xf>
    <xf numFmtId="0" fontId="28" fillId="0" borderId="0" xfId="11" applyFont="1" applyFill="1" applyBorder="1" applyAlignment="1">
      <alignment vertical="top" wrapText="1"/>
    </xf>
    <xf numFmtId="0" fontId="9" fillId="0" borderId="0" xfId="11" applyFont="1" applyFill="1" applyBorder="1" applyAlignment="1">
      <alignment vertical="top"/>
    </xf>
    <xf numFmtId="0" fontId="9" fillId="0" borderId="0" xfId="0" applyFont="1"/>
    <xf numFmtId="0" fontId="4" fillId="0" borderId="0" xfId="0" applyFont="1"/>
    <xf numFmtId="0" fontId="10" fillId="0" borderId="0" xfId="7" applyFont="1" applyFill="1" applyAlignment="1">
      <alignment vertical="top"/>
    </xf>
    <xf numFmtId="166" fontId="10" fillId="0" borderId="0" xfId="10" applyNumberFormat="1" applyFill="1">
      <alignment vertical="top"/>
    </xf>
    <xf numFmtId="14" fontId="0" fillId="0" borderId="0" xfId="0" applyNumberFormat="1" applyAlignment="1">
      <alignment vertical="top"/>
    </xf>
    <xf numFmtId="43" fontId="7" fillId="11" borderId="8" xfId="1" applyFont="1" applyFill="1" applyBorder="1" applyAlignment="1" applyProtection="1">
      <alignment horizontal="center" vertical="center"/>
      <protection locked="0"/>
    </xf>
    <xf numFmtId="2" fontId="4" fillId="3" borderId="0" xfId="3" applyNumberFormat="1" applyFont="1" applyFill="1" applyAlignment="1">
      <alignment horizontal="center" vertical="center"/>
    </xf>
    <xf numFmtId="43" fontId="7" fillId="11" borderId="9" xfId="1" applyFont="1" applyFill="1" applyBorder="1" applyAlignment="1" applyProtection="1">
      <alignment horizontal="center" vertical="center"/>
      <protection locked="0"/>
    </xf>
    <xf numFmtId="164" fontId="0" fillId="0" borderId="0" xfId="1" applyNumberFormat="1" applyFont="1" applyAlignment="1">
      <alignment horizontal="center"/>
    </xf>
    <xf numFmtId="0" fontId="0" fillId="0" borderId="25" xfId="0" applyBorder="1" applyAlignment="1">
      <alignment horizontal="center"/>
    </xf>
    <xf numFmtId="164" fontId="6" fillId="0" borderId="0" xfId="1" applyNumberFormat="1" applyFont="1" applyAlignment="1">
      <alignment horizontal="center"/>
    </xf>
    <xf numFmtId="164" fontId="6" fillId="0" borderId="25" xfId="1" applyNumberFormat="1" applyFont="1" applyBorder="1" applyAlignment="1">
      <alignment horizontal="center"/>
    </xf>
    <xf numFmtId="9" fontId="7" fillId="12" borderId="8" xfId="2" applyFont="1" applyFill="1" applyBorder="1" applyAlignment="1" applyProtection="1">
      <alignment horizontal="center" vertical="center"/>
      <protection locked="0"/>
    </xf>
    <xf numFmtId="10" fontId="7" fillId="6" borderId="8" xfId="3" applyNumberFormat="1" applyFont="1" applyFill="1" applyBorder="1" applyAlignment="1" applyProtection="1">
      <alignment horizontal="center" vertical="center"/>
      <protection locked="0"/>
    </xf>
    <xf numFmtId="10" fontId="7" fillId="6" borderId="9" xfId="3" applyNumberFormat="1" applyFont="1" applyFill="1" applyBorder="1" applyAlignment="1" applyProtection="1">
      <alignment horizontal="center" vertical="center"/>
      <protection locked="0"/>
    </xf>
    <xf numFmtId="10" fontId="7" fillId="8" borderId="11" xfId="3" applyNumberFormat="1" applyFont="1" applyFill="1" applyBorder="1" applyAlignment="1">
      <alignment horizontal="center" vertical="center"/>
    </xf>
    <xf numFmtId="10" fontId="7" fillId="8" borderId="12" xfId="3" applyNumberFormat="1" applyFont="1" applyFill="1" applyBorder="1" applyAlignment="1">
      <alignment horizontal="center" vertical="center"/>
    </xf>
    <xf numFmtId="10" fontId="7" fillId="8" borderId="13" xfId="3" applyNumberFormat="1" applyFont="1" applyFill="1" applyBorder="1" applyAlignment="1">
      <alignment horizontal="center" vertical="center"/>
    </xf>
    <xf numFmtId="10" fontId="13" fillId="8" borderId="11" xfId="3" applyNumberFormat="1" applyFont="1" applyFill="1" applyBorder="1" applyAlignment="1">
      <alignment horizontal="center" vertical="center"/>
    </xf>
    <xf numFmtId="164" fontId="4" fillId="3" borderId="0" xfId="1" applyNumberFormat="1" applyFont="1" applyFill="1" applyAlignment="1">
      <alignment horizontal="center" vertical="center"/>
    </xf>
    <xf numFmtId="0" fontId="29" fillId="0" borderId="0" xfId="0" applyFont="1" applyAlignment="1">
      <alignment horizontal="left" vertical="center" indent="4"/>
    </xf>
    <xf numFmtId="0" fontId="31" fillId="0" borderId="0" xfId="0" applyFont="1" applyAlignment="1">
      <alignment horizontal="left" vertical="center" indent="4"/>
    </xf>
    <xf numFmtId="0" fontId="29" fillId="0" borderId="0" xfId="0" applyFont="1" applyAlignment="1">
      <alignment vertical="center"/>
    </xf>
    <xf numFmtId="0" fontId="29" fillId="7" borderId="0" xfId="0" applyFont="1" applyFill="1" applyAlignment="1">
      <alignment vertical="center"/>
    </xf>
    <xf numFmtId="0" fontId="0" fillId="7" borderId="0" xfId="0" applyFill="1"/>
    <xf numFmtId="0" fontId="29" fillId="0" borderId="0" xfId="0" applyFont="1" applyAlignment="1">
      <alignment horizontal="left" vertical="top"/>
    </xf>
    <xf numFmtId="0" fontId="29" fillId="7" borderId="0" xfId="0" applyFont="1" applyFill="1" applyAlignment="1">
      <alignment horizontal="left" vertical="top"/>
    </xf>
    <xf numFmtId="0" fontId="32" fillId="0" borderId="0" xfId="0" applyFont="1" applyAlignment="1">
      <alignment horizontal="left" vertical="center" indent="8"/>
    </xf>
    <xf numFmtId="10" fontId="9" fillId="0" borderId="0" xfId="0" applyNumberFormat="1" applyFont="1"/>
    <xf numFmtId="10" fontId="0" fillId="0" borderId="0" xfId="0" applyNumberFormat="1"/>
    <xf numFmtId="43" fontId="9" fillId="0" borderId="0" xfId="1" applyFont="1"/>
    <xf numFmtId="43" fontId="0" fillId="0" borderId="0" xfId="0" applyNumberFormat="1"/>
    <xf numFmtId="164" fontId="3" fillId="2" borderId="0" xfId="1" applyNumberFormat="1" applyFont="1" applyFill="1" applyAlignment="1">
      <alignment horizontal="center" vertical="center"/>
    </xf>
    <xf numFmtId="164" fontId="3" fillId="2" borderId="0" xfId="1" quotePrefix="1" applyNumberFormat="1" applyFont="1" applyFill="1" applyAlignment="1">
      <alignment horizontal="center" vertical="center"/>
    </xf>
  </cellXfs>
  <cellStyles count="12">
    <cellStyle name="Comma" xfId="1" builtinId="3"/>
    <cellStyle name="Factor" xfId="10"/>
    <cellStyle name="Normal" xfId="0" builtinId="0"/>
    <cellStyle name="Normal 2" xfId="7"/>
    <cellStyle name="Normal 2 2" xfId="8"/>
    <cellStyle name="Normal 2 3" xfId="4"/>
    <cellStyle name="Normal 2 4 2" xfId="11"/>
    <cellStyle name="Normal 3 2" xfId="3"/>
    <cellStyle name="Normal 4 2" xfId="9"/>
    <cellStyle name="OfwatCalculation" xfId="6"/>
    <cellStyle name="Percent" xfId="2" builtinId="5"/>
    <cellStyle name="Validation error"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425779</xdr:colOff>
      <xdr:row>2</xdr:row>
      <xdr:rowOff>66675</xdr:rowOff>
    </xdr:from>
    <xdr:to>
      <xdr:col>5</xdr:col>
      <xdr:colOff>597723</xdr:colOff>
      <xdr:row>22</xdr:row>
      <xdr:rowOff>158750</xdr:rowOff>
    </xdr:to>
    <xdr:grpSp>
      <xdr:nvGrpSpPr>
        <xdr:cNvPr id="15" name="Group 14">
          <a:extLst>
            <a:ext uri="{FF2B5EF4-FFF2-40B4-BE49-F238E27FC236}">
              <a16:creationId xmlns:a16="http://schemas.microsoft.com/office/drawing/2014/main" xmlns="" id="{00000000-0008-0000-0000-000004000000}"/>
            </a:ext>
          </a:extLst>
        </xdr:cNvPr>
        <xdr:cNvGrpSpPr/>
      </xdr:nvGrpSpPr>
      <xdr:grpSpPr>
        <a:xfrm>
          <a:off x="1086179" y="422275"/>
          <a:ext cx="2813544" cy="3648075"/>
          <a:chOff x="950026" y="16903"/>
          <a:chExt cx="2220686" cy="3236845"/>
        </a:xfrm>
      </xdr:grpSpPr>
      <xdr:sp macro="" textlink="">
        <xdr:nvSpPr>
          <xdr:cNvPr id="16" name="Rounded Rectangle 15">
            <a:extLst>
              <a:ext uri="{FF2B5EF4-FFF2-40B4-BE49-F238E27FC236}">
                <a16:creationId xmlns:a16="http://schemas.microsoft.com/office/drawing/2014/main" xmlns="" id="{00000000-0008-0000-0000-000005000000}"/>
              </a:ext>
            </a:extLst>
          </xdr:cNvPr>
          <xdr:cNvSpPr/>
        </xdr:nvSpPr>
        <xdr:spPr>
          <a:xfrm>
            <a:off x="1072558" y="16903"/>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1. Final determination totex  </a:t>
            </a:r>
          </a:p>
        </xdr:txBody>
      </xdr:sp>
      <xdr:sp macro="" textlink="">
        <xdr:nvSpPr>
          <xdr:cNvPr id="17" name="Rounded Rectangle 16">
            <a:extLst>
              <a:ext uri="{FF2B5EF4-FFF2-40B4-BE49-F238E27FC236}">
                <a16:creationId xmlns:a16="http://schemas.microsoft.com/office/drawing/2014/main" xmlns="" id="{00000000-0008-0000-0000-000006000000}"/>
              </a:ext>
            </a:extLst>
          </xdr:cNvPr>
          <xdr:cNvSpPr/>
        </xdr:nvSpPr>
        <xdr:spPr>
          <a:xfrm>
            <a:off x="1099070" y="1140032"/>
            <a:ext cx="1923415" cy="40322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2. Calculation </a:t>
            </a:r>
          </a:p>
        </xdr:txBody>
      </xdr:sp>
      <xdr:sp macro="" textlink="">
        <xdr:nvSpPr>
          <xdr:cNvPr id="18" name="Rounded Rectangle 17">
            <a:extLst>
              <a:ext uri="{FF2B5EF4-FFF2-40B4-BE49-F238E27FC236}">
                <a16:creationId xmlns:a16="http://schemas.microsoft.com/office/drawing/2014/main" xmlns="" id="{00000000-0008-0000-0000-000007000000}"/>
              </a:ext>
            </a:extLst>
          </xdr:cNvPr>
          <xdr:cNvSpPr/>
        </xdr:nvSpPr>
        <xdr:spPr>
          <a:xfrm>
            <a:off x="1098880" y="2006930"/>
            <a:ext cx="1923415"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3. PAYG</a:t>
            </a:r>
          </a:p>
        </xdr:txBody>
      </xdr:sp>
      <xdr:cxnSp macro="">
        <xdr:nvCxnSpPr>
          <xdr:cNvPr id="19" name="Straight Arrow Connector 18">
            <a:extLst>
              <a:ext uri="{FF2B5EF4-FFF2-40B4-BE49-F238E27FC236}">
                <a16:creationId xmlns:a16="http://schemas.microsoft.com/office/drawing/2014/main" xmlns="" id="{00000000-0008-0000-0000-000009000000}"/>
              </a:ext>
            </a:extLst>
          </xdr:cNvPr>
          <xdr:cNvCxnSpPr/>
        </xdr:nvCxnSpPr>
        <xdr:spPr>
          <a:xfrm>
            <a:off x="2046298" y="682528"/>
            <a:ext cx="0" cy="451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xmlns="" id="{00000000-0008-0000-0000-00000B000000}"/>
              </a:ext>
            </a:extLst>
          </xdr:cNvPr>
          <xdr:cNvCxnSpPr>
            <a:stCxn id="17" idx="2"/>
          </xdr:cNvCxnSpPr>
        </xdr:nvCxnSpPr>
        <xdr:spPr>
          <a:xfrm flipH="1">
            <a:off x="2060587" y="1543257"/>
            <a:ext cx="191" cy="463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1" name="Rounded Rectangle 20">
            <a:extLst>
              <a:ext uri="{FF2B5EF4-FFF2-40B4-BE49-F238E27FC236}">
                <a16:creationId xmlns:a16="http://schemas.microsoft.com/office/drawing/2014/main" xmlns="" id="{00000000-0008-0000-0000-00000D000000}"/>
              </a:ext>
            </a:extLst>
          </xdr:cNvPr>
          <xdr:cNvSpPr/>
        </xdr:nvSpPr>
        <xdr:spPr>
          <a:xfrm>
            <a:off x="950026" y="2897513"/>
            <a:ext cx="2220686"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4. PAYG summary tables</a:t>
            </a:r>
          </a:p>
        </xdr:txBody>
      </xdr:sp>
      <xdr:cxnSp macro="">
        <xdr:nvCxnSpPr>
          <xdr:cNvPr id="22" name="Straight Arrow Connector 21">
            <a:extLst>
              <a:ext uri="{FF2B5EF4-FFF2-40B4-BE49-F238E27FC236}">
                <a16:creationId xmlns:a16="http://schemas.microsoft.com/office/drawing/2014/main" xmlns="" id="{00000000-0008-0000-0000-00000E000000}"/>
              </a:ext>
            </a:extLst>
          </xdr:cNvPr>
          <xdr:cNvCxnSpPr>
            <a:stCxn id="18" idx="2"/>
            <a:endCxn id="21" idx="0"/>
          </xdr:cNvCxnSpPr>
        </xdr:nvCxnSpPr>
        <xdr:spPr>
          <a:xfrm flipH="1">
            <a:off x="2060369" y="2363165"/>
            <a:ext cx="219" cy="534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66"/>
  <sheetViews>
    <sheetView tabSelected="1" workbookViewId="0"/>
  </sheetViews>
  <sheetFormatPr defaultRowHeight="14" x14ac:dyDescent="0.3"/>
  <sheetData>
    <row r="1" spans="1:1" x14ac:dyDescent="0.3">
      <c r="A1" s="2"/>
    </row>
    <row r="7" spans="1:1" x14ac:dyDescent="0.3">
      <c r="A7" s="2"/>
    </row>
    <row r="12" spans="1:1" x14ac:dyDescent="0.3">
      <c r="A12" s="2"/>
    </row>
    <row r="17" spans="1:2" x14ac:dyDescent="0.3">
      <c r="A17" s="2"/>
    </row>
    <row r="22" spans="1:2" x14ac:dyDescent="0.3">
      <c r="A22" s="2"/>
    </row>
    <row r="26" spans="1:2" x14ac:dyDescent="0.3">
      <c r="A26" s="2"/>
    </row>
    <row r="27" spans="1:2" ht="15.5" x14ac:dyDescent="0.3">
      <c r="A27" s="101" t="s">
        <v>0</v>
      </c>
    </row>
    <row r="28" spans="1:2" ht="15.5" x14ac:dyDescent="0.3">
      <c r="A28" s="101"/>
    </row>
    <row r="29" spans="1:2" ht="15.5" x14ac:dyDescent="0.3">
      <c r="A29" s="101" t="s">
        <v>1</v>
      </c>
    </row>
    <row r="30" spans="1:2" ht="15.5" x14ac:dyDescent="0.3">
      <c r="A30" s="101"/>
    </row>
    <row r="31" spans="1:2" ht="15.5" x14ac:dyDescent="0.3">
      <c r="A31" s="101" t="s">
        <v>2</v>
      </c>
    </row>
    <row r="32" spans="1:2" ht="15.5" x14ac:dyDescent="0.3">
      <c r="A32" s="101"/>
      <c r="B32" t="s">
        <v>3</v>
      </c>
    </row>
    <row r="33" spans="1:3" ht="15.5" x14ac:dyDescent="0.3">
      <c r="A33" s="101"/>
    </row>
    <row r="34" spans="1:3" ht="15.5" x14ac:dyDescent="0.3">
      <c r="A34" s="102" t="s">
        <v>4</v>
      </c>
    </row>
    <row r="35" spans="1:3" ht="15.5" x14ac:dyDescent="0.3">
      <c r="B35" s="103" t="s">
        <v>5</v>
      </c>
    </row>
    <row r="36" spans="1:3" ht="15.5" x14ac:dyDescent="0.3">
      <c r="B36" s="103" t="s">
        <v>6</v>
      </c>
    </row>
    <row r="37" spans="1:3" ht="15.5" x14ac:dyDescent="0.3">
      <c r="B37" s="103" t="s">
        <v>7</v>
      </c>
    </row>
    <row r="38" spans="1:3" ht="15.5" x14ac:dyDescent="0.3">
      <c r="B38" s="103" t="s">
        <v>8</v>
      </c>
    </row>
    <row r="39" spans="1:3" ht="15.5" x14ac:dyDescent="0.3">
      <c r="B39" s="103" t="s">
        <v>9</v>
      </c>
    </row>
    <row r="40" spans="1:3" ht="15.5" x14ac:dyDescent="0.3">
      <c r="A40" s="103"/>
    </row>
    <row r="41" spans="1:3" ht="15.5" x14ac:dyDescent="0.3">
      <c r="B41" s="104" t="s">
        <v>10</v>
      </c>
      <c r="C41" s="105"/>
    </row>
    <row r="42" spans="1:3" ht="15.5" x14ac:dyDescent="0.3">
      <c r="B42" s="104" t="s">
        <v>11</v>
      </c>
      <c r="C42" s="105"/>
    </row>
    <row r="43" spans="1:3" ht="15.5" x14ac:dyDescent="0.3">
      <c r="A43" s="103"/>
    </row>
    <row r="44" spans="1:3" ht="15.5" x14ac:dyDescent="0.3">
      <c r="A44" s="102" t="s">
        <v>12</v>
      </c>
    </row>
    <row r="45" spans="1:3" ht="15.5" x14ac:dyDescent="0.3">
      <c r="A45" s="102"/>
    </row>
    <row r="46" spans="1:3" ht="15.5" x14ac:dyDescent="0.3">
      <c r="B46" s="106" t="s">
        <v>13</v>
      </c>
    </row>
    <row r="47" spans="1:3" ht="15.5" x14ac:dyDescent="0.3">
      <c r="B47" s="106" t="s">
        <v>14</v>
      </c>
    </row>
    <row r="48" spans="1:3" ht="15.5" x14ac:dyDescent="0.3">
      <c r="B48" s="106" t="s">
        <v>15</v>
      </c>
    </row>
    <row r="49" spans="1:3" ht="15.5" x14ac:dyDescent="0.3">
      <c r="B49" s="106" t="s">
        <v>16</v>
      </c>
    </row>
    <row r="50" spans="1:3" ht="15.5" x14ac:dyDescent="0.3">
      <c r="B50" s="106" t="s">
        <v>17</v>
      </c>
    </row>
    <row r="51" spans="1:3" ht="15.5" x14ac:dyDescent="0.3">
      <c r="B51" s="106"/>
    </row>
    <row r="52" spans="1:3" ht="15.5" x14ac:dyDescent="0.3">
      <c r="B52" s="107" t="s">
        <v>18</v>
      </c>
      <c r="C52" s="105"/>
    </row>
    <row r="53" spans="1:3" ht="15.5" x14ac:dyDescent="0.3">
      <c r="B53" s="107" t="s">
        <v>19</v>
      </c>
      <c r="C53" s="105"/>
    </row>
    <row r="54" spans="1:3" ht="15.5" x14ac:dyDescent="0.3">
      <c r="B54" s="107" t="s">
        <v>20</v>
      </c>
      <c r="C54" s="105"/>
    </row>
    <row r="55" spans="1:3" ht="15.5" x14ac:dyDescent="0.3">
      <c r="A55" s="103"/>
    </row>
    <row r="56" spans="1:3" ht="15.5" x14ac:dyDescent="0.3">
      <c r="A56" s="101" t="s">
        <v>21</v>
      </c>
    </row>
    <row r="57" spans="1:3" ht="15.5" x14ac:dyDescent="0.3">
      <c r="A57" s="101"/>
    </row>
    <row r="58" spans="1:3" ht="15.5" x14ac:dyDescent="0.3">
      <c r="A58" s="108" t="s">
        <v>22</v>
      </c>
    </row>
    <row r="59" spans="1:3" ht="15.5" x14ac:dyDescent="0.3">
      <c r="A59" s="108" t="s">
        <v>23</v>
      </c>
    </row>
    <row r="60" spans="1:3" ht="15.5" x14ac:dyDescent="0.3">
      <c r="A60" s="108" t="s">
        <v>24</v>
      </c>
    </row>
    <row r="61" spans="1:3" ht="15.5" x14ac:dyDescent="0.3">
      <c r="A61" s="108" t="s">
        <v>25</v>
      </c>
    </row>
    <row r="62" spans="1:3" ht="15.5" x14ac:dyDescent="0.3">
      <c r="A62" s="108" t="s">
        <v>26</v>
      </c>
    </row>
    <row r="63" spans="1:3" ht="15.5" x14ac:dyDescent="0.3">
      <c r="A63" s="108"/>
    </row>
    <row r="64" spans="1:3" ht="15.5" x14ac:dyDescent="0.3">
      <c r="B64" s="103" t="s">
        <v>27</v>
      </c>
    </row>
    <row r="65" spans="2:2" ht="15.5" x14ac:dyDescent="0.3">
      <c r="B65" s="103" t="s">
        <v>28</v>
      </c>
    </row>
    <row r="66" spans="2:2" ht="15.5" x14ac:dyDescent="0.3">
      <c r="B66" s="103" t="s">
        <v>29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32"/>
  <sheetViews>
    <sheetView workbookViewId="0"/>
  </sheetViews>
  <sheetFormatPr defaultColWidth="0" defaultRowHeight="14" zeroHeight="1" x14ac:dyDescent="0.3"/>
  <cols>
    <col min="1" max="1" width="64" bestFit="1" customWidth="1"/>
    <col min="2" max="2" width="10.08203125" style="13" bestFit="1" customWidth="1"/>
    <col min="3" max="5" width="9" style="13" customWidth="1"/>
    <col min="6" max="6" width="9.25" style="13" bestFit="1" customWidth="1"/>
    <col min="7" max="7" width="8.58203125" customWidth="1"/>
    <col min="8" max="8" width="4.75" customWidth="1"/>
    <col min="9" max="13" width="10.5" customWidth="1"/>
    <col min="14" max="15" width="9" customWidth="1"/>
    <col min="16" max="16384" width="9" hidden="1"/>
  </cols>
  <sheetData>
    <row r="1" spans="1:14" s="1" customFormat="1" ht="20" x14ac:dyDescent="0.3">
      <c r="A1" s="3" t="s">
        <v>30</v>
      </c>
      <c r="B1" s="113" t="s">
        <v>31</v>
      </c>
      <c r="C1" s="113"/>
      <c r="D1" s="113"/>
      <c r="E1" s="113"/>
      <c r="F1" s="113"/>
      <c r="I1" s="113" t="s">
        <v>32</v>
      </c>
      <c r="J1" s="113"/>
      <c r="K1" s="113"/>
      <c r="L1" s="113"/>
      <c r="M1" s="113"/>
    </row>
    <row r="2" spans="1:14" s="1" customFormat="1" ht="14.5" thickBot="1" x14ac:dyDescent="0.35">
      <c r="A2" s="4"/>
      <c r="B2" s="5"/>
      <c r="C2" s="5"/>
      <c r="D2" s="5"/>
      <c r="E2" s="5"/>
      <c r="F2" s="5"/>
    </row>
    <row r="3" spans="1:14" s="1" customFormat="1" ht="14.5" thickBot="1" x14ac:dyDescent="0.35">
      <c r="A3" s="6" t="s">
        <v>33</v>
      </c>
      <c r="B3" s="7" t="s">
        <v>34</v>
      </c>
      <c r="C3" s="7" t="s">
        <v>35</v>
      </c>
      <c r="D3" s="7" t="s">
        <v>36</v>
      </c>
      <c r="E3" s="7" t="s">
        <v>37</v>
      </c>
      <c r="F3" s="8" t="s">
        <v>38</v>
      </c>
      <c r="G3" s="9"/>
      <c r="H3" s="9"/>
      <c r="I3" s="7" t="s">
        <v>34</v>
      </c>
      <c r="J3" s="7" t="s">
        <v>35</v>
      </c>
      <c r="K3" s="7" t="s">
        <v>36</v>
      </c>
      <c r="L3" s="7" t="s">
        <v>37</v>
      </c>
      <c r="M3" s="8" t="s">
        <v>38</v>
      </c>
    </row>
    <row r="4" spans="1:14" s="1" customFormat="1" x14ac:dyDescent="0.3">
      <c r="A4" s="10" t="s">
        <v>39</v>
      </c>
      <c r="B4" s="94">
        <f>PAYG!B10</f>
        <v>0.80029999999999968</v>
      </c>
      <c r="C4" s="94">
        <f>PAYG!C10</f>
        <v>0.81349999999999989</v>
      </c>
      <c r="D4" s="94">
        <f>PAYG!D10</f>
        <v>0.67039999999999877</v>
      </c>
      <c r="E4" s="94">
        <f>PAYG!E10</f>
        <v>0.8190999999999995</v>
      </c>
      <c r="F4" s="94">
        <f>PAYG!F10</f>
        <v>0.82179999999999964</v>
      </c>
      <c r="G4" s="72"/>
      <c r="H4" s="72"/>
      <c r="I4" s="94">
        <f>PAYG!I10</f>
        <v>0.80192649718271558</v>
      </c>
      <c r="J4" s="94">
        <f>PAYG!J10</f>
        <v>0.81147797748567607</v>
      </c>
      <c r="K4" s="94">
        <f>PAYG!K10</f>
        <v>0.66898468524591947</v>
      </c>
      <c r="L4" s="94">
        <f>PAYG!L10</f>
        <v>0.8301090235100822</v>
      </c>
      <c r="M4" s="94">
        <f>PAYG!M10</f>
        <v>0.83405078900659957</v>
      </c>
    </row>
    <row r="5" spans="1:14" s="1" customFormat="1" x14ac:dyDescent="0.3">
      <c r="A5" s="10" t="s">
        <v>40</v>
      </c>
      <c r="B5" s="95">
        <v>0</v>
      </c>
      <c r="C5" s="95">
        <v>0</v>
      </c>
      <c r="D5" s="95">
        <v>0</v>
      </c>
      <c r="E5" s="95">
        <v>0</v>
      </c>
      <c r="F5" s="95">
        <v>0</v>
      </c>
      <c r="G5" s="72"/>
      <c r="H5" s="72"/>
      <c r="I5" s="71">
        <v>0</v>
      </c>
      <c r="J5" s="73">
        <v>0</v>
      </c>
      <c r="K5" s="73">
        <v>0</v>
      </c>
      <c r="L5" s="73">
        <v>0</v>
      </c>
      <c r="M5" s="74">
        <v>0</v>
      </c>
    </row>
    <row r="6" spans="1:14" s="1" customFormat="1" x14ac:dyDescent="0.3">
      <c r="A6" s="10" t="s">
        <v>41</v>
      </c>
      <c r="B6" s="95">
        <v>-3.0000000000000001E-3</v>
      </c>
      <c r="C6" s="95">
        <v>-1.5E-3</v>
      </c>
      <c r="D6" s="95">
        <v>-6.9999999999999999E-4</v>
      </c>
      <c r="E6" s="95">
        <v>8.0000000000000004E-4</v>
      </c>
      <c r="F6" s="95">
        <v>3.5000000000000001E-3</v>
      </c>
      <c r="G6" s="72"/>
      <c r="H6" s="72"/>
      <c r="I6" s="71">
        <v>0</v>
      </c>
      <c r="J6" s="73">
        <v>0</v>
      </c>
      <c r="K6" s="73">
        <v>0</v>
      </c>
      <c r="L6" s="73">
        <v>0</v>
      </c>
      <c r="M6" s="74">
        <v>0</v>
      </c>
    </row>
    <row r="7" spans="1:14" s="1" customFormat="1" x14ac:dyDescent="0.3">
      <c r="A7" s="70" t="s">
        <v>42</v>
      </c>
      <c r="B7" s="71">
        <v>0</v>
      </c>
      <c r="C7" s="73">
        <v>0</v>
      </c>
      <c r="D7" s="73">
        <v>0</v>
      </c>
      <c r="E7" s="73">
        <v>0</v>
      </c>
      <c r="F7" s="74">
        <v>0</v>
      </c>
      <c r="G7" s="72"/>
      <c r="H7" s="72"/>
      <c r="I7" s="71">
        <v>0</v>
      </c>
      <c r="J7" s="73">
        <v>0</v>
      </c>
      <c r="K7" s="73">
        <v>0</v>
      </c>
      <c r="L7" s="73">
        <v>0</v>
      </c>
      <c r="M7" s="74">
        <v>0</v>
      </c>
      <c r="N7" s="72"/>
    </row>
    <row r="8" spans="1:14" s="1" customFormat="1" ht="14.5" thickBot="1" x14ac:dyDescent="0.35">
      <c r="A8" s="11" t="s">
        <v>43</v>
      </c>
      <c r="B8" s="96">
        <f>SUM(B4:B6)</f>
        <v>0.79729999999999968</v>
      </c>
      <c r="C8" s="97">
        <f>SUM(C4:C6)</f>
        <v>0.81199999999999994</v>
      </c>
      <c r="D8" s="97">
        <f>SUM(D4:D6)</f>
        <v>0.66969999999999874</v>
      </c>
      <c r="E8" s="97">
        <f>SUM(E4:E6)</f>
        <v>0.81989999999999952</v>
      </c>
      <c r="F8" s="98">
        <f>SUM(F4:F6)</f>
        <v>0.82529999999999959</v>
      </c>
      <c r="G8" s="72"/>
      <c r="H8" s="72"/>
      <c r="I8" s="99">
        <f>SUM(I4:I7)</f>
        <v>0.80192649718271558</v>
      </c>
      <c r="J8" s="99">
        <f t="shared" ref="J8:M8" si="0">SUM(J4:J7)</f>
        <v>0.81147797748567607</v>
      </c>
      <c r="K8" s="99">
        <f t="shared" si="0"/>
        <v>0.66898468524591947</v>
      </c>
      <c r="L8" s="99">
        <f t="shared" si="0"/>
        <v>0.8301090235100822</v>
      </c>
      <c r="M8" s="99">
        <f t="shared" si="0"/>
        <v>0.83405078900659957</v>
      </c>
    </row>
    <row r="9" spans="1:14" s="1" customFormat="1" ht="14.5" thickBot="1" x14ac:dyDescent="0.35">
      <c r="A9" s="12"/>
      <c r="B9" s="100"/>
      <c r="C9" s="100"/>
      <c r="D9" s="72"/>
      <c r="E9" s="72"/>
      <c r="F9" s="72"/>
      <c r="G9" s="72"/>
      <c r="H9" s="72"/>
      <c r="I9" s="100"/>
      <c r="J9" s="100"/>
      <c r="K9" s="72"/>
      <c r="L9" s="72"/>
      <c r="M9" s="72"/>
    </row>
    <row r="10" spans="1:14" s="1" customFormat="1" ht="14.5" thickBot="1" x14ac:dyDescent="0.35">
      <c r="A10" s="6" t="s">
        <v>44</v>
      </c>
      <c r="B10" s="7" t="s">
        <v>34</v>
      </c>
      <c r="C10" s="7" t="s">
        <v>35</v>
      </c>
      <c r="D10" s="7" t="s">
        <v>36</v>
      </c>
      <c r="E10" s="7" t="s">
        <v>37</v>
      </c>
      <c r="F10" s="8" t="s">
        <v>38</v>
      </c>
      <c r="G10" s="72"/>
      <c r="H10" s="72"/>
      <c r="I10" s="7" t="s">
        <v>34</v>
      </c>
      <c r="J10" s="7" t="s">
        <v>35</v>
      </c>
      <c r="K10" s="7" t="s">
        <v>36</v>
      </c>
      <c r="L10" s="7" t="s">
        <v>37</v>
      </c>
      <c r="M10" s="8" t="s">
        <v>38</v>
      </c>
    </row>
    <row r="11" spans="1:14" s="1" customFormat="1" x14ac:dyDescent="0.3">
      <c r="A11" s="10" t="s">
        <v>45</v>
      </c>
      <c r="B11" s="94">
        <f>PAYG!B20</f>
        <v>0.69930967911641984</v>
      </c>
      <c r="C11" s="94">
        <f>PAYG!C20</f>
        <v>0.71397656852104063</v>
      </c>
      <c r="D11" s="94">
        <f>PAYG!D20</f>
        <v>0.74318283496021986</v>
      </c>
      <c r="E11" s="94">
        <f>PAYG!E20</f>
        <v>0.71564831178165711</v>
      </c>
      <c r="F11" s="94">
        <f>PAYG!F20</f>
        <v>0.70803815401300663</v>
      </c>
      <c r="G11" s="72"/>
      <c r="H11" s="72"/>
      <c r="I11" s="94">
        <f>PAYG!I20</f>
        <v>0.71598232265628359</v>
      </c>
      <c r="J11" s="94">
        <f>PAYG!J20</f>
        <v>0.72887284135079877</v>
      </c>
      <c r="K11" s="94">
        <f>PAYG!K20</f>
        <v>0.75755947707827109</v>
      </c>
      <c r="L11" s="94">
        <f>PAYG!L20</f>
        <v>0.736066881235932</v>
      </c>
      <c r="M11" s="94">
        <f>PAYG!M20</f>
        <v>0.72818524131249085</v>
      </c>
    </row>
    <row r="12" spans="1:14" s="1" customFormat="1" x14ac:dyDescent="0.3">
      <c r="A12" s="10" t="s">
        <v>46</v>
      </c>
      <c r="B12" s="95">
        <v>0</v>
      </c>
      <c r="C12" s="95">
        <v>0</v>
      </c>
      <c r="D12" s="95">
        <v>0</v>
      </c>
      <c r="E12" s="95">
        <v>0</v>
      </c>
      <c r="F12" s="95">
        <v>0</v>
      </c>
      <c r="G12" s="72"/>
      <c r="H12" s="72"/>
      <c r="I12" s="71">
        <v>0</v>
      </c>
      <c r="J12" s="73">
        <v>0</v>
      </c>
      <c r="K12" s="73">
        <v>0</v>
      </c>
      <c r="L12" s="73">
        <v>0</v>
      </c>
      <c r="M12" s="74">
        <v>0</v>
      </c>
    </row>
    <row r="13" spans="1:14" s="1" customFormat="1" x14ac:dyDescent="0.3">
      <c r="A13" s="10" t="s">
        <v>47</v>
      </c>
      <c r="B13" s="95">
        <v>-1.11E-2</v>
      </c>
      <c r="C13" s="95">
        <v>-5.7999999999999996E-3</v>
      </c>
      <c r="D13" s="95">
        <v>-3.3999999999999998E-3</v>
      </c>
      <c r="E13" s="95">
        <v>2.8999999999999998E-3</v>
      </c>
      <c r="F13" s="95">
        <v>1.2500000000000001E-2</v>
      </c>
      <c r="G13" s="72"/>
      <c r="H13" s="72"/>
      <c r="I13" s="71">
        <v>0</v>
      </c>
      <c r="J13" s="73">
        <v>0</v>
      </c>
      <c r="K13" s="73">
        <v>0</v>
      </c>
      <c r="L13" s="73">
        <v>0</v>
      </c>
      <c r="M13" s="74">
        <v>0</v>
      </c>
    </row>
    <row r="14" spans="1:14" s="1" customFormat="1" x14ac:dyDescent="0.3">
      <c r="A14" s="70" t="s">
        <v>48</v>
      </c>
      <c r="B14" s="71">
        <v>0</v>
      </c>
      <c r="C14" s="73">
        <v>0</v>
      </c>
      <c r="D14" s="73">
        <v>0</v>
      </c>
      <c r="E14" s="73">
        <v>0</v>
      </c>
      <c r="F14" s="74">
        <v>0</v>
      </c>
      <c r="G14" s="72"/>
      <c r="H14" s="72"/>
      <c r="I14" s="71">
        <v>0</v>
      </c>
      <c r="J14" s="73">
        <v>0</v>
      </c>
      <c r="K14" s="73">
        <v>0</v>
      </c>
      <c r="L14" s="73">
        <v>0</v>
      </c>
      <c r="M14" s="74">
        <v>0</v>
      </c>
      <c r="N14" s="72"/>
    </row>
    <row r="15" spans="1:14" s="1" customFormat="1" ht="14.5" thickBot="1" x14ac:dyDescent="0.35">
      <c r="A15" s="11" t="s">
        <v>49</v>
      </c>
      <c r="B15" s="96">
        <f>SUM(B11:B13)</f>
        <v>0.68820967911641984</v>
      </c>
      <c r="C15" s="97">
        <f>SUM(C11:C13)</f>
        <v>0.70817656852104061</v>
      </c>
      <c r="D15" s="97">
        <f>SUM(D11:D13)</f>
        <v>0.7397828349602199</v>
      </c>
      <c r="E15" s="97">
        <f>SUM(E11:E13)</f>
        <v>0.71854831178165712</v>
      </c>
      <c r="F15" s="98">
        <f>SUM(F11:F13)</f>
        <v>0.72053815401300658</v>
      </c>
      <c r="G15" s="72"/>
      <c r="H15" s="72"/>
      <c r="I15" s="99">
        <f>SUM(I11:I14)</f>
        <v>0.71598232265628359</v>
      </c>
      <c r="J15" s="99">
        <f t="shared" ref="J15:M15" si="1">SUM(J11:J14)</f>
        <v>0.72887284135079877</v>
      </c>
      <c r="K15" s="99">
        <f t="shared" si="1"/>
        <v>0.75755947707827109</v>
      </c>
      <c r="L15" s="99">
        <f t="shared" si="1"/>
        <v>0.736066881235932</v>
      </c>
      <c r="M15" s="99">
        <f t="shared" si="1"/>
        <v>0.72818524131249085</v>
      </c>
    </row>
    <row r="16" spans="1:14" s="1" customFormat="1" x14ac:dyDescent="0.3">
      <c r="A16" s="12"/>
      <c r="B16" s="5"/>
      <c r="C16" s="5"/>
      <c r="I16" s="5"/>
      <c r="J16" s="5"/>
    </row>
    <row r="17" spans="1:14" ht="14.5" thickBot="1" x14ac:dyDescent="0.35"/>
    <row r="18" spans="1:14" ht="14.5" thickBot="1" x14ac:dyDescent="0.35">
      <c r="A18" s="6" t="s">
        <v>50</v>
      </c>
      <c r="B18" s="7" t="s">
        <v>34</v>
      </c>
      <c r="C18" s="7" t="s">
        <v>35</v>
      </c>
      <c r="D18" s="7" t="s">
        <v>36</v>
      </c>
      <c r="E18" s="7" t="s">
        <v>37</v>
      </c>
      <c r="F18" s="8" t="s">
        <v>38</v>
      </c>
      <c r="G18" s="8" t="s">
        <v>51</v>
      </c>
      <c r="H18" s="72"/>
      <c r="I18" s="7" t="s">
        <v>34</v>
      </c>
      <c r="J18" s="7" t="s">
        <v>35</v>
      </c>
      <c r="K18" s="7" t="s">
        <v>36</v>
      </c>
      <c r="L18" s="7" t="s">
        <v>37</v>
      </c>
      <c r="M18" s="8" t="s">
        <v>38</v>
      </c>
      <c r="N18" s="8" t="s">
        <v>51</v>
      </c>
    </row>
    <row r="19" spans="1:14" x14ac:dyDescent="0.3">
      <c r="A19" s="10" t="s">
        <v>52</v>
      </c>
      <c r="B19" s="75">
        <f>PAYG!B7</f>
        <v>13.698392943287121</v>
      </c>
      <c r="C19" s="75">
        <f>PAYG!C7</f>
        <v>13.463345408323951</v>
      </c>
      <c r="D19" s="75">
        <f>PAYG!D7</f>
        <v>16.35930843343608</v>
      </c>
      <c r="E19" s="75">
        <f>PAYG!E7</f>
        <v>13.412788014011079</v>
      </c>
      <c r="F19" s="75">
        <f>PAYG!F7</f>
        <v>13.422544704141641</v>
      </c>
      <c r="G19" s="86">
        <f>SUM(B19:F19)</f>
        <v>70.356379503199861</v>
      </c>
      <c r="H19" s="87"/>
      <c r="I19" s="75">
        <f>PAYG!I7</f>
        <v>15.15164365157494</v>
      </c>
      <c r="J19" s="75">
        <f>PAYG!J7</f>
        <v>14.92546738078056</v>
      </c>
      <c r="K19" s="75">
        <f>PAYG!K7</f>
        <v>18.088663715573201</v>
      </c>
      <c r="L19" s="75">
        <f>PAYG!L7</f>
        <v>14.57022930142865</v>
      </c>
      <c r="M19" s="75">
        <f>PAYG!M7</f>
        <v>14.52096257827141</v>
      </c>
      <c r="N19" s="86">
        <f>SUM(I19:M19)</f>
        <v>77.256966627628756</v>
      </c>
    </row>
    <row r="20" spans="1:14" x14ac:dyDescent="0.3">
      <c r="A20" s="10" t="s">
        <v>53</v>
      </c>
      <c r="B20" s="76">
        <f>PAYG!B17</f>
        <v>65.609514246933543</v>
      </c>
      <c r="C20" s="76">
        <f>PAYG!C17</f>
        <v>64.050589242556029</v>
      </c>
      <c r="D20" s="76">
        <f>PAYG!D17</f>
        <v>61.579247220051009</v>
      </c>
      <c r="E20" s="76">
        <f>PAYG!E17</f>
        <v>63.859191686319825</v>
      </c>
      <c r="F20" s="76">
        <f>PAYG!F17</f>
        <v>64.244222223980003</v>
      </c>
      <c r="G20" s="88">
        <f t="shared" ref="G20" si="2">SUM(B20:F20)</f>
        <v>319.34276461984041</v>
      </c>
      <c r="H20" s="72"/>
      <c r="I20" s="76">
        <f>PAYG!I17</f>
        <v>67.971402257210841</v>
      </c>
      <c r="J20" s="76">
        <f>PAYG!J17</f>
        <v>66.289111908417752</v>
      </c>
      <c r="K20" s="76">
        <f>PAYG!K17</f>
        <v>63.574391472829404</v>
      </c>
      <c r="L20" s="76">
        <f>PAYG!L17</f>
        <v>65.078192624373173</v>
      </c>
      <c r="M20" s="76">
        <f>PAYG!M17</f>
        <v>65.211105969780206</v>
      </c>
      <c r="N20" s="88">
        <f t="shared" ref="N20" si="3">SUM(I20:M20)</f>
        <v>328.12420423261136</v>
      </c>
    </row>
    <row r="21" spans="1:14" x14ac:dyDescent="0.3">
      <c r="A21" s="10" t="s">
        <v>54</v>
      </c>
      <c r="B21" s="88">
        <f t="shared" ref="B21:G21" si="4">SUM(B19:B20)</f>
        <v>79.307907190220661</v>
      </c>
      <c r="C21" s="88">
        <f t="shared" si="4"/>
        <v>77.513934650879975</v>
      </c>
      <c r="D21" s="88">
        <f t="shared" si="4"/>
        <v>77.938555653487086</v>
      </c>
      <c r="E21" s="88">
        <f t="shared" si="4"/>
        <v>77.271979700330903</v>
      </c>
      <c r="F21" s="88">
        <f t="shared" si="4"/>
        <v>77.666766928121646</v>
      </c>
      <c r="G21" s="88">
        <f t="shared" si="4"/>
        <v>389.69914412304024</v>
      </c>
      <c r="H21" s="72"/>
      <c r="I21" s="88">
        <f t="shared" ref="I21:N21" si="5">SUM(I19:I20)</f>
        <v>83.123045908785784</v>
      </c>
      <c r="J21" s="88">
        <f t="shared" si="5"/>
        <v>81.214579289198312</v>
      </c>
      <c r="K21" s="88">
        <f t="shared" si="5"/>
        <v>81.663055188402609</v>
      </c>
      <c r="L21" s="88">
        <f t="shared" si="5"/>
        <v>79.648421925801827</v>
      </c>
      <c r="M21" s="88">
        <f t="shared" si="5"/>
        <v>79.732068548051615</v>
      </c>
      <c r="N21" s="88">
        <f t="shared" si="5"/>
        <v>405.3811708602401</v>
      </c>
    </row>
    <row r="22" spans="1:14" ht="14.5" thickBot="1" x14ac:dyDescent="0.35">
      <c r="B22" s="89"/>
      <c r="C22" s="89"/>
      <c r="D22" s="89"/>
      <c r="E22" s="89"/>
      <c r="F22" s="89"/>
      <c r="G22" s="90"/>
      <c r="H22" s="72"/>
      <c r="I22" s="89"/>
      <c r="J22" s="89"/>
      <c r="K22" s="89"/>
      <c r="L22" s="89"/>
      <c r="M22" s="89"/>
      <c r="N22" s="90"/>
    </row>
    <row r="23" spans="1:14" ht="14.5" thickBot="1" x14ac:dyDescent="0.35">
      <c r="A23" s="6" t="s">
        <v>55</v>
      </c>
      <c r="B23" s="7" t="s">
        <v>34</v>
      </c>
      <c r="C23" s="7" t="s">
        <v>35</v>
      </c>
      <c r="D23" s="7" t="s">
        <v>36</v>
      </c>
      <c r="E23" s="7" t="s">
        <v>37</v>
      </c>
      <c r="F23" s="8" t="s">
        <v>38</v>
      </c>
      <c r="G23" s="8" t="s">
        <v>51</v>
      </c>
      <c r="H23" s="72"/>
      <c r="I23" s="7" t="s">
        <v>34</v>
      </c>
      <c r="J23" s="7" t="s">
        <v>35</v>
      </c>
      <c r="K23" s="7" t="s">
        <v>36</v>
      </c>
      <c r="L23" s="7" t="s">
        <v>37</v>
      </c>
      <c r="M23" s="8" t="s">
        <v>38</v>
      </c>
      <c r="N23" s="8" t="s">
        <v>51</v>
      </c>
    </row>
    <row r="24" spans="1:14" x14ac:dyDescent="0.3">
      <c r="A24" s="10" t="s">
        <v>52</v>
      </c>
      <c r="B24" s="75">
        <f>B19*B8</f>
        <v>10.921728693682818</v>
      </c>
      <c r="C24" s="75">
        <f>C19*C8</f>
        <v>10.932236471559047</v>
      </c>
      <c r="D24" s="75">
        <f>D19*D8</f>
        <v>10.955828857872122</v>
      </c>
      <c r="E24" s="75">
        <f>E19*E8</f>
        <v>10.997144892687677</v>
      </c>
      <c r="F24" s="75">
        <f>F19*F8</f>
        <v>11.077626144328091</v>
      </c>
      <c r="G24" s="86">
        <f>SUM(B24:F24)</f>
        <v>54.884565060129759</v>
      </c>
      <c r="H24" s="72"/>
      <c r="I24" s="75">
        <f>I19*I8</f>
        <v>12.150504520068221</v>
      </c>
      <c r="J24" s="75">
        <f>J19*J8</f>
        <v>12.111688083184241</v>
      </c>
      <c r="K24" s="75">
        <f>K19*K8</f>
        <v>12.101039002282022</v>
      </c>
      <c r="L24" s="75">
        <f>L19*L8</f>
        <v>12.094878817726924</v>
      </c>
      <c r="M24" s="75">
        <f>M19*M8</f>
        <v>12.111220295542577</v>
      </c>
      <c r="N24" s="86">
        <f>SUM(I24:M24)</f>
        <v>60.569330718803982</v>
      </c>
    </row>
    <row r="25" spans="1:14" x14ac:dyDescent="0.3">
      <c r="A25" s="10" t="s">
        <v>53</v>
      </c>
      <c r="B25" s="76">
        <f>B20*B15</f>
        <v>45.15310274686631</v>
      </c>
      <c r="C25" s="76">
        <f>C20*C15</f>
        <v>45.359126501544004</v>
      </c>
      <c r="D25" s="76">
        <f>D20*D15</f>
        <v>45.555270083165574</v>
      </c>
      <c r="E25" s="76">
        <f>E20*E15</f>
        <v>45.885914377946342</v>
      </c>
      <c r="F25" s="76">
        <f>F20*F15</f>
        <v>46.290413287267924</v>
      </c>
      <c r="G25" s="88">
        <f t="shared" ref="G25" si="6">SUM(B25:F25)</f>
        <v>228.24382699679012</v>
      </c>
      <c r="H25" s="72"/>
      <c r="I25" s="76">
        <f>I20*I15</f>
        <v>48.666322462322377</v>
      </c>
      <c r="J25" s="76">
        <f>J20*J15</f>
        <v>48.316333347309516</v>
      </c>
      <c r="K25" s="76">
        <f>K20*K15</f>
        <v>48.161382759725939</v>
      </c>
      <c r="L25" s="76">
        <f>L20*L15</f>
        <v>47.901902281493598</v>
      </c>
      <c r="M25" s="76">
        <f>M20*M15</f>
        <v>47.485764936858814</v>
      </c>
      <c r="N25" s="88">
        <f t="shared" ref="N25" si="7">SUM(I25:M25)</f>
        <v>240.53170578771022</v>
      </c>
    </row>
    <row r="26" spans="1:14" x14ac:dyDescent="0.3">
      <c r="A26" s="10" t="s">
        <v>56</v>
      </c>
      <c r="B26" s="88">
        <f t="shared" ref="B26:G26" si="8">SUM(B24:B25)</f>
        <v>56.074831440549126</v>
      </c>
      <c r="C26" s="88">
        <f t="shared" si="8"/>
        <v>56.291362973103048</v>
      </c>
      <c r="D26" s="88">
        <f t="shared" si="8"/>
        <v>56.511098941037694</v>
      </c>
      <c r="E26" s="88">
        <f t="shared" si="8"/>
        <v>56.883059270634021</v>
      </c>
      <c r="F26" s="88">
        <f t="shared" si="8"/>
        <v>57.368039431596017</v>
      </c>
      <c r="G26" s="88">
        <f t="shared" si="8"/>
        <v>283.12839205691989</v>
      </c>
      <c r="H26" s="72"/>
      <c r="I26" s="88">
        <f t="shared" ref="I26:N26" si="9">SUM(I24:I25)</f>
        <v>60.816826982390594</v>
      </c>
      <c r="J26" s="88">
        <f t="shared" si="9"/>
        <v>60.428021430493757</v>
      </c>
      <c r="K26" s="88">
        <f t="shared" si="9"/>
        <v>60.262421762007961</v>
      </c>
      <c r="L26" s="88">
        <f t="shared" si="9"/>
        <v>59.99678109922052</v>
      </c>
      <c r="M26" s="88">
        <f t="shared" si="9"/>
        <v>59.596985232401394</v>
      </c>
      <c r="N26" s="88">
        <f t="shared" si="9"/>
        <v>301.10103650651422</v>
      </c>
    </row>
    <row r="27" spans="1:14" ht="14.5" thickBot="1" x14ac:dyDescent="0.35">
      <c r="B27" s="91"/>
      <c r="C27" s="91"/>
      <c r="D27" s="91"/>
      <c r="E27" s="91"/>
      <c r="F27" s="91"/>
      <c r="G27" s="92"/>
      <c r="H27" s="72"/>
      <c r="I27" s="91"/>
      <c r="J27" s="91"/>
      <c r="K27" s="91"/>
      <c r="L27" s="91"/>
      <c r="M27" s="91"/>
      <c r="N27" s="92"/>
    </row>
    <row r="28" spans="1:14" ht="14.5" thickBot="1" x14ac:dyDescent="0.35">
      <c r="B28" s="7" t="s">
        <v>34</v>
      </c>
      <c r="C28" s="7" t="s">
        <v>35</v>
      </c>
      <c r="D28" s="7" t="s">
        <v>36</v>
      </c>
      <c r="E28" s="7" t="s">
        <v>37</v>
      </c>
      <c r="F28" s="8" t="s">
        <v>38</v>
      </c>
      <c r="G28" s="8" t="s">
        <v>51</v>
      </c>
      <c r="H28" s="72"/>
      <c r="I28" s="7" t="s">
        <v>34</v>
      </c>
      <c r="J28" s="7" t="s">
        <v>35</v>
      </c>
      <c r="K28" s="7" t="s">
        <v>36</v>
      </c>
      <c r="L28" s="7" t="s">
        <v>37</v>
      </c>
      <c r="M28" s="8" t="s">
        <v>38</v>
      </c>
      <c r="N28" s="8" t="s">
        <v>51</v>
      </c>
    </row>
    <row r="29" spans="1:14" ht="14.5" thickBot="1" x14ac:dyDescent="0.35">
      <c r="A29" s="6" t="s">
        <v>57</v>
      </c>
      <c r="B29" s="93">
        <f t="shared" ref="B29:G29" si="10">B26/B21</f>
        <v>0.70705221493303549</v>
      </c>
      <c r="C29" s="93">
        <f t="shared" si="10"/>
        <v>0.72620959349615477</v>
      </c>
      <c r="D29" s="93">
        <f t="shared" si="10"/>
        <v>0.72507244286492378</v>
      </c>
      <c r="E29" s="93">
        <f t="shared" si="10"/>
        <v>0.73614082997786101</v>
      </c>
      <c r="F29" s="93">
        <f t="shared" si="10"/>
        <v>0.73864333099752288</v>
      </c>
      <c r="G29" s="93">
        <f t="shared" si="10"/>
        <v>0.72653070022531885</v>
      </c>
      <c r="H29" s="72"/>
      <c r="I29" s="93">
        <f t="shared" ref="I29:N29" si="11">I26/I21</f>
        <v>0.7316482007784858</v>
      </c>
      <c r="J29" s="93">
        <f t="shared" si="11"/>
        <v>0.74405386273460383</v>
      </c>
      <c r="K29" s="93">
        <f t="shared" si="11"/>
        <v>0.73793983855953182</v>
      </c>
      <c r="L29" s="93">
        <f t="shared" si="11"/>
        <v>0.75327017972950916</v>
      </c>
      <c r="M29" s="93">
        <f t="shared" si="11"/>
        <v>0.74746568498325694</v>
      </c>
      <c r="N29" s="93">
        <f t="shared" si="11"/>
        <v>0.74276029117869991</v>
      </c>
    </row>
    <row r="30" spans="1:14" x14ac:dyDescent="0.3"/>
    <row r="31" spans="1:14" x14ac:dyDescent="0.3"/>
    <row r="32" spans="1:14" x14ac:dyDescent="0.3"/>
  </sheetData>
  <mergeCells count="2">
    <mergeCell ref="B1:F1"/>
    <mergeCell ref="I1:M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4" x14ac:dyDescent="0.3"/>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4" x14ac:dyDescent="0.3"/>
  <cols>
    <col min="1" max="1" width="4.33203125" customWidth="1"/>
    <col min="2" max="2" width="25.58203125" customWidth="1"/>
    <col min="3" max="3" width="57.08203125" customWidth="1"/>
    <col min="4" max="4" width="3.25" customWidth="1"/>
    <col min="5" max="5" width="15.83203125" customWidth="1"/>
    <col min="6" max="10" width="5.58203125" customWidth="1"/>
    <col min="11" max="11" width="9.33203125" customWidth="1"/>
  </cols>
  <sheetData>
    <row r="1" spans="1:10" x14ac:dyDescent="0.3">
      <c r="C1" t="s">
        <v>58</v>
      </c>
    </row>
    <row r="2" spans="1:10" x14ac:dyDescent="0.3">
      <c r="A2" t="s">
        <v>59</v>
      </c>
      <c r="B2" t="s">
        <v>60</v>
      </c>
      <c r="C2" t="s">
        <v>61</v>
      </c>
      <c r="D2" t="s">
        <v>62</v>
      </c>
      <c r="E2" t="s">
        <v>63</v>
      </c>
      <c r="F2" t="s">
        <v>34</v>
      </c>
      <c r="G2" t="s">
        <v>35</v>
      </c>
      <c r="H2" t="s">
        <v>36</v>
      </c>
      <c r="I2" t="s">
        <v>37</v>
      </c>
      <c r="J2" t="s">
        <v>38</v>
      </c>
    </row>
    <row r="4" spans="1:10" x14ac:dyDescent="0.3">
      <c r="F4" t="s">
        <v>64</v>
      </c>
      <c r="G4" t="s">
        <v>64</v>
      </c>
      <c r="H4" t="s">
        <v>64</v>
      </c>
      <c r="I4" t="s">
        <v>64</v>
      </c>
      <c r="J4" t="s">
        <v>64</v>
      </c>
    </row>
    <row r="5" spans="1:10" x14ac:dyDescent="0.3">
      <c r="F5" t="s">
        <v>65</v>
      </c>
      <c r="G5" t="s">
        <v>65</v>
      </c>
      <c r="H5" t="s">
        <v>65</v>
      </c>
      <c r="I5" t="s">
        <v>65</v>
      </c>
      <c r="J5" t="s">
        <v>65</v>
      </c>
    </row>
    <row r="6" spans="1:10" x14ac:dyDescent="0.3">
      <c r="F6" t="s">
        <v>66</v>
      </c>
      <c r="G6" t="s">
        <v>66</v>
      </c>
      <c r="H6" t="s">
        <v>66</v>
      </c>
      <c r="I6" t="s">
        <v>66</v>
      </c>
      <c r="J6" t="s">
        <v>66</v>
      </c>
    </row>
    <row r="7" spans="1:10" x14ac:dyDescent="0.3">
      <c r="A7" t="s">
        <v>67</v>
      </c>
      <c r="B7" t="s">
        <v>68</v>
      </c>
      <c r="C7" t="s">
        <v>69</v>
      </c>
      <c r="D7" t="s">
        <v>70</v>
      </c>
      <c r="E7" t="s">
        <v>64</v>
      </c>
      <c r="F7" s="65">
        <v>11.496931072030799</v>
      </c>
      <c r="G7" s="65">
        <v>11.4593065165721</v>
      </c>
      <c r="H7" s="65">
        <v>11.4503669113585</v>
      </c>
      <c r="I7" s="65">
        <v>11.446087953686201</v>
      </c>
      <c r="J7" s="65">
        <v>11.4642853740822</v>
      </c>
    </row>
    <row r="8" spans="1:10" x14ac:dyDescent="0.3">
      <c r="A8" t="s">
        <v>67</v>
      </c>
      <c r="B8" t="s">
        <v>71</v>
      </c>
      <c r="C8" t="s">
        <v>72</v>
      </c>
      <c r="D8" t="s">
        <v>70</v>
      </c>
      <c r="E8" t="s">
        <v>64</v>
      </c>
      <c r="F8" s="65">
        <v>3.6547125795441402</v>
      </c>
      <c r="G8" s="65">
        <v>3.4661608642084598</v>
      </c>
      <c r="H8" s="65">
        <v>6.6382968042146997</v>
      </c>
      <c r="I8" s="65">
        <v>3.1241413477424498</v>
      </c>
      <c r="J8" s="65">
        <v>3.0566772041892101</v>
      </c>
    </row>
    <row r="9" spans="1:10" x14ac:dyDescent="0.3">
      <c r="A9" t="s">
        <v>67</v>
      </c>
      <c r="B9" t="s">
        <v>73</v>
      </c>
      <c r="C9" t="s">
        <v>74</v>
      </c>
      <c r="D9" t="s">
        <v>70</v>
      </c>
      <c r="E9" t="s">
        <v>64</v>
      </c>
      <c r="F9" s="65">
        <v>37.920460776999697</v>
      </c>
      <c r="G9" s="65">
        <v>37.480490086996603</v>
      </c>
      <c r="H9" s="65">
        <v>37.337027762273401</v>
      </c>
      <c r="I9" s="65">
        <v>37.206443787800701</v>
      </c>
      <c r="J9" s="65">
        <v>37.242985848718497</v>
      </c>
    </row>
    <row r="10" spans="1:10" x14ac:dyDescent="0.3">
      <c r="A10" t="s">
        <v>67</v>
      </c>
      <c r="B10" t="s">
        <v>75</v>
      </c>
      <c r="C10" t="s">
        <v>76</v>
      </c>
      <c r="D10" t="s">
        <v>70</v>
      </c>
      <c r="E10" t="s">
        <v>64</v>
      </c>
      <c r="F10" s="65">
        <v>33.0159947107527</v>
      </c>
      <c r="G10" s="65">
        <v>31.696214728101399</v>
      </c>
      <c r="H10" s="65">
        <v>29.1839320910852</v>
      </c>
      <c r="I10" s="65">
        <v>30.8720113052328</v>
      </c>
      <c r="J10" s="65">
        <v>31.027358063571</v>
      </c>
    </row>
    <row r="11" spans="1:10" x14ac:dyDescent="0.3">
      <c r="A11" t="s">
        <v>67</v>
      </c>
      <c r="B11" t="s">
        <v>77</v>
      </c>
      <c r="C11" t="s">
        <v>78</v>
      </c>
      <c r="D11" t="s">
        <v>70</v>
      </c>
      <c r="E11" t="s">
        <v>64</v>
      </c>
      <c r="F11" s="65">
        <v>0</v>
      </c>
      <c r="G11" s="65">
        <v>0</v>
      </c>
      <c r="H11" s="65">
        <v>0</v>
      </c>
      <c r="I11" s="65">
        <v>0</v>
      </c>
      <c r="J11" s="65">
        <v>0</v>
      </c>
    </row>
    <row r="12" spans="1:10" x14ac:dyDescent="0.3">
      <c r="A12" t="s">
        <v>67</v>
      </c>
      <c r="B12" t="s">
        <v>79</v>
      </c>
      <c r="C12" t="s">
        <v>80</v>
      </c>
      <c r="D12" t="s">
        <v>70</v>
      </c>
      <c r="E12" t="s">
        <v>64</v>
      </c>
      <c r="F12" s="65">
        <v>0</v>
      </c>
      <c r="G12" s="65">
        <v>0</v>
      </c>
      <c r="H12" s="65">
        <v>0</v>
      </c>
      <c r="I12" s="65">
        <v>0</v>
      </c>
      <c r="J12" s="65">
        <v>0</v>
      </c>
    </row>
    <row r="13" spans="1:10" x14ac:dyDescent="0.3">
      <c r="A13" t="s">
        <v>67</v>
      </c>
      <c r="B13" t="s">
        <v>81</v>
      </c>
      <c r="C13" t="s">
        <v>82</v>
      </c>
      <c r="D13" t="s">
        <v>70</v>
      </c>
      <c r="E13" t="s">
        <v>64</v>
      </c>
      <c r="F13" s="65">
        <v>0</v>
      </c>
      <c r="G13" s="65">
        <v>0</v>
      </c>
      <c r="H13" s="65">
        <v>0</v>
      </c>
      <c r="I13" s="65">
        <v>0</v>
      </c>
      <c r="J13" s="65">
        <v>0</v>
      </c>
    </row>
    <row r="14" spans="1:10" x14ac:dyDescent="0.3">
      <c r="A14" t="s">
        <v>67</v>
      </c>
      <c r="B14" t="s">
        <v>83</v>
      </c>
      <c r="C14" t="s">
        <v>84</v>
      </c>
      <c r="D14" t="s">
        <v>70</v>
      </c>
      <c r="E14" t="s">
        <v>64</v>
      </c>
      <c r="F14" s="65">
        <v>0</v>
      </c>
      <c r="G14" s="65">
        <v>0</v>
      </c>
      <c r="H14" s="65">
        <v>0</v>
      </c>
      <c r="I14" s="65">
        <v>0</v>
      </c>
      <c r="J14" s="65">
        <v>0</v>
      </c>
    </row>
    <row r="15" spans="1:10" x14ac:dyDescent="0.3">
      <c r="A15" t="s">
        <v>67</v>
      </c>
      <c r="B15" t="s">
        <v>85</v>
      </c>
      <c r="C15" t="s">
        <v>86</v>
      </c>
      <c r="D15" t="s">
        <v>70</v>
      </c>
      <c r="E15" t="s">
        <v>64</v>
      </c>
      <c r="F15" s="65">
        <v>2.94701323054155</v>
      </c>
      <c r="G15" s="65">
        <v>2.8695529066802501</v>
      </c>
      <c r="H15" s="65">
        <v>2.9285283805292002</v>
      </c>
      <c r="I15" s="65">
        <v>2.9822224686603298</v>
      </c>
      <c r="J15" s="65">
        <v>3.0411979425092799</v>
      </c>
    </row>
    <row r="16" spans="1:10" x14ac:dyDescent="0.3">
      <c r="A16" t="s">
        <v>67</v>
      </c>
      <c r="B16" t="s">
        <v>87</v>
      </c>
      <c r="C16" t="s">
        <v>88</v>
      </c>
      <c r="D16" t="s">
        <v>70</v>
      </c>
      <c r="E16" t="s">
        <v>64</v>
      </c>
      <c r="F16" s="65">
        <v>0</v>
      </c>
      <c r="G16" s="65">
        <v>0</v>
      </c>
      <c r="H16" s="65">
        <v>0</v>
      </c>
      <c r="I16" s="65">
        <v>0</v>
      </c>
      <c r="J16" s="65">
        <v>0</v>
      </c>
    </row>
    <row r="17" spans="1:10" x14ac:dyDescent="0.3">
      <c r="A17" t="s">
        <v>67</v>
      </c>
      <c r="B17" t="s">
        <v>89</v>
      </c>
      <c r="C17" t="s">
        <v>90</v>
      </c>
      <c r="D17" t="s">
        <v>70</v>
      </c>
      <c r="E17" t="s">
        <v>64</v>
      </c>
      <c r="F17" s="65">
        <v>0</v>
      </c>
      <c r="G17" s="65">
        <v>0</v>
      </c>
      <c r="H17" s="65">
        <v>0</v>
      </c>
      <c r="I17" s="65">
        <v>0</v>
      </c>
      <c r="J17" s="65">
        <v>0</v>
      </c>
    </row>
    <row r="18" spans="1:10" x14ac:dyDescent="0.3">
      <c r="A18" t="s">
        <v>67</v>
      </c>
      <c r="B18" t="s">
        <v>91</v>
      </c>
      <c r="C18" t="s">
        <v>92</v>
      </c>
      <c r="D18" t="s">
        <v>70</v>
      </c>
      <c r="E18" t="s">
        <v>64</v>
      </c>
      <c r="F18" s="65">
        <v>1.804E-2</v>
      </c>
      <c r="G18" s="65">
        <v>1.804E-2</v>
      </c>
      <c r="H18" s="65">
        <v>1.804E-2</v>
      </c>
      <c r="I18" s="65">
        <v>1.804E-2</v>
      </c>
      <c r="J18" s="65">
        <v>1.804E-2</v>
      </c>
    </row>
    <row r="19" spans="1:10" x14ac:dyDescent="0.3">
      <c r="A19" t="s">
        <v>67</v>
      </c>
      <c r="B19" t="s">
        <v>93</v>
      </c>
      <c r="C19" t="s">
        <v>94</v>
      </c>
      <c r="D19" t="s">
        <v>70</v>
      </c>
      <c r="E19" t="s">
        <v>64</v>
      </c>
      <c r="F19" s="65">
        <v>0</v>
      </c>
      <c r="G19" s="65">
        <v>0</v>
      </c>
      <c r="H19" s="65">
        <v>0</v>
      </c>
      <c r="I19" s="65">
        <v>0</v>
      </c>
      <c r="J19" s="65">
        <v>0</v>
      </c>
    </row>
    <row r="20" spans="1:10" x14ac:dyDescent="0.3">
      <c r="A20" t="s">
        <v>67</v>
      </c>
      <c r="B20" t="s">
        <v>95</v>
      </c>
      <c r="C20" t="s">
        <v>96</v>
      </c>
      <c r="D20" t="s">
        <v>70</v>
      </c>
      <c r="E20" t="s">
        <v>64</v>
      </c>
      <c r="F20" s="65">
        <v>0</v>
      </c>
      <c r="G20" s="65">
        <v>0</v>
      </c>
      <c r="H20" s="65">
        <v>0</v>
      </c>
      <c r="I20" s="65">
        <v>0</v>
      </c>
      <c r="J20" s="65">
        <v>0</v>
      </c>
    </row>
    <row r="21" spans="1:10" x14ac:dyDescent="0.3">
      <c r="A21" t="s">
        <v>67</v>
      </c>
      <c r="B21" t="s">
        <v>97</v>
      </c>
      <c r="C21" t="s">
        <v>98</v>
      </c>
      <c r="D21" t="s">
        <v>70</v>
      </c>
      <c r="E21" t="s">
        <v>64</v>
      </c>
      <c r="F21" s="65">
        <v>0</v>
      </c>
      <c r="G21" s="65">
        <v>0</v>
      </c>
      <c r="H21" s="65">
        <v>0</v>
      </c>
      <c r="I21" s="65">
        <v>0</v>
      </c>
      <c r="J21" s="65">
        <v>0</v>
      </c>
    </row>
    <row r="22" spans="1:10" x14ac:dyDescent="0.3">
      <c r="A22" t="s">
        <v>67</v>
      </c>
      <c r="B22" t="s">
        <v>99</v>
      </c>
      <c r="C22" t="s">
        <v>100</v>
      </c>
      <c r="D22" t="s">
        <v>70</v>
      </c>
      <c r="E22" t="s">
        <v>64</v>
      </c>
      <c r="F22" s="65">
        <v>0</v>
      </c>
      <c r="G22" s="65">
        <v>0</v>
      </c>
      <c r="H22" s="65">
        <v>0</v>
      </c>
      <c r="I22" s="65">
        <v>0</v>
      </c>
      <c r="J22" s="65">
        <v>0</v>
      </c>
    </row>
    <row r="23" spans="1:10" x14ac:dyDescent="0.3">
      <c r="A23" t="s">
        <v>67</v>
      </c>
      <c r="B23" t="s">
        <v>101</v>
      </c>
      <c r="C23" t="s">
        <v>102</v>
      </c>
      <c r="D23" t="s">
        <v>70</v>
      </c>
      <c r="E23" t="s">
        <v>64</v>
      </c>
      <c r="F23" s="65">
        <v>0</v>
      </c>
      <c r="G23" s="65">
        <v>0</v>
      </c>
      <c r="H23" s="65">
        <v>0</v>
      </c>
      <c r="I23" s="65">
        <v>0</v>
      </c>
      <c r="J23" s="65">
        <v>0</v>
      </c>
    </row>
    <row r="24" spans="1:10" x14ac:dyDescent="0.3">
      <c r="A24" t="s">
        <v>67</v>
      </c>
      <c r="B24" t="s">
        <v>103</v>
      </c>
      <c r="C24" t="s">
        <v>104</v>
      </c>
      <c r="D24" t="s">
        <v>70</v>
      </c>
      <c r="E24" t="s">
        <v>64</v>
      </c>
      <c r="F24" s="65">
        <v>0</v>
      </c>
      <c r="G24" s="65">
        <v>0</v>
      </c>
      <c r="H24" s="65">
        <v>0</v>
      </c>
      <c r="I24" s="65">
        <v>0</v>
      </c>
      <c r="J24" s="65">
        <v>0</v>
      </c>
    </row>
    <row r="25" spans="1:10" x14ac:dyDescent="0.3">
      <c r="A25" t="s">
        <v>67</v>
      </c>
      <c r="B25" t="s">
        <v>105</v>
      </c>
      <c r="C25" t="s">
        <v>106</v>
      </c>
      <c r="D25" t="s">
        <v>70</v>
      </c>
      <c r="E25" t="s">
        <v>64</v>
      </c>
      <c r="F25" s="65">
        <v>0</v>
      </c>
      <c r="G25" s="65">
        <v>0</v>
      </c>
      <c r="H25" s="65">
        <v>0</v>
      </c>
      <c r="I25" s="65">
        <v>0</v>
      </c>
      <c r="J25" s="65">
        <v>0</v>
      </c>
    </row>
    <row r="26" spans="1:10" x14ac:dyDescent="0.3">
      <c r="A26" t="s">
        <v>67</v>
      </c>
      <c r="B26" t="s">
        <v>107</v>
      </c>
      <c r="C26" t="s">
        <v>108</v>
      </c>
      <c r="D26" t="s">
        <v>70</v>
      </c>
      <c r="E26" t="s">
        <v>64</v>
      </c>
      <c r="F26" s="65">
        <v>0</v>
      </c>
      <c r="G26" s="65">
        <v>0</v>
      </c>
      <c r="H26" s="65">
        <v>0</v>
      </c>
      <c r="I26" s="65">
        <v>0</v>
      </c>
      <c r="J26" s="65">
        <v>0</v>
      </c>
    </row>
    <row r="27" spans="1:10" x14ac:dyDescent="0.3">
      <c r="A27" t="s">
        <v>67</v>
      </c>
      <c r="B27" t="s">
        <v>153</v>
      </c>
      <c r="C27" t="s">
        <v>154</v>
      </c>
      <c r="D27" t="s">
        <v>70</v>
      </c>
      <c r="E27" t="s">
        <v>64</v>
      </c>
      <c r="F27" s="65">
        <v>0</v>
      </c>
      <c r="G27" s="65">
        <v>0</v>
      </c>
      <c r="H27" s="65">
        <v>0</v>
      </c>
      <c r="I27" s="65">
        <v>0</v>
      </c>
      <c r="J27" s="65">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M23"/>
  <sheetViews>
    <sheetView zoomScale="85" zoomScaleNormal="85" workbookViewId="0"/>
  </sheetViews>
  <sheetFormatPr defaultRowHeight="14" x14ac:dyDescent="0.3"/>
  <cols>
    <col min="1" max="4" width="1.33203125" customWidth="1"/>
    <col min="5" max="5" width="67.5" bestFit="1" customWidth="1"/>
    <col min="6" max="7" width="9.25" customWidth="1"/>
    <col min="8" max="8" width="3" customWidth="1"/>
  </cols>
  <sheetData>
    <row r="1" spans="4:13" ht="14.5" thickBot="1" x14ac:dyDescent="0.35"/>
    <row r="2" spans="4:13" ht="14.5" thickBot="1" x14ac:dyDescent="0.35">
      <c r="I2" s="8" t="s">
        <v>34</v>
      </c>
      <c r="J2" s="6" t="s">
        <v>35</v>
      </c>
      <c r="K2" s="7" t="s">
        <v>36</v>
      </c>
      <c r="L2" s="7" t="s">
        <v>37</v>
      </c>
      <c r="M2" s="7" t="s">
        <v>38</v>
      </c>
    </row>
    <row r="3" spans="4:13" ht="16.5" thickBot="1" x14ac:dyDescent="0.35">
      <c r="D3" s="38"/>
      <c r="E3" s="77" t="s">
        <v>52</v>
      </c>
      <c r="I3" s="62"/>
      <c r="J3" s="62"/>
      <c r="K3" s="62"/>
      <c r="L3" s="62"/>
      <c r="M3" s="62"/>
    </row>
    <row r="4" spans="4:13" x14ac:dyDescent="0.3">
      <c r="E4" s="63" t="str">
        <f>F_Inputs!C7</f>
        <v>WR - Total gross operational expenditure -real - including cost sharing</v>
      </c>
      <c r="G4" t="s">
        <v>70</v>
      </c>
      <c r="H4" s="63"/>
      <c r="I4" s="63">
        <f>F_Inputs!F7</f>
        <v>11.496931072030799</v>
      </c>
      <c r="J4" s="63">
        <f>F_Inputs!G7</f>
        <v>11.4593065165721</v>
      </c>
      <c r="K4" s="63">
        <f>F_Inputs!H7</f>
        <v>11.4503669113585</v>
      </c>
      <c r="L4" s="63">
        <f>F_Inputs!I7</f>
        <v>11.446087953686201</v>
      </c>
      <c r="M4" s="63">
        <f>F_Inputs!J7</f>
        <v>11.4642853740822</v>
      </c>
    </row>
    <row r="5" spans="4:13" x14ac:dyDescent="0.3">
      <c r="E5" s="63" t="str">
        <f xml:space="preserve"> F_Inputs!C21</f>
        <v>WR - Grants and contributions net of income offset - operational expenditure - price control - real</v>
      </c>
      <c r="G5" t="s">
        <v>70</v>
      </c>
      <c r="H5" s="63"/>
      <c r="I5" s="63">
        <f>F_Inputs!F21</f>
        <v>0</v>
      </c>
      <c r="J5" s="63">
        <f>F_Inputs!G21</f>
        <v>0</v>
      </c>
      <c r="K5" s="63">
        <f>F_Inputs!H21</f>
        <v>0</v>
      </c>
      <c r="L5" s="63">
        <f>F_Inputs!I21</f>
        <v>0</v>
      </c>
      <c r="M5" s="63">
        <f>F_Inputs!J21</f>
        <v>0</v>
      </c>
    </row>
    <row r="6" spans="4:13" x14ac:dyDescent="0.3">
      <c r="E6" s="63" t="str">
        <f>F_Inputs!C22</f>
        <v>WR - Grants and contributions - operational expenditure - non price control - real</v>
      </c>
      <c r="G6" t="s">
        <v>70</v>
      </c>
      <c r="H6" s="63"/>
      <c r="I6" s="63">
        <f>F_Inputs!F22</f>
        <v>0</v>
      </c>
      <c r="J6" s="63">
        <f>F_Inputs!G22</f>
        <v>0</v>
      </c>
      <c r="K6" s="63">
        <f>F_Inputs!H22</f>
        <v>0</v>
      </c>
      <c r="L6" s="63">
        <f>F_Inputs!I22</f>
        <v>0</v>
      </c>
      <c r="M6" s="63">
        <f>F_Inputs!J22</f>
        <v>0</v>
      </c>
    </row>
    <row r="7" spans="4:13" x14ac:dyDescent="0.3">
      <c r="E7" t="s">
        <v>109</v>
      </c>
      <c r="G7" t="s">
        <v>70</v>
      </c>
      <c r="I7" s="64">
        <f>I4 - SUM(I5:I6)</f>
        <v>11.496931072030799</v>
      </c>
      <c r="J7" s="64">
        <f>J4 - SUM(J5:J6)</f>
        <v>11.4593065165721</v>
      </c>
      <c r="K7" s="64">
        <f>K4 - SUM(K5:K6)</f>
        <v>11.4503669113585</v>
      </c>
      <c r="L7" s="64">
        <f>L4 - SUM(L5:L6)</f>
        <v>11.446087953686201</v>
      </c>
      <c r="M7" s="64">
        <f>M4 - SUM(M5:M6)</f>
        <v>11.4642853740822</v>
      </c>
    </row>
    <row r="9" spans="4:13" x14ac:dyDescent="0.3">
      <c r="E9" s="63" t="str">
        <f>F_Inputs!C8</f>
        <v>WR - Total gross capital expenditure - real (including g&amp;c) - including cost sharing</v>
      </c>
      <c r="G9" t="s">
        <v>70</v>
      </c>
      <c r="H9" s="63"/>
      <c r="I9" s="63">
        <f>F_Inputs!F8</f>
        <v>3.6547125795441402</v>
      </c>
      <c r="J9" s="63">
        <f>F_Inputs!G8</f>
        <v>3.4661608642084598</v>
      </c>
      <c r="K9" s="63">
        <f>F_Inputs!H8</f>
        <v>6.6382968042146997</v>
      </c>
      <c r="L9" s="63">
        <f>F_Inputs!I8</f>
        <v>3.1241413477424498</v>
      </c>
      <c r="M9" s="63">
        <f>F_Inputs!J8</f>
        <v>3.0566772041892101</v>
      </c>
    </row>
    <row r="10" spans="4:13" x14ac:dyDescent="0.3">
      <c r="E10" s="63" t="str">
        <f>F_Inputs!C19</f>
        <v>WR - Grants and contributions net of income offset - capital expenditure - price control - real</v>
      </c>
      <c r="G10" t="s">
        <v>70</v>
      </c>
      <c r="H10" s="63"/>
      <c r="I10" s="63">
        <f>F_Inputs!F19</f>
        <v>0</v>
      </c>
      <c r="J10" s="63">
        <f>F_Inputs!G19</f>
        <v>0</v>
      </c>
      <c r="K10" s="63">
        <f>F_Inputs!H19</f>
        <v>0</v>
      </c>
      <c r="L10" s="63">
        <f>F_Inputs!I19</f>
        <v>0</v>
      </c>
      <c r="M10" s="63">
        <f>F_Inputs!J19</f>
        <v>0</v>
      </c>
    </row>
    <row r="11" spans="4:13" x14ac:dyDescent="0.3">
      <c r="E11" s="63" t="str">
        <f>F_Inputs!C20</f>
        <v>WR - Grants and contributions - capital expenditure - non price control - real</v>
      </c>
      <c r="G11" t="s">
        <v>70</v>
      </c>
      <c r="H11" s="63"/>
      <c r="I11" s="63">
        <f>F_Inputs!F20</f>
        <v>0</v>
      </c>
      <c r="J11" s="63">
        <f>F_Inputs!G20</f>
        <v>0</v>
      </c>
      <c r="K11" s="63">
        <f>F_Inputs!H20</f>
        <v>0</v>
      </c>
      <c r="L11" s="63">
        <f>F_Inputs!I20</f>
        <v>0</v>
      </c>
      <c r="M11" s="63">
        <f>F_Inputs!J20</f>
        <v>0</v>
      </c>
    </row>
    <row r="12" spans="4:13" x14ac:dyDescent="0.3">
      <c r="E12" t="s">
        <v>110</v>
      </c>
      <c r="G12" t="s">
        <v>70</v>
      </c>
      <c r="I12" s="64">
        <f>I9 - SUM(I10:I11)</f>
        <v>3.6547125795441402</v>
      </c>
      <c r="J12" s="64">
        <f>J9 - SUM(J10:J11)</f>
        <v>3.4661608642084598</v>
      </c>
      <c r="K12" s="64">
        <f>K9 - SUM(K10:K11)</f>
        <v>6.6382968042146997</v>
      </c>
      <c r="L12" s="64">
        <f>L9 - SUM(L10:L11)</f>
        <v>3.1241413477424498</v>
      </c>
      <c r="M12" s="64">
        <f>M9 - SUM(M10:M11)</f>
        <v>3.0566772041892101</v>
      </c>
    </row>
    <row r="13" spans="4:13" ht="14.5" thickBot="1" x14ac:dyDescent="0.35"/>
    <row r="14" spans="4:13" ht="16.5" thickBot="1" x14ac:dyDescent="0.35">
      <c r="D14" s="38"/>
      <c r="E14" s="77" t="s">
        <v>111</v>
      </c>
    </row>
    <row r="15" spans="4:13" x14ac:dyDescent="0.3">
      <c r="E15" s="63" t="str">
        <f>F_Inputs!C9</f>
        <v>WN - Total gross operational expenditure -real - including cost sharing</v>
      </c>
      <c r="G15" t="s">
        <v>70</v>
      </c>
      <c r="H15" s="63"/>
      <c r="I15" s="63">
        <f>F_Inputs!F9</f>
        <v>37.920460776999697</v>
      </c>
      <c r="J15" s="63">
        <f>F_Inputs!G9</f>
        <v>37.480490086996603</v>
      </c>
      <c r="K15" s="63">
        <f>F_Inputs!H9</f>
        <v>37.337027762273401</v>
      </c>
      <c r="L15" s="63">
        <f>F_Inputs!I9</f>
        <v>37.206443787800701</v>
      </c>
      <c r="M15" s="63">
        <f>F_Inputs!J9</f>
        <v>37.242985848718497</v>
      </c>
    </row>
    <row r="16" spans="4:13" x14ac:dyDescent="0.3">
      <c r="E16" s="63" t="str">
        <f>F_Inputs!C17</f>
        <v>WN - Grants and contributions net of income offset - operational expenditure - price control - real</v>
      </c>
      <c r="G16" t="s">
        <v>70</v>
      </c>
      <c r="H16" s="63"/>
      <c r="I16" s="63">
        <f>F_Inputs!F17</f>
        <v>0</v>
      </c>
      <c r="J16" s="63">
        <f>F_Inputs!G17</f>
        <v>0</v>
      </c>
      <c r="K16" s="63">
        <f>F_Inputs!H17</f>
        <v>0</v>
      </c>
      <c r="L16" s="63">
        <f>F_Inputs!I17</f>
        <v>0</v>
      </c>
      <c r="M16" s="63">
        <f>F_Inputs!J17</f>
        <v>0</v>
      </c>
    </row>
    <row r="17" spans="5:13" x14ac:dyDescent="0.3">
      <c r="E17" s="63" t="str">
        <f>F_Inputs!C18</f>
        <v>WN - Grants and contributions - operational expenditure - non price control - real</v>
      </c>
      <c r="G17" t="s">
        <v>70</v>
      </c>
      <c r="H17" s="63"/>
      <c r="I17" s="63">
        <f>F_Inputs!F18</f>
        <v>1.804E-2</v>
      </c>
      <c r="J17" s="63">
        <f>F_Inputs!G18</f>
        <v>1.804E-2</v>
      </c>
      <c r="K17" s="63">
        <f>F_Inputs!H18</f>
        <v>1.804E-2</v>
      </c>
      <c r="L17" s="63">
        <f>F_Inputs!I18</f>
        <v>1.804E-2</v>
      </c>
      <c r="M17" s="63">
        <f>F_Inputs!J18</f>
        <v>1.804E-2</v>
      </c>
    </row>
    <row r="18" spans="5:13" x14ac:dyDescent="0.3">
      <c r="E18" t="s">
        <v>112</v>
      </c>
      <c r="G18" t="s">
        <v>70</v>
      </c>
      <c r="I18" s="64">
        <f>I15 - SUM(I16:I17)</f>
        <v>37.902420776999698</v>
      </c>
      <c r="J18" s="64">
        <f>J15 - SUM(J16:J17)</f>
        <v>37.462450086996604</v>
      </c>
      <c r="K18" s="64">
        <f>K15 - SUM(K16:K17)</f>
        <v>37.318987762273402</v>
      </c>
      <c r="L18" s="64">
        <f>L15 - SUM(L16:L17)</f>
        <v>37.188403787800702</v>
      </c>
      <c r="M18" s="64">
        <f>M15 - SUM(M16:M17)</f>
        <v>37.224945848718498</v>
      </c>
    </row>
    <row r="20" spans="5:13" x14ac:dyDescent="0.3">
      <c r="E20" s="63" t="str">
        <f>F_Inputs!C10</f>
        <v>WN - Total gross capital expenditure - real - including cost sharing</v>
      </c>
      <c r="G20" t="s">
        <v>70</v>
      </c>
      <c r="H20" s="63"/>
      <c r="I20" s="63">
        <f>F_Inputs!F10</f>
        <v>33.0159947107527</v>
      </c>
      <c r="J20" s="63">
        <f>F_Inputs!G10</f>
        <v>31.696214728101399</v>
      </c>
      <c r="K20" s="63">
        <f>F_Inputs!H10</f>
        <v>29.1839320910852</v>
      </c>
      <c r="L20" s="63">
        <f>F_Inputs!I10</f>
        <v>30.8720113052328</v>
      </c>
      <c r="M20" s="63">
        <f>F_Inputs!J10</f>
        <v>31.027358063571</v>
      </c>
    </row>
    <row r="21" spans="5:13" x14ac:dyDescent="0.3">
      <c r="E21" s="63" t="str">
        <f>F_Inputs!C15</f>
        <v>WN - Grants and contributions net of income offset - capital expenditure - price control - real</v>
      </c>
      <c r="G21" t="s">
        <v>70</v>
      </c>
      <c r="H21" s="63"/>
      <c r="I21" s="63">
        <f>F_Inputs!F15</f>
        <v>2.94701323054155</v>
      </c>
      <c r="J21" s="63">
        <f>F_Inputs!G15</f>
        <v>2.8695529066802501</v>
      </c>
      <c r="K21" s="63">
        <f>F_Inputs!H15</f>
        <v>2.9285283805292002</v>
      </c>
      <c r="L21" s="63">
        <f>F_Inputs!I15</f>
        <v>2.9822224686603298</v>
      </c>
      <c r="M21" s="63">
        <f>F_Inputs!J15</f>
        <v>3.0411979425092799</v>
      </c>
    </row>
    <row r="22" spans="5:13" x14ac:dyDescent="0.3">
      <c r="E22" s="63" t="str">
        <f>F_Inputs!C16</f>
        <v>WN - Grants and contributions - capital expenditure - non price control - real</v>
      </c>
      <c r="G22" t="s">
        <v>70</v>
      </c>
      <c r="H22" s="63"/>
      <c r="I22" s="63">
        <f>F_Inputs!F16</f>
        <v>0</v>
      </c>
      <c r="J22" s="63">
        <f>F_Inputs!G16</f>
        <v>0</v>
      </c>
      <c r="K22" s="63">
        <f>F_Inputs!H16</f>
        <v>0</v>
      </c>
      <c r="L22" s="63">
        <f>F_Inputs!I16</f>
        <v>0</v>
      </c>
      <c r="M22" s="63">
        <f>F_Inputs!J16</f>
        <v>0</v>
      </c>
    </row>
    <row r="23" spans="5:13" x14ac:dyDescent="0.3">
      <c r="E23" t="s">
        <v>113</v>
      </c>
      <c r="G23" t="s">
        <v>70</v>
      </c>
      <c r="I23" s="64">
        <f>I20 - SUM(I21:I22)</f>
        <v>30.06898148021115</v>
      </c>
      <c r="J23" s="64">
        <f>J20 - SUM(J21:J22)</f>
        <v>28.826661821421148</v>
      </c>
      <c r="K23" s="64">
        <f>K20 - SUM(K21:K22)</f>
        <v>26.255403710555999</v>
      </c>
      <c r="L23" s="64">
        <f>L20 - SUM(L21:L22)</f>
        <v>27.889788836572471</v>
      </c>
      <c r="M23" s="64">
        <f>M20 - SUM(M21:M22)</f>
        <v>27.986160121061722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85" zoomScaleNormal="85" workbookViewId="0"/>
  </sheetViews>
  <sheetFormatPr defaultRowHeight="14" x14ac:dyDescent="0.3"/>
  <cols>
    <col min="1" max="1" width="3" customWidth="1"/>
    <col min="2" max="2" width="77.75" bestFit="1" customWidth="1"/>
    <col min="3" max="3" width="2" customWidth="1"/>
    <col min="10" max="10" width="3.83203125" customWidth="1"/>
    <col min="11" max="11" width="1.75" customWidth="1"/>
    <col min="12" max="17" width="9.75" customWidth="1"/>
    <col min="18" max="18" width="2.33203125" customWidth="1"/>
  </cols>
  <sheetData>
    <row r="1" spans="1:18" x14ac:dyDescent="0.3">
      <c r="D1" s="38" t="s">
        <v>114</v>
      </c>
      <c r="L1" s="38" t="s">
        <v>115</v>
      </c>
    </row>
    <row r="2" spans="1:18" x14ac:dyDescent="0.3">
      <c r="D2" s="39">
        <v>2021</v>
      </c>
      <c r="E2" s="39">
        <v>2022</v>
      </c>
      <c r="F2" s="39">
        <v>2023</v>
      </c>
      <c r="G2" s="39">
        <v>2024</v>
      </c>
      <c r="H2" s="39">
        <v>2025</v>
      </c>
      <c r="I2" s="66"/>
      <c r="L2" s="39">
        <v>2021</v>
      </c>
      <c r="M2" s="39">
        <v>2022</v>
      </c>
      <c r="N2" s="39">
        <v>2023</v>
      </c>
      <c r="O2" s="39">
        <v>2024</v>
      </c>
      <c r="P2" s="39">
        <v>2025</v>
      </c>
      <c r="Q2" s="66"/>
      <c r="R2" s="40"/>
    </row>
    <row r="3" spans="1:18" x14ac:dyDescent="0.3">
      <c r="B3" s="41" t="s">
        <v>116</v>
      </c>
      <c r="C3" s="42"/>
      <c r="D3" s="43" t="s">
        <v>70</v>
      </c>
      <c r="E3" s="43" t="s">
        <v>70</v>
      </c>
      <c r="F3" s="43" t="s">
        <v>70</v>
      </c>
      <c r="G3" s="43" t="s">
        <v>70</v>
      </c>
      <c r="H3" s="43" t="s">
        <v>70</v>
      </c>
      <c r="I3" s="48" t="s">
        <v>117</v>
      </c>
      <c r="J3" s="44"/>
      <c r="K3" s="45"/>
      <c r="L3" s="43" t="s">
        <v>70</v>
      </c>
      <c r="M3" s="43" t="s">
        <v>70</v>
      </c>
      <c r="N3" s="43" t="s">
        <v>70</v>
      </c>
      <c r="O3" s="43" t="s">
        <v>70</v>
      </c>
      <c r="P3" s="43" t="s">
        <v>70</v>
      </c>
      <c r="Q3" s="48" t="s">
        <v>117</v>
      </c>
      <c r="R3" s="45"/>
    </row>
    <row r="4" spans="1:18" x14ac:dyDescent="0.3">
      <c r="A4" s="41"/>
      <c r="B4" s="46"/>
      <c r="C4" s="42"/>
      <c r="D4" s="47"/>
      <c r="E4" s="47"/>
      <c r="F4" s="47"/>
      <c r="G4" s="47"/>
      <c r="H4" s="47"/>
      <c r="I4" s="47"/>
      <c r="J4" s="44"/>
      <c r="K4" s="45"/>
      <c r="L4" s="48"/>
      <c r="M4" s="48"/>
      <c r="N4" s="48"/>
      <c r="O4" s="48"/>
      <c r="P4" s="48"/>
      <c r="Q4" s="48"/>
      <c r="R4" s="45"/>
    </row>
    <row r="5" spans="1:18" x14ac:dyDescent="0.3">
      <c r="A5" s="49"/>
      <c r="B5" s="47" t="s">
        <v>118</v>
      </c>
      <c r="C5" s="50"/>
      <c r="D5" s="51">
        <v>10.373135552430901</v>
      </c>
      <c r="E5" s="51">
        <v>10.362491890470301</v>
      </c>
      <c r="F5" s="51">
        <v>10.3775704115811</v>
      </c>
      <c r="G5" s="51">
        <v>10.397083791842199</v>
      </c>
      <c r="H5" s="51">
        <v>10.441432383344701</v>
      </c>
      <c r="I5" s="51"/>
      <c r="J5" s="52"/>
      <c r="K5" s="53"/>
      <c r="L5" s="54">
        <f>'Draft determination totex'!I4</f>
        <v>11.496931072030799</v>
      </c>
      <c r="M5" s="54">
        <f>'Draft determination totex'!J4</f>
        <v>11.4593065165721</v>
      </c>
      <c r="N5" s="54">
        <f>'Draft determination totex'!K4</f>
        <v>11.4503669113585</v>
      </c>
      <c r="O5" s="54">
        <f>'Draft determination totex'!L4</f>
        <v>11.446087953686201</v>
      </c>
      <c r="P5" s="54">
        <f>'Draft determination totex'!M4</f>
        <v>11.4642853740822</v>
      </c>
      <c r="Q5" s="54"/>
      <c r="R5" s="53"/>
    </row>
    <row r="6" spans="1:18" x14ac:dyDescent="0.3">
      <c r="A6" s="49"/>
      <c r="B6" s="47" t="s">
        <v>119</v>
      </c>
      <c r="C6" s="50"/>
      <c r="D6" s="51">
        <v>3.32525739085622</v>
      </c>
      <c r="E6" s="51">
        <v>3.10085351785365</v>
      </c>
      <c r="F6" s="51">
        <v>5.98173802185498</v>
      </c>
      <c r="G6" s="51">
        <v>3.0157042221688801</v>
      </c>
      <c r="H6" s="51">
        <v>2.9811123207969401</v>
      </c>
      <c r="I6" s="51"/>
      <c r="J6" s="52"/>
      <c r="K6" s="53"/>
      <c r="L6" s="54">
        <f>'Draft determination totex'!I9</f>
        <v>3.6547125795441402</v>
      </c>
      <c r="M6" s="54">
        <f>'Draft determination totex'!J9</f>
        <v>3.4661608642084598</v>
      </c>
      <c r="N6" s="54">
        <f>'Draft determination totex'!K9</f>
        <v>6.6382968042146997</v>
      </c>
      <c r="O6" s="54">
        <f>'Draft determination totex'!L9</f>
        <v>3.1241413477424498</v>
      </c>
      <c r="P6" s="54">
        <f>'Draft determination totex'!M9</f>
        <v>3.0566772041892101</v>
      </c>
      <c r="Q6" s="54"/>
      <c r="R6" s="53"/>
    </row>
    <row r="7" spans="1:18" x14ac:dyDescent="0.3">
      <c r="A7" s="49"/>
      <c r="B7" s="47" t="s">
        <v>120</v>
      </c>
      <c r="C7" s="50"/>
      <c r="D7" s="51"/>
      <c r="E7" s="51"/>
      <c r="F7" s="51"/>
      <c r="G7" s="51"/>
      <c r="H7" s="51"/>
      <c r="I7" s="51"/>
      <c r="J7" s="52"/>
      <c r="K7" s="53"/>
      <c r="L7" s="54">
        <f>'Draft determination totex'!I10+'Draft determination totex'!I11</f>
        <v>0</v>
      </c>
      <c r="M7" s="54">
        <f>'Draft determination totex'!J10+'Draft determination totex'!J11</f>
        <v>0</v>
      </c>
      <c r="N7" s="54">
        <f>'Draft determination totex'!K10+'Draft determination totex'!K11</f>
        <v>0</v>
      </c>
      <c r="O7" s="54">
        <f>'Draft determination totex'!L10+'Draft determination totex'!L11</f>
        <v>0</v>
      </c>
      <c r="P7" s="54">
        <f>'Draft determination totex'!M10+'Draft determination totex'!M11</f>
        <v>0</v>
      </c>
      <c r="Q7" s="54"/>
      <c r="R7" s="53"/>
    </row>
    <row r="8" spans="1:18" ht="14.5" thickBot="1" x14ac:dyDescent="0.35">
      <c r="A8" s="49"/>
      <c r="B8" s="55" t="s">
        <v>121</v>
      </c>
      <c r="C8" s="50"/>
      <c r="D8" s="56"/>
      <c r="E8" s="56"/>
      <c r="F8" s="56"/>
      <c r="G8" s="56"/>
      <c r="H8" s="56"/>
      <c r="I8" s="56"/>
      <c r="J8" s="52"/>
      <c r="K8" s="53"/>
      <c r="L8" s="54">
        <f>'Draft determination totex'!I5+'Draft determination totex'!I6</f>
        <v>0</v>
      </c>
      <c r="M8" s="54">
        <f>'Draft determination totex'!J5+'Draft determination totex'!J6</f>
        <v>0</v>
      </c>
      <c r="N8" s="54">
        <f>'Draft determination totex'!K5+'Draft determination totex'!K6</f>
        <v>0</v>
      </c>
      <c r="O8" s="54">
        <f>'Draft determination totex'!L5+'Draft determination totex'!L6</f>
        <v>0</v>
      </c>
      <c r="P8" s="54">
        <f>'Draft determination totex'!M5+'Draft determination totex'!M6</f>
        <v>0</v>
      </c>
      <c r="Q8" s="54"/>
      <c r="R8" s="53"/>
    </row>
    <row r="9" spans="1:18" x14ac:dyDescent="0.3">
      <c r="A9" s="49"/>
      <c r="B9" s="55" t="s">
        <v>122</v>
      </c>
      <c r="C9" s="50"/>
      <c r="D9" s="58">
        <v>13.698392943287121</v>
      </c>
      <c r="E9" s="58">
        <v>13.463345408323951</v>
      </c>
      <c r="F9" s="58">
        <v>16.35930843343608</v>
      </c>
      <c r="G9" s="58">
        <v>13.412788014011079</v>
      </c>
      <c r="H9" s="58">
        <v>13.422544704141641</v>
      </c>
      <c r="I9" s="67">
        <v>70.356379503199861</v>
      </c>
      <c r="J9" s="52"/>
      <c r="K9" s="53"/>
      <c r="L9" s="58">
        <f>SUM(L5:L6)-SUM(L7:L8)</f>
        <v>15.15164365157494</v>
      </c>
      <c r="M9" s="58">
        <f>SUM(M5:M6)-SUM(M7:M8)</f>
        <v>14.92546738078056</v>
      </c>
      <c r="N9" s="58">
        <f>SUM(N5:N6)-SUM(N7:N8)</f>
        <v>18.088663715573201</v>
      </c>
      <c r="O9" s="58">
        <f>SUM(O5:O6)-SUM(O7:O8)</f>
        <v>14.57022930142865</v>
      </c>
      <c r="P9" s="58">
        <f>SUM(P5:P6)-SUM(P7:P8)</f>
        <v>14.52096257827141</v>
      </c>
      <c r="Q9" s="67">
        <f>SUM(L9:P9)</f>
        <v>77.256966627628756</v>
      </c>
      <c r="R9" s="53"/>
    </row>
    <row r="10" spans="1:18" x14ac:dyDescent="0.3">
      <c r="A10" s="49"/>
      <c r="B10" s="55" t="s">
        <v>123</v>
      </c>
      <c r="C10" s="50"/>
      <c r="D10" s="58">
        <v>10.373135552430901</v>
      </c>
      <c r="E10" s="58">
        <v>10.362491890470301</v>
      </c>
      <c r="F10" s="58">
        <v>10.3775704115811</v>
      </c>
      <c r="G10" s="58">
        <v>10.397083791842199</v>
      </c>
      <c r="H10" s="58">
        <v>10.441432383344701</v>
      </c>
      <c r="I10" s="68">
        <v>51.951714029669205</v>
      </c>
      <c r="J10" s="52"/>
      <c r="K10" s="53"/>
      <c r="L10" s="58">
        <f>L5-L8</f>
        <v>11.496931072030799</v>
      </c>
      <c r="M10" s="58">
        <f>M5-M8</f>
        <v>11.4593065165721</v>
      </c>
      <c r="N10" s="58">
        <f>N5-N8</f>
        <v>11.4503669113585</v>
      </c>
      <c r="O10" s="58">
        <f>O5-O8</f>
        <v>11.446087953686201</v>
      </c>
      <c r="P10" s="58">
        <f>P5-P8</f>
        <v>11.4642853740822</v>
      </c>
      <c r="Q10" s="68">
        <f t="shared" ref="Q10:Q11" si="0">SUM(L10:P10)</f>
        <v>57.316977827729808</v>
      </c>
      <c r="R10" s="53"/>
    </row>
    <row r="11" spans="1:18" ht="14.5" thickBot="1" x14ac:dyDescent="0.35">
      <c r="A11" s="49"/>
      <c r="B11" s="55" t="s">
        <v>124</v>
      </c>
      <c r="C11" s="50"/>
      <c r="D11" s="58">
        <v>3.3252573908562209</v>
      </c>
      <c r="E11" s="58">
        <v>3.1008535178536505</v>
      </c>
      <c r="F11" s="58">
        <v>5.98173802185498</v>
      </c>
      <c r="G11" s="58">
        <v>3.0157042221688801</v>
      </c>
      <c r="H11" s="58">
        <v>2.9811123207969406</v>
      </c>
      <c r="I11" s="69">
        <v>18.40466547353067</v>
      </c>
      <c r="J11" s="52"/>
      <c r="K11" s="53"/>
      <c r="L11" s="58">
        <f>L9-L10</f>
        <v>3.6547125795441406</v>
      </c>
      <c r="M11" s="58">
        <f t="shared" ref="M11:P11" si="1">M9-M10</f>
        <v>3.4661608642084598</v>
      </c>
      <c r="N11" s="58">
        <f t="shared" si="1"/>
        <v>6.6382968042147006</v>
      </c>
      <c r="O11" s="58">
        <f t="shared" si="1"/>
        <v>3.1241413477424498</v>
      </c>
      <c r="P11" s="58">
        <f t="shared" si="1"/>
        <v>3.0566772041892101</v>
      </c>
      <c r="Q11" s="69">
        <f t="shared" si="0"/>
        <v>19.939988799898959</v>
      </c>
      <c r="R11" s="53"/>
    </row>
    <row r="12" spans="1:18" x14ac:dyDescent="0.3">
      <c r="A12" s="49"/>
      <c r="B12" s="55"/>
      <c r="C12" s="50"/>
      <c r="D12" s="57"/>
      <c r="E12" s="57"/>
      <c r="F12" s="57"/>
      <c r="G12" s="57"/>
      <c r="H12" s="57"/>
      <c r="I12" s="57"/>
      <c r="J12" s="52"/>
      <c r="K12" s="53"/>
      <c r="R12" s="53"/>
    </row>
    <row r="13" spans="1:18" x14ac:dyDescent="0.3">
      <c r="B13" s="41" t="s">
        <v>125</v>
      </c>
      <c r="C13" s="42"/>
      <c r="D13" s="59"/>
      <c r="E13" s="59"/>
      <c r="F13" s="59"/>
      <c r="G13" s="59"/>
      <c r="H13" s="59"/>
      <c r="I13" s="59"/>
      <c r="J13" s="44"/>
      <c r="K13" s="45"/>
      <c r="L13" s="60"/>
      <c r="M13" s="60"/>
      <c r="N13" s="60"/>
      <c r="O13" s="60"/>
      <c r="P13" s="60"/>
      <c r="Q13" s="60"/>
      <c r="R13" s="53"/>
    </row>
    <row r="14" spans="1:18" x14ac:dyDescent="0.3">
      <c r="A14" s="49"/>
      <c r="B14" s="47" t="s">
        <v>126</v>
      </c>
      <c r="C14" s="50"/>
      <c r="D14" s="51">
        <v>35.733436208629797</v>
      </c>
      <c r="E14" s="51">
        <v>35.457596789347399</v>
      </c>
      <c r="F14" s="51">
        <v>35.461814517470998</v>
      </c>
      <c r="G14" s="51">
        <v>35.4795289755901</v>
      </c>
      <c r="H14" s="51">
        <v>35.658360648029998</v>
      </c>
      <c r="I14" s="51"/>
      <c r="J14" s="52"/>
      <c r="K14" s="53"/>
      <c r="L14" s="54">
        <f>'Draft determination totex'!I15</f>
        <v>37.920460776999697</v>
      </c>
      <c r="M14" s="54">
        <f>'Draft determination totex'!J15</f>
        <v>37.480490086996603</v>
      </c>
      <c r="N14" s="54">
        <f>'Draft determination totex'!K15</f>
        <v>37.337027762273401</v>
      </c>
      <c r="O14" s="54">
        <f>'Draft determination totex'!L15</f>
        <v>37.206443787800701</v>
      </c>
      <c r="P14" s="54">
        <f>'Draft determination totex'!M15</f>
        <v>37.242985848718497</v>
      </c>
      <c r="Q14" s="54"/>
      <c r="R14" s="53"/>
    </row>
    <row r="15" spans="1:18" x14ac:dyDescent="0.3">
      <c r="A15" s="49"/>
      <c r="B15" s="47" t="s">
        <v>127</v>
      </c>
      <c r="C15" s="50"/>
      <c r="D15" s="51">
        <v>31.1529834664174</v>
      </c>
      <c r="E15" s="51">
        <v>29.791500828124398</v>
      </c>
      <c r="F15" s="51">
        <v>27.2617074995986</v>
      </c>
      <c r="G15" s="51">
        <v>29.7940314649986</v>
      </c>
      <c r="H15" s="51">
        <v>30.0319113311687</v>
      </c>
      <c r="I15" s="51"/>
      <c r="J15" s="52"/>
      <c r="K15" s="53"/>
      <c r="L15" s="54">
        <f>'Draft determination totex'!I20</f>
        <v>33.0159947107527</v>
      </c>
      <c r="M15" s="54">
        <f>'Draft determination totex'!J20</f>
        <v>31.696214728101399</v>
      </c>
      <c r="N15" s="54">
        <f>'Draft determination totex'!K20</f>
        <v>29.1839320910852</v>
      </c>
      <c r="O15" s="54">
        <f>'Draft determination totex'!L20</f>
        <v>30.8720113052328</v>
      </c>
      <c r="P15" s="54">
        <f>'Draft determination totex'!M20</f>
        <v>31.027358063571</v>
      </c>
      <c r="Q15" s="54"/>
      <c r="R15" s="53"/>
    </row>
    <row r="16" spans="1:18" x14ac:dyDescent="0.3">
      <c r="A16" s="49"/>
      <c r="B16" s="47" t="s">
        <v>128</v>
      </c>
      <c r="C16" s="50"/>
      <c r="D16" s="51">
        <v>1.27690542811365</v>
      </c>
      <c r="E16" s="51">
        <v>1.1985083749157599</v>
      </c>
      <c r="F16" s="51">
        <v>1.14427479701859</v>
      </c>
      <c r="G16" s="51">
        <v>1.4143687542688701</v>
      </c>
      <c r="H16" s="51">
        <v>1.4460497552186999</v>
      </c>
      <c r="I16" s="51"/>
      <c r="J16" s="52"/>
      <c r="K16" s="53"/>
      <c r="L16" s="54">
        <f>'Draft determination totex'!I21+'Draft determination totex'!I22</f>
        <v>2.94701323054155</v>
      </c>
      <c r="M16" s="54">
        <f>'Draft determination totex'!J21+'Draft determination totex'!J22</f>
        <v>2.8695529066802501</v>
      </c>
      <c r="N16" s="54">
        <f>'Draft determination totex'!K21+'Draft determination totex'!K22</f>
        <v>2.9285283805292002</v>
      </c>
      <c r="O16" s="54">
        <f>'Draft determination totex'!L21+'Draft determination totex'!L22</f>
        <v>2.9822224686603298</v>
      </c>
      <c r="P16" s="54">
        <f>'Draft determination totex'!M21+'Draft determination totex'!M22</f>
        <v>3.0411979425092799</v>
      </c>
      <c r="Q16" s="54"/>
      <c r="R16" s="53"/>
    </row>
    <row r="17" spans="1:18" ht="14.5" thickBot="1" x14ac:dyDescent="0.35">
      <c r="A17" s="49"/>
      <c r="B17" s="47" t="s">
        <v>129</v>
      </c>
      <c r="C17" s="50"/>
      <c r="D17" s="56">
        <v>0</v>
      </c>
      <c r="E17" s="56">
        <v>0</v>
      </c>
      <c r="F17" s="56">
        <v>0</v>
      </c>
      <c r="G17" s="56">
        <v>0</v>
      </c>
      <c r="H17" s="56">
        <v>0</v>
      </c>
      <c r="I17" s="56"/>
      <c r="J17" s="52"/>
      <c r="K17" s="53"/>
      <c r="L17" s="54">
        <f>'Draft determination totex'!I16+'Draft determination totex'!I17</f>
        <v>1.804E-2</v>
      </c>
      <c r="M17" s="54">
        <f>'Draft determination totex'!J16+'Draft determination totex'!J17</f>
        <v>1.804E-2</v>
      </c>
      <c r="N17" s="54">
        <f>'Draft determination totex'!K16+'Draft determination totex'!K17</f>
        <v>1.804E-2</v>
      </c>
      <c r="O17" s="54">
        <f>'Draft determination totex'!L16+'Draft determination totex'!L17</f>
        <v>1.804E-2</v>
      </c>
      <c r="P17" s="54">
        <f>'Draft determination totex'!M16+'Draft determination totex'!M17</f>
        <v>1.804E-2</v>
      </c>
      <c r="Q17" s="54"/>
      <c r="R17" s="53"/>
    </row>
    <row r="18" spans="1:18" x14ac:dyDescent="0.3">
      <c r="A18" s="49"/>
      <c r="B18" s="55" t="s">
        <v>122</v>
      </c>
      <c r="C18" s="50"/>
      <c r="D18" s="58">
        <v>65.609514246933543</v>
      </c>
      <c r="E18" s="58">
        <v>64.050589242556029</v>
      </c>
      <c r="F18" s="58">
        <v>61.579247220051009</v>
      </c>
      <c r="G18" s="58">
        <v>63.859191686319825</v>
      </c>
      <c r="H18" s="58">
        <v>64.244222223980003</v>
      </c>
      <c r="I18" s="67">
        <v>319.34276461984041</v>
      </c>
      <c r="J18" s="52"/>
      <c r="K18" s="53"/>
      <c r="L18" s="58">
        <f>SUM(L14:L15)-SUM(L16:L17)</f>
        <v>67.971402257210841</v>
      </c>
      <c r="M18" s="58">
        <f>SUM(M14:M15)-SUM(M16:M17)</f>
        <v>66.289111908417752</v>
      </c>
      <c r="N18" s="58">
        <f>SUM(N14:N15)-SUM(N16:N17)</f>
        <v>63.574391472829404</v>
      </c>
      <c r="O18" s="58">
        <f>SUM(O14:O15)-SUM(O16:O17)</f>
        <v>65.078192624373173</v>
      </c>
      <c r="P18" s="58">
        <f>SUM(P14:P15)-SUM(P16:P17)</f>
        <v>65.211105969780206</v>
      </c>
      <c r="Q18" s="67">
        <f>SUM(L18:P18)</f>
        <v>328.12420423261136</v>
      </c>
      <c r="R18" s="53"/>
    </row>
    <row r="19" spans="1:18" x14ac:dyDescent="0.3">
      <c r="A19" s="49"/>
      <c r="B19" s="55" t="s">
        <v>123</v>
      </c>
      <c r="C19" s="50"/>
      <c r="D19" s="58">
        <v>35.733436208629797</v>
      </c>
      <c r="E19" s="58">
        <v>35.457596789347399</v>
      </c>
      <c r="F19" s="58">
        <v>35.461814517470998</v>
      </c>
      <c r="G19" s="58">
        <v>35.4795289755901</v>
      </c>
      <c r="H19" s="58">
        <v>35.658360648029998</v>
      </c>
      <c r="I19" s="68">
        <v>177.79073713906831</v>
      </c>
      <c r="J19" s="52"/>
      <c r="K19" s="53"/>
      <c r="L19" s="58">
        <f>L14-L17</f>
        <v>37.902420776999698</v>
      </c>
      <c r="M19" s="58">
        <f>M14-M17</f>
        <v>37.462450086996604</v>
      </c>
      <c r="N19" s="58">
        <f>N14-N17</f>
        <v>37.318987762273402</v>
      </c>
      <c r="O19" s="58">
        <f>O14-O17</f>
        <v>37.188403787800702</v>
      </c>
      <c r="P19" s="58">
        <f>P14-P17</f>
        <v>37.224945848718498</v>
      </c>
      <c r="Q19" s="68">
        <f t="shared" ref="Q19:Q20" si="2">SUM(L19:P19)</f>
        <v>187.09720826278891</v>
      </c>
      <c r="R19" s="53"/>
    </row>
    <row r="20" spans="1:18" ht="14.5" thickBot="1" x14ac:dyDescent="0.35">
      <c r="A20" s="49"/>
      <c r="B20" s="55" t="s">
        <v>124</v>
      </c>
      <c r="C20" s="50"/>
      <c r="D20" s="58">
        <v>29.876078038303746</v>
      </c>
      <c r="E20" s="58">
        <v>28.59299245320863</v>
      </c>
      <c r="F20" s="58">
        <v>26.117432702580011</v>
      </c>
      <c r="G20" s="58">
        <v>28.379662710729725</v>
      </c>
      <c r="H20" s="58">
        <v>28.585861575950005</v>
      </c>
      <c r="I20" s="69">
        <v>141.5520274807721</v>
      </c>
      <c r="J20" s="52"/>
      <c r="K20" s="53"/>
      <c r="L20" s="58">
        <f>L18-L19</f>
        <v>30.068981480211143</v>
      </c>
      <c r="M20" s="58">
        <f t="shared" ref="M20:P20" si="3">M18-M19</f>
        <v>28.826661821421148</v>
      </c>
      <c r="N20" s="58">
        <f t="shared" si="3"/>
        <v>26.255403710556003</v>
      </c>
      <c r="O20" s="58">
        <f t="shared" si="3"/>
        <v>27.889788836572471</v>
      </c>
      <c r="P20" s="58">
        <f t="shared" si="3"/>
        <v>27.986160121061708</v>
      </c>
      <c r="Q20" s="69">
        <f t="shared" si="2"/>
        <v>141.02699596982248</v>
      </c>
      <c r="R20" s="53"/>
    </row>
    <row r="21" spans="1:18" x14ac:dyDescent="0.3">
      <c r="A21" s="49"/>
      <c r="B21" s="47"/>
      <c r="C21" s="50"/>
      <c r="D21" s="61"/>
      <c r="E21" s="61"/>
      <c r="F21" s="61"/>
      <c r="G21" s="61"/>
      <c r="H21" s="61"/>
      <c r="I21" s="61"/>
      <c r="J21" s="52"/>
      <c r="K21" s="53"/>
      <c r="R21" s="5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Normal="100" workbookViewId="0"/>
  </sheetViews>
  <sheetFormatPr defaultRowHeight="14" x14ac:dyDescent="0.3"/>
  <cols>
    <col min="1" max="1" width="27.58203125" bestFit="1" customWidth="1"/>
    <col min="2" max="7" width="9" style="13"/>
    <col min="8" max="8" width="3.25" customWidth="1"/>
  </cols>
  <sheetData>
    <row r="1" spans="1:14" s="1" customFormat="1" ht="20" x14ac:dyDescent="0.3">
      <c r="A1" s="3" t="s">
        <v>30</v>
      </c>
      <c r="B1" s="114" t="s">
        <v>4</v>
      </c>
      <c r="C1" s="113"/>
      <c r="D1" s="113"/>
      <c r="E1" s="113"/>
      <c r="F1" s="113"/>
      <c r="G1" s="113"/>
      <c r="I1" s="114" t="s">
        <v>12</v>
      </c>
      <c r="J1" s="113"/>
      <c r="K1" s="113"/>
      <c r="L1" s="113"/>
      <c r="M1" s="113"/>
      <c r="N1" s="113"/>
    </row>
    <row r="2" spans="1:14" s="1" customFormat="1" ht="14.5" thickBot="1" x14ac:dyDescent="0.35">
      <c r="A2" s="4"/>
      <c r="B2" s="5"/>
      <c r="C2" s="5"/>
      <c r="D2" s="5"/>
      <c r="E2" s="5"/>
      <c r="F2" s="5"/>
      <c r="G2" s="5"/>
      <c r="I2" s="5"/>
      <c r="J2" s="5"/>
      <c r="K2" s="5"/>
      <c r="L2" s="5"/>
      <c r="M2" s="5"/>
      <c r="N2" s="5"/>
    </row>
    <row r="3" spans="1:14" s="1" customFormat="1" ht="14.5" thickBot="1" x14ac:dyDescent="0.35">
      <c r="A3" s="14"/>
      <c r="B3" s="7" t="s">
        <v>34</v>
      </c>
      <c r="C3" s="7" t="s">
        <v>35</v>
      </c>
      <c r="D3" s="7" t="s">
        <v>36</v>
      </c>
      <c r="E3" s="7" t="s">
        <v>37</v>
      </c>
      <c r="F3" s="8" t="s">
        <v>38</v>
      </c>
      <c r="G3" s="8" t="s">
        <v>117</v>
      </c>
      <c r="I3" s="7" t="s">
        <v>34</v>
      </c>
      <c r="J3" s="7" t="s">
        <v>35</v>
      </c>
      <c r="K3" s="7" t="s">
        <v>36</v>
      </c>
      <c r="L3" s="7" t="s">
        <v>37</v>
      </c>
      <c r="M3" s="8" t="s">
        <v>38</v>
      </c>
      <c r="N3" s="8" t="s">
        <v>117</v>
      </c>
    </row>
    <row r="4" spans="1:14" s="1" customFormat="1" ht="14.5" thickBot="1" x14ac:dyDescent="0.35">
      <c r="A4" s="4"/>
      <c r="B4" s="5"/>
      <c r="C4" s="5"/>
      <c r="D4" s="5"/>
      <c r="E4" s="5"/>
      <c r="F4" s="5"/>
      <c r="G4" s="5"/>
      <c r="I4" s="5"/>
      <c r="J4" s="5"/>
      <c r="K4" s="5"/>
      <c r="L4" s="5"/>
      <c r="M4" s="5"/>
      <c r="N4" s="5"/>
    </row>
    <row r="5" spans="1:14" s="1" customFormat="1" ht="14.5" thickBot="1" x14ac:dyDescent="0.35">
      <c r="A5" s="15" t="s">
        <v>130</v>
      </c>
      <c r="B5" s="5"/>
      <c r="C5" s="5"/>
      <c r="D5" s="5"/>
      <c r="E5" s="5"/>
      <c r="F5" s="5"/>
      <c r="G5" s="5"/>
      <c r="I5" s="5"/>
      <c r="J5" s="5"/>
      <c r="K5" s="5"/>
      <c r="L5" s="5"/>
      <c r="M5" s="5"/>
      <c r="N5" s="5"/>
    </row>
    <row r="6" spans="1:14" s="1" customFormat="1" ht="14.5" thickBot="1" x14ac:dyDescent="0.35">
      <c r="A6" s="16" t="s">
        <v>131</v>
      </c>
      <c r="B6" s="17">
        <f>Calculation!D10</f>
        <v>10.373135552430901</v>
      </c>
      <c r="C6" s="17">
        <f>Calculation!E10</f>
        <v>10.362491890470301</v>
      </c>
      <c r="D6" s="17">
        <f>Calculation!F10</f>
        <v>10.3775704115811</v>
      </c>
      <c r="E6" s="17">
        <f>Calculation!G10</f>
        <v>10.397083791842199</v>
      </c>
      <c r="F6" s="17">
        <f>Calculation!H10</f>
        <v>10.441432383344701</v>
      </c>
      <c r="G6" s="17">
        <f>Calculation!I10</f>
        <v>51.951714029669205</v>
      </c>
      <c r="I6" s="17">
        <f>Calculation!L10</f>
        <v>11.496931072030799</v>
      </c>
      <c r="J6" s="17">
        <f>Calculation!M10</f>
        <v>11.4593065165721</v>
      </c>
      <c r="K6" s="17">
        <f>Calculation!N10</f>
        <v>11.4503669113585</v>
      </c>
      <c r="L6" s="17">
        <f>Calculation!O10</f>
        <v>11.446087953686201</v>
      </c>
      <c r="M6" s="17">
        <f>Calculation!P10</f>
        <v>11.4642853740822</v>
      </c>
      <c r="N6" s="18">
        <f>SUM(I6:M6)</f>
        <v>57.316977827729808</v>
      </c>
    </row>
    <row r="7" spans="1:14" s="19" customFormat="1" ht="14.5" x14ac:dyDescent="0.3">
      <c r="A7" s="16" t="s">
        <v>50</v>
      </c>
      <c r="B7" s="17">
        <f>Calculation!D9</f>
        <v>13.698392943287121</v>
      </c>
      <c r="C7" s="17">
        <f>Calculation!E9</f>
        <v>13.463345408323951</v>
      </c>
      <c r="D7" s="17">
        <f>Calculation!F9</f>
        <v>16.35930843343608</v>
      </c>
      <c r="E7" s="17">
        <f>Calculation!G9</f>
        <v>13.412788014011079</v>
      </c>
      <c r="F7" s="17">
        <f>Calculation!H9</f>
        <v>13.422544704141641</v>
      </c>
      <c r="G7" s="17">
        <f>Calculation!I9</f>
        <v>70.356379503199861</v>
      </c>
      <c r="I7" s="17">
        <f>Calculation!L9</f>
        <v>15.15164365157494</v>
      </c>
      <c r="J7" s="17">
        <f>Calculation!M9</f>
        <v>14.92546738078056</v>
      </c>
      <c r="K7" s="17">
        <f>Calculation!N9</f>
        <v>18.088663715573201</v>
      </c>
      <c r="L7" s="17">
        <f>Calculation!O9</f>
        <v>14.57022930142865</v>
      </c>
      <c r="M7" s="17">
        <f>Calculation!P9</f>
        <v>14.52096257827141</v>
      </c>
      <c r="N7" s="18">
        <f>SUM(I7:M7)</f>
        <v>77.256966627628756</v>
      </c>
    </row>
    <row r="8" spans="1:14" s="19" customFormat="1" ht="15" thickBot="1" x14ac:dyDescent="0.35">
      <c r="A8" s="21" t="s">
        <v>132</v>
      </c>
      <c r="B8" s="22">
        <f>B6/B7</f>
        <v>0.75725200725200703</v>
      </c>
      <c r="C8" s="22">
        <f t="shared" ref="C8:G8" si="0">C6/C7</f>
        <v>0.76968179721984309</v>
      </c>
      <c r="D8" s="22">
        <f t="shared" si="0"/>
        <v>0.63435263500325201</v>
      </c>
      <c r="E8" s="22">
        <f t="shared" si="0"/>
        <v>0.77516201560640063</v>
      </c>
      <c r="F8" s="22">
        <f t="shared" si="0"/>
        <v>0.77790259697350139</v>
      </c>
      <c r="G8" s="22">
        <f t="shared" si="0"/>
        <v>0.73840800786666971</v>
      </c>
      <c r="I8" s="22">
        <f>I6/I7</f>
        <v>0.7587910154444365</v>
      </c>
      <c r="J8" s="22">
        <f t="shared" ref="J8:M8" si="1">J6/J7</f>
        <v>0.76776868852550539</v>
      </c>
      <c r="K8" s="22">
        <f t="shared" si="1"/>
        <v>0.63301342163271324</v>
      </c>
      <c r="L8" s="22">
        <f t="shared" si="1"/>
        <v>0.78558049546714281</v>
      </c>
      <c r="M8" s="22">
        <f t="shared" si="1"/>
        <v>0.78949899583357508</v>
      </c>
      <c r="N8" s="23">
        <f>N6/N7</f>
        <v>0.74190044380065034</v>
      </c>
    </row>
    <row r="9" spans="1:14" s="19" customFormat="1" ht="15" thickBot="1" x14ac:dyDescent="0.35">
      <c r="A9" s="24"/>
      <c r="B9" s="25"/>
      <c r="C9" s="25"/>
      <c r="D9" s="25"/>
      <c r="E9" s="25"/>
      <c r="F9" s="25"/>
      <c r="G9" s="25"/>
      <c r="I9" s="25"/>
      <c r="J9" s="25"/>
      <c r="K9" s="25"/>
      <c r="L9" s="25"/>
      <c r="M9" s="25"/>
      <c r="N9" s="25"/>
    </row>
    <row r="10" spans="1:14" s="20" customFormat="1" ht="14.5" x14ac:dyDescent="0.3">
      <c r="A10" s="26" t="s">
        <v>133</v>
      </c>
      <c r="B10" s="27">
        <v>0.80029999999999968</v>
      </c>
      <c r="C10" s="27">
        <v>0.81349999999999989</v>
      </c>
      <c r="D10" s="27">
        <v>0.67039999999999877</v>
      </c>
      <c r="E10" s="27">
        <v>0.8190999999999995</v>
      </c>
      <c r="F10" s="27">
        <v>0.82179999999999964</v>
      </c>
      <c r="G10" s="28">
        <v>0.78030731575098933</v>
      </c>
      <c r="I10" s="29">
        <f>I8*I11</f>
        <v>0.80192649718271558</v>
      </c>
      <c r="J10" s="29">
        <f t="shared" ref="J10:M10" si="2">J8*J11</f>
        <v>0.81147797748567607</v>
      </c>
      <c r="K10" s="29">
        <f t="shared" si="2"/>
        <v>0.66898468524591947</v>
      </c>
      <c r="L10" s="29">
        <f t="shared" si="2"/>
        <v>0.8301090235100822</v>
      </c>
      <c r="M10" s="30">
        <f t="shared" si="2"/>
        <v>0.83405078900659957</v>
      </c>
      <c r="N10" s="30">
        <f>SUMPRODUCT(I7:M7,I10:M10)/N7</f>
        <v>0.78399830284228478</v>
      </c>
    </row>
    <row r="11" spans="1:14" s="20" customFormat="1" ht="15" thickBot="1" x14ac:dyDescent="0.35">
      <c r="A11" s="31" t="s">
        <v>134</v>
      </c>
      <c r="B11" s="32">
        <v>1.0568476442924326</v>
      </c>
      <c r="C11" s="32">
        <v>1.0569302833176411</v>
      </c>
      <c r="D11" s="32">
        <v>1.0568254358974358</v>
      </c>
      <c r="E11" s="32">
        <v>1.0566823238355232</v>
      </c>
      <c r="F11" s="33">
        <v>1.0564304621134895</v>
      </c>
      <c r="G11" s="33">
        <v>1.0567427593389334</v>
      </c>
      <c r="I11" s="34">
        <f>B11</f>
        <v>1.0568476442924326</v>
      </c>
      <c r="J11" s="34">
        <f>C11</f>
        <v>1.0569302833176411</v>
      </c>
      <c r="K11" s="34">
        <f>D11</f>
        <v>1.0568254358974358</v>
      </c>
      <c r="L11" s="34">
        <f>E11</f>
        <v>1.0566823238355232</v>
      </c>
      <c r="M11" s="35">
        <f>F11</f>
        <v>1.0564304621134895</v>
      </c>
      <c r="N11" s="35">
        <f t="shared" ref="N11" si="3">N10/N8</f>
        <v>1.0567432724881158</v>
      </c>
    </row>
    <row r="12" spans="1:14" s="19" customFormat="1" ht="15" thickBot="1" x14ac:dyDescent="0.35">
      <c r="A12" s="24"/>
      <c r="B12" s="25"/>
      <c r="C12" s="25"/>
      <c r="D12" s="25"/>
      <c r="E12" s="25"/>
      <c r="F12" s="25"/>
      <c r="G12" s="25"/>
    </row>
    <row r="13" spans="1:14" s="19" customFormat="1" ht="15" thickBot="1" x14ac:dyDescent="0.35">
      <c r="A13" s="31" t="s">
        <v>135</v>
      </c>
      <c r="B13" s="25"/>
      <c r="C13" s="25"/>
      <c r="D13" s="25"/>
      <c r="E13" s="25"/>
      <c r="F13" s="25"/>
      <c r="G13" s="25"/>
      <c r="I13" s="17">
        <f>(I10-I8)*I7</f>
        <v>0.65357344803742301</v>
      </c>
      <c r="J13" s="17">
        <f t="shared" ref="J13:M13" si="4">(J10-J8)*J7</f>
        <v>0.65238156661213931</v>
      </c>
      <c r="K13" s="17">
        <f t="shared" si="4"/>
        <v>0.65067209092352229</v>
      </c>
      <c r="L13" s="17">
        <f t="shared" si="4"/>
        <v>0.64879086404072284</v>
      </c>
      <c r="M13" s="17">
        <f t="shared" si="4"/>
        <v>0.64693492146037634</v>
      </c>
      <c r="N13" s="17">
        <f>SUM(I13:M13)</f>
        <v>3.2523528910741839</v>
      </c>
    </row>
    <row r="14" spans="1:14" s="19" customFormat="1" ht="15" thickBot="1" x14ac:dyDescent="0.35">
      <c r="A14" s="24"/>
      <c r="B14" s="36"/>
      <c r="C14" s="25"/>
      <c r="D14" s="25"/>
      <c r="E14" s="25"/>
      <c r="F14" s="25"/>
      <c r="G14" s="25"/>
      <c r="H14"/>
      <c r="I14" s="25"/>
      <c r="J14" s="25"/>
      <c r="K14" s="25"/>
      <c r="L14" s="25"/>
      <c r="M14" s="25"/>
      <c r="N14" s="25"/>
    </row>
    <row r="15" spans="1:14" s="1" customFormat="1" ht="14.5" thickBot="1" x14ac:dyDescent="0.35">
      <c r="A15" s="15" t="s">
        <v>136</v>
      </c>
      <c r="B15" s="5"/>
      <c r="C15" s="5"/>
      <c r="D15" s="5"/>
      <c r="E15" s="5"/>
      <c r="F15" s="5"/>
      <c r="G15" s="5"/>
    </row>
    <row r="16" spans="1:14" s="1" customFormat="1" ht="14.5" thickBot="1" x14ac:dyDescent="0.35">
      <c r="A16" s="16" t="s">
        <v>131</v>
      </c>
      <c r="B16" s="17">
        <f>Calculation!D19</f>
        <v>35.733436208629797</v>
      </c>
      <c r="C16" s="17">
        <f>Calculation!E19</f>
        <v>35.457596789347399</v>
      </c>
      <c r="D16" s="17">
        <f>Calculation!F19</f>
        <v>35.461814517470998</v>
      </c>
      <c r="E16" s="17">
        <f>Calculation!G19</f>
        <v>35.4795289755901</v>
      </c>
      <c r="F16" s="17">
        <f>Calculation!H19</f>
        <v>35.658360648029998</v>
      </c>
      <c r="G16" s="17">
        <f>Calculation!I19</f>
        <v>177.79073713906831</v>
      </c>
      <c r="I16" s="17">
        <f>Calculation!L19</f>
        <v>37.902420776999698</v>
      </c>
      <c r="J16" s="17">
        <f>Calculation!M19</f>
        <v>37.462450086996604</v>
      </c>
      <c r="K16" s="17">
        <f>Calculation!N19</f>
        <v>37.318987762273402</v>
      </c>
      <c r="L16" s="17">
        <f>Calculation!O19</f>
        <v>37.188403787800702</v>
      </c>
      <c r="M16" s="17">
        <f>Calculation!P19</f>
        <v>37.224945848718498</v>
      </c>
      <c r="N16" s="18">
        <f>SUM(I16:M16)</f>
        <v>187.09720826278891</v>
      </c>
    </row>
    <row r="17" spans="1:14" s="19" customFormat="1" ht="14.5" x14ac:dyDescent="0.3">
      <c r="A17" s="16" t="s">
        <v>50</v>
      </c>
      <c r="B17" s="17">
        <f>Calculation!D18</f>
        <v>65.609514246933543</v>
      </c>
      <c r="C17" s="17">
        <f>Calculation!E18</f>
        <v>64.050589242556029</v>
      </c>
      <c r="D17" s="17">
        <f>Calculation!F18</f>
        <v>61.579247220051009</v>
      </c>
      <c r="E17" s="17">
        <f>Calculation!G18</f>
        <v>63.859191686319825</v>
      </c>
      <c r="F17" s="17">
        <f>Calculation!H18</f>
        <v>64.244222223980003</v>
      </c>
      <c r="G17" s="17">
        <f>Calculation!I18</f>
        <v>319.34276461984041</v>
      </c>
      <c r="I17" s="17">
        <f>Calculation!L18</f>
        <v>67.971402257210841</v>
      </c>
      <c r="J17" s="17">
        <f>Calculation!M18</f>
        <v>66.289111908417752</v>
      </c>
      <c r="K17" s="17">
        <f>Calculation!N18</f>
        <v>63.574391472829404</v>
      </c>
      <c r="L17" s="17">
        <f>Calculation!O18</f>
        <v>65.078192624373173</v>
      </c>
      <c r="M17" s="17">
        <f>Calculation!P18</f>
        <v>65.211105969780206</v>
      </c>
      <c r="N17" s="18">
        <f>SUM(I17:M17)</f>
        <v>328.12420423261136</v>
      </c>
    </row>
    <row r="18" spans="1:14" s="19" customFormat="1" ht="15" thickBot="1" x14ac:dyDescent="0.35">
      <c r="A18" s="21" t="s">
        <v>132</v>
      </c>
      <c r="B18" s="22">
        <f>B16/B17</f>
        <v>0.54463802420698315</v>
      </c>
      <c r="C18" s="22">
        <f t="shared" ref="C18" si="5">C16/C17</f>
        <v>0.55358736287454668</v>
      </c>
      <c r="D18" s="22">
        <f t="shared" ref="D18" si="6">D16/D17</f>
        <v>0.57587281622247843</v>
      </c>
      <c r="E18" s="22">
        <f t="shared" ref="E18" si="7">E16/E17</f>
        <v>0.55559001043839817</v>
      </c>
      <c r="F18" s="22">
        <f t="shared" ref="F18" si="8">F16/F17</f>
        <v>0.55504385318435756</v>
      </c>
      <c r="G18" s="22">
        <f t="shared" ref="G18" si="9">G16/G17</f>
        <v>0.55673951890132278</v>
      </c>
      <c r="I18" s="22">
        <f>I16/I17</f>
        <v>0.55762305202374673</v>
      </c>
      <c r="J18" s="22">
        <f t="shared" ref="J18:M18" si="10">J16/J17</f>
        <v>0.56513730548620333</v>
      </c>
      <c r="K18" s="22">
        <f t="shared" si="10"/>
        <v>0.58701289776753729</v>
      </c>
      <c r="L18" s="22">
        <f t="shared" si="10"/>
        <v>0.57144186536417196</v>
      </c>
      <c r="M18" s="22">
        <f t="shared" si="10"/>
        <v>0.57083751755366774</v>
      </c>
      <c r="N18" s="23">
        <f>N16/N17</f>
        <v>0.57020239851051446</v>
      </c>
    </row>
    <row r="19" spans="1:14" s="1" customFormat="1" ht="14.5" thickBot="1" x14ac:dyDescent="0.35">
      <c r="A19" s="37"/>
      <c r="B19" s="5"/>
      <c r="C19" s="5"/>
      <c r="D19" s="5"/>
      <c r="E19" s="5"/>
      <c r="F19" s="5"/>
      <c r="G19" s="25"/>
      <c r="I19" s="25"/>
      <c r="J19" s="25"/>
      <c r="K19" s="25"/>
      <c r="L19" s="25"/>
      <c r="M19" s="25"/>
      <c r="N19" s="25"/>
    </row>
    <row r="20" spans="1:14" s="20" customFormat="1" ht="14.5" x14ac:dyDescent="0.3">
      <c r="A20" s="26" t="s">
        <v>133</v>
      </c>
      <c r="B20" s="27">
        <v>0.69930967911641984</v>
      </c>
      <c r="C20" s="27">
        <v>0.71397656852104063</v>
      </c>
      <c r="D20" s="27">
        <v>0.74318283496021986</v>
      </c>
      <c r="E20" s="27">
        <v>0.71564831178165711</v>
      </c>
      <c r="F20" s="27">
        <v>0.70803815401300663</v>
      </c>
      <c r="G20" s="28">
        <v>0.71573474132563952</v>
      </c>
      <c r="I20" s="29">
        <f>I18*I21</f>
        <v>0.71598232265628359</v>
      </c>
      <c r="J20" s="29">
        <f t="shared" ref="J20:M20" si="11">J18*J21</f>
        <v>0.72887284135079877</v>
      </c>
      <c r="K20" s="29">
        <f t="shared" si="11"/>
        <v>0.75755947707827109</v>
      </c>
      <c r="L20" s="29">
        <f t="shared" si="11"/>
        <v>0.736066881235932</v>
      </c>
      <c r="M20" s="30">
        <f t="shared" si="11"/>
        <v>0.72818524131249085</v>
      </c>
      <c r="N20" s="30">
        <f>SUMPRODUCT(I17:M17,I20:M20)/N17</f>
        <v>0.73305078590665096</v>
      </c>
    </row>
    <row r="21" spans="1:14" s="20" customFormat="1" ht="15" thickBot="1" x14ac:dyDescent="0.35">
      <c r="A21" s="31" t="s">
        <v>134</v>
      </c>
      <c r="B21" s="32">
        <v>1.2839898208257592</v>
      </c>
      <c r="C21" s="32">
        <v>1.2897269995717753</v>
      </c>
      <c r="D21" s="32">
        <v>1.2905329337044174</v>
      </c>
      <c r="E21" s="32">
        <v>1.2880870756062768</v>
      </c>
      <c r="F21" s="33">
        <v>1.2756436269871312</v>
      </c>
      <c r="G21" s="33">
        <v>1.2855827851740793</v>
      </c>
      <c r="I21" s="34">
        <f>B21</f>
        <v>1.2839898208257592</v>
      </c>
      <c r="J21" s="34">
        <f>C21</f>
        <v>1.2897269995717753</v>
      </c>
      <c r="K21" s="34">
        <f>D21</f>
        <v>1.2905329337044174</v>
      </c>
      <c r="L21" s="34">
        <f>E21</f>
        <v>1.2880870756062768</v>
      </c>
      <c r="M21" s="35">
        <f>F21</f>
        <v>1.2756436269871312</v>
      </c>
      <c r="N21" s="35">
        <f t="shared" ref="N21" si="12">N20/N18</f>
        <v>1.2855975138328599</v>
      </c>
    </row>
    <row r="22" spans="1:14" s="19" customFormat="1" ht="15" thickBot="1" x14ac:dyDescent="0.35">
      <c r="A22" s="24"/>
      <c r="B22" s="25"/>
      <c r="C22" s="25"/>
      <c r="D22" s="25"/>
      <c r="E22" s="25"/>
      <c r="F22" s="25"/>
      <c r="G22" s="25"/>
    </row>
    <row r="23" spans="1:14" s="19" customFormat="1" ht="15" thickBot="1" x14ac:dyDescent="0.35">
      <c r="A23" s="31" t="s">
        <v>135</v>
      </c>
      <c r="B23" s="25"/>
      <c r="C23" s="25"/>
      <c r="D23" s="25"/>
      <c r="E23" s="25"/>
      <c r="F23" s="25"/>
      <c r="G23" s="25"/>
      <c r="I23" s="17">
        <f>(I20-I18)*I17</f>
        <v>10.763901685322677</v>
      </c>
      <c r="J23" s="17">
        <f t="shared" ref="J23:M23" si="13">(J20-J18)*J17</f>
        <v>10.853883260312916</v>
      </c>
      <c r="K23" s="17">
        <f t="shared" si="13"/>
        <v>10.842394997452539</v>
      </c>
      <c r="L23" s="17">
        <f t="shared" si="13"/>
        <v>10.713498493692891</v>
      </c>
      <c r="M23" s="17">
        <f t="shared" si="13"/>
        <v>10.260819088140316</v>
      </c>
      <c r="N23" s="17">
        <f>SUM(I23:M23)</f>
        <v>53.434497524921333</v>
      </c>
    </row>
    <row r="24" spans="1:14" ht="14.5" thickBot="1" x14ac:dyDescent="0.35"/>
    <row r="25" spans="1:14" ht="14.5" thickBot="1" x14ac:dyDescent="0.35">
      <c r="A25" s="15" t="s">
        <v>117</v>
      </c>
      <c r="B25" s="5"/>
      <c r="C25" s="5"/>
      <c r="D25" s="5"/>
      <c r="E25" s="5"/>
      <c r="F25" s="5"/>
      <c r="G25" s="5"/>
    </row>
    <row r="26" spans="1:14" ht="14.5" thickBot="1" x14ac:dyDescent="0.35">
      <c r="A26" s="16" t="s">
        <v>131</v>
      </c>
      <c r="B26" s="17">
        <f t="shared" ref="B26:G27" si="14">SUM(B6+B16)</f>
        <v>46.1065717610607</v>
      </c>
      <c r="C26" s="17">
        <f t="shared" si="14"/>
        <v>45.820088679817701</v>
      </c>
      <c r="D26" s="17">
        <f t="shared" si="14"/>
        <v>45.839384929052102</v>
      </c>
      <c r="E26" s="17">
        <f t="shared" si="14"/>
        <v>45.876612767432299</v>
      </c>
      <c r="F26" s="17">
        <f t="shared" si="14"/>
        <v>46.099793031374702</v>
      </c>
      <c r="G26" s="17">
        <f t="shared" si="14"/>
        <v>229.74245116873752</v>
      </c>
      <c r="I26" s="17">
        <f t="shared" ref="I26:M27" si="15">SUM(I6,I16)</f>
        <v>49.399351849030495</v>
      </c>
      <c r="J26" s="17">
        <f t="shared" si="15"/>
        <v>48.921756603568703</v>
      </c>
      <c r="K26" s="17">
        <f t="shared" si="15"/>
        <v>48.769354673631902</v>
      </c>
      <c r="L26" s="17">
        <f t="shared" si="15"/>
        <v>48.634491741486904</v>
      </c>
      <c r="M26" s="17">
        <f t="shared" si="15"/>
        <v>48.6892312228007</v>
      </c>
      <c r="N26" s="18">
        <f>SUM(I26:M26)</f>
        <v>244.41418609051868</v>
      </c>
    </row>
    <row r="27" spans="1:14" x14ac:dyDescent="0.3">
      <c r="A27" s="16" t="s">
        <v>50</v>
      </c>
      <c r="B27" s="17">
        <f t="shared" si="14"/>
        <v>79.307907190220661</v>
      </c>
      <c r="C27" s="17">
        <f t="shared" si="14"/>
        <v>77.513934650879975</v>
      </c>
      <c r="D27" s="17">
        <f t="shared" si="14"/>
        <v>77.938555653487086</v>
      </c>
      <c r="E27" s="17">
        <f t="shared" si="14"/>
        <v>77.271979700330903</v>
      </c>
      <c r="F27" s="17">
        <f t="shared" si="14"/>
        <v>77.666766928121646</v>
      </c>
      <c r="G27" s="17">
        <f t="shared" si="14"/>
        <v>389.69914412304024</v>
      </c>
      <c r="I27" s="17">
        <f t="shared" si="15"/>
        <v>83.123045908785784</v>
      </c>
      <c r="J27" s="17">
        <f t="shared" si="15"/>
        <v>81.214579289198312</v>
      </c>
      <c r="K27" s="17">
        <f t="shared" si="15"/>
        <v>81.663055188402609</v>
      </c>
      <c r="L27" s="17">
        <f t="shared" si="15"/>
        <v>79.648421925801827</v>
      </c>
      <c r="M27" s="17">
        <f t="shared" si="15"/>
        <v>79.732068548051615</v>
      </c>
      <c r="N27" s="18">
        <f>SUM(I27:M27)</f>
        <v>405.3811708602401</v>
      </c>
    </row>
    <row r="28" spans="1:14" s="19" customFormat="1" ht="15" thickBot="1" x14ac:dyDescent="0.35">
      <c r="A28" s="21" t="s">
        <v>132</v>
      </c>
      <c r="B28" s="22">
        <f>B26/B27</f>
        <v>0.5813615992977057</v>
      </c>
      <c r="C28" s="22">
        <f t="shared" ref="C28:G28" si="16">C26/C27</f>
        <v>0.59112066606075109</v>
      </c>
      <c r="D28" s="22">
        <f t="shared" si="16"/>
        <v>0.58814773438775136</v>
      </c>
      <c r="E28" s="22">
        <f t="shared" si="16"/>
        <v>0.59370308545667871</v>
      </c>
      <c r="F28" s="22">
        <f t="shared" si="16"/>
        <v>0.59355880069063172</v>
      </c>
      <c r="G28" s="22">
        <f t="shared" si="16"/>
        <v>0.58953799266287488</v>
      </c>
      <c r="I28" s="22">
        <f>I26/I27</f>
        <v>0.59429188751382334</v>
      </c>
      <c r="J28" s="22">
        <f t="shared" ref="J28:M28" si="17">J26/J27</f>
        <v>0.60237653179686401</v>
      </c>
      <c r="K28" s="22">
        <f t="shared" si="17"/>
        <v>0.59720218109789613</v>
      </c>
      <c r="L28" s="22">
        <f t="shared" si="17"/>
        <v>0.61061463071789912</v>
      </c>
      <c r="M28" s="22">
        <f t="shared" si="17"/>
        <v>0.61066057998304002</v>
      </c>
      <c r="N28" s="23">
        <f>N26/N27</f>
        <v>0.60292436763123203</v>
      </c>
    </row>
    <row r="29" spans="1:14" ht="14.5" thickBot="1" x14ac:dyDescent="0.35"/>
    <row r="30" spans="1:14" s="19" customFormat="1" ht="15" thickBot="1" x14ac:dyDescent="0.35">
      <c r="A30" s="31" t="s">
        <v>137</v>
      </c>
      <c r="B30" s="25"/>
      <c r="C30" s="25"/>
      <c r="D30" s="25"/>
      <c r="E30" s="25"/>
      <c r="F30" s="25"/>
      <c r="G30" s="25"/>
      <c r="I30" s="17">
        <f>I13+I23</f>
        <v>11.417475133360101</v>
      </c>
      <c r="J30" s="17">
        <f t="shared" ref="J30:N30" si="18">J13+J23</f>
        <v>11.506264826925054</v>
      </c>
      <c r="K30" s="17">
        <f t="shared" si="18"/>
        <v>11.493067088376062</v>
      </c>
      <c r="L30" s="17">
        <f t="shared" si="18"/>
        <v>11.362289357733614</v>
      </c>
      <c r="M30" s="17">
        <f t="shared" si="18"/>
        <v>10.907754009600692</v>
      </c>
      <c r="N30" s="17">
        <f t="shared" si="18"/>
        <v>56.686850415995515</v>
      </c>
    </row>
    <row r="33" spans="14:14" x14ac:dyDescent="0.3">
      <c r="N33" s="112"/>
    </row>
  </sheetData>
  <mergeCells count="2">
    <mergeCell ref="B1:G1"/>
    <mergeCell ref="I1:N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heetViews>
  <sheetFormatPr defaultRowHeight="14" x14ac:dyDescent="0.3"/>
  <cols>
    <col min="1" max="1" width="8.08203125" customWidth="1"/>
    <col min="2" max="2" width="10.08203125" customWidth="1"/>
    <col min="3" max="3" width="27.25" customWidth="1"/>
    <col min="4" max="4" width="2.25" customWidth="1"/>
    <col min="5" max="5" width="14.58203125" customWidth="1"/>
    <col min="6" max="10" width="7.33203125" customWidth="1"/>
    <col min="11" max="11" width="5.33203125" customWidth="1"/>
  </cols>
  <sheetData>
    <row r="1" spans="1:11" x14ac:dyDescent="0.3">
      <c r="A1" s="78"/>
      <c r="B1" s="78"/>
      <c r="C1" s="78" t="s">
        <v>155</v>
      </c>
      <c r="D1" s="78"/>
      <c r="E1" s="78"/>
      <c r="F1" s="78"/>
      <c r="G1" s="78"/>
      <c r="H1" s="78"/>
      <c r="I1" s="78"/>
      <c r="J1" s="78"/>
    </row>
    <row r="2" spans="1:11" ht="42" x14ac:dyDescent="0.3">
      <c r="A2" s="79" t="s">
        <v>59</v>
      </c>
      <c r="B2" s="79" t="s">
        <v>60</v>
      </c>
      <c r="C2" s="79" t="s">
        <v>61</v>
      </c>
      <c r="D2" s="79" t="s">
        <v>62</v>
      </c>
      <c r="E2" s="79" t="s">
        <v>63</v>
      </c>
      <c r="F2" s="79" t="s">
        <v>34</v>
      </c>
      <c r="G2" s="79" t="s">
        <v>35</v>
      </c>
      <c r="H2" s="79" t="s">
        <v>36</v>
      </c>
      <c r="I2" s="79" t="s">
        <v>37</v>
      </c>
      <c r="J2" s="79" t="s">
        <v>38</v>
      </c>
      <c r="K2" s="79" t="s">
        <v>51</v>
      </c>
    </row>
    <row r="4" spans="1:11" x14ac:dyDescent="0.3">
      <c r="B4" s="62" t="s">
        <v>138</v>
      </c>
      <c r="C4" s="80" t="s">
        <v>43</v>
      </c>
      <c r="D4" s="81" t="s">
        <v>139</v>
      </c>
      <c r="E4" s="81" t="s">
        <v>64</v>
      </c>
      <c r="F4" s="109">
        <f>'PAYG summary tables'!I8</f>
        <v>0.80192649718271558</v>
      </c>
      <c r="G4" s="109">
        <f>'PAYG summary tables'!J8</f>
        <v>0.81147797748567607</v>
      </c>
      <c r="H4" s="109">
        <f>'PAYG summary tables'!K8</f>
        <v>0.66898468524591947</v>
      </c>
      <c r="I4" s="109">
        <f>'PAYG summary tables'!L8</f>
        <v>0.8301090235100822</v>
      </c>
      <c r="J4" s="109">
        <f>'PAYG summary tables'!M8</f>
        <v>0.83405078900659957</v>
      </c>
      <c r="K4" s="110"/>
    </row>
    <row r="5" spans="1:11" x14ac:dyDescent="0.3">
      <c r="B5" s="62" t="s">
        <v>140</v>
      </c>
      <c r="C5" s="80" t="s">
        <v>49</v>
      </c>
      <c r="D5" s="81" t="s">
        <v>139</v>
      </c>
      <c r="E5" s="81" t="s">
        <v>64</v>
      </c>
      <c r="F5" s="109">
        <f>'PAYG summary tables'!I15</f>
        <v>0.71598232265628359</v>
      </c>
      <c r="G5" s="109">
        <f>'PAYG summary tables'!J15</f>
        <v>0.72887284135079877</v>
      </c>
      <c r="H5" s="109">
        <f>'PAYG summary tables'!K15</f>
        <v>0.75755947707827109</v>
      </c>
      <c r="I5" s="109">
        <f>'PAYG summary tables'!L15</f>
        <v>0.736066881235932</v>
      </c>
      <c r="J5" s="109">
        <f>'PAYG summary tables'!M15</f>
        <v>0.72818524131249085</v>
      </c>
      <c r="K5" s="110"/>
    </row>
    <row r="6" spans="1:11" x14ac:dyDescent="0.3">
      <c r="B6" s="62" t="s">
        <v>141</v>
      </c>
      <c r="C6" s="80" t="s">
        <v>142</v>
      </c>
      <c r="D6" s="81" t="s">
        <v>139</v>
      </c>
      <c r="E6" s="81" t="s">
        <v>64</v>
      </c>
      <c r="F6" s="109">
        <v>0</v>
      </c>
      <c r="G6" s="109">
        <v>0</v>
      </c>
      <c r="H6" s="109">
        <v>0</v>
      </c>
      <c r="I6" s="109">
        <v>0</v>
      </c>
      <c r="J6" s="109">
        <v>0</v>
      </c>
      <c r="K6" s="110"/>
    </row>
    <row r="7" spans="1:11" x14ac:dyDescent="0.3">
      <c r="B7" s="62" t="s">
        <v>143</v>
      </c>
      <c r="C7" s="80" t="s">
        <v>144</v>
      </c>
      <c r="D7" s="81" t="s">
        <v>139</v>
      </c>
      <c r="E7" s="81" t="s">
        <v>64</v>
      </c>
      <c r="F7" s="109">
        <v>0</v>
      </c>
      <c r="G7" s="109">
        <v>0</v>
      </c>
      <c r="H7" s="109">
        <v>0</v>
      </c>
      <c r="I7" s="109">
        <v>0</v>
      </c>
      <c r="J7" s="109">
        <v>0</v>
      </c>
      <c r="K7" s="110"/>
    </row>
    <row r="8" spans="1:11" x14ac:dyDescent="0.3">
      <c r="B8" s="62" t="s">
        <v>145</v>
      </c>
      <c r="C8" s="80" t="s">
        <v>146</v>
      </c>
      <c r="D8" s="81" t="s">
        <v>139</v>
      </c>
      <c r="E8" s="81" t="s">
        <v>64</v>
      </c>
      <c r="F8" s="109">
        <v>0</v>
      </c>
      <c r="G8" s="109">
        <v>0</v>
      </c>
      <c r="H8" s="109">
        <v>0</v>
      </c>
      <c r="I8" s="109">
        <v>0</v>
      </c>
      <c r="J8" s="109">
        <v>0</v>
      </c>
      <c r="K8" s="110"/>
    </row>
    <row r="9" spans="1:11" x14ac:dyDescent="0.3">
      <c r="B9" s="62" t="s">
        <v>156</v>
      </c>
      <c r="C9" s="80" t="s">
        <v>157</v>
      </c>
      <c r="D9" s="81" t="s">
        <v>147</v>
      </c>
      <c r="E9" s="81" t="s">
        <v>64</v>
      </c>
      <c r="F9" s="111">
        <f>PAYG!I30</f>
        <v>11.417475133360101</v>
      </c>
      <c r="G9" s="111">
        <f>PAYG!J30</f>
        <v>11.506264826925054</v>
      </c>
      <c r="H9" s="111">
        <f>PAYG!K30</f>
        <v>11.493067088376062</v>
      </c>
      <c r="I9" s="111">
        <f>PAYG!L30</f>
        <v>11.362289357733614</v>
      </c>
      <c r="J9" s="111">
        <f>PAYG!M30</f>
        <v>10.907754009600692</v>
      </c>
      <c r="K9" s="110"/>
    </row>
    <row r="10" spans="1:11" x14ac:dyDescent="0.3">
      <c r="B10" s="82" t="s">
        <v>148</v>
      </c>
      <c r="C10" s="82" t="s">
        <v>149</v>
      </c>
      <c r="D10" s="83" t="s">
        <v>150</v>
      </c>
      <c r="E10" s="84" t="s">
        <v>64</v>
      </c>
      <c r="F10" s="85" t="str">
        <f ca="1">CONCATENATE("[…]", TEXT(NOW(),"dd/mm/yyy hh:mm:ss"))</f>
        <v>[…]12/12/2019 14:06:13</v>
      </c>
      <c r="G10" s="85" t="str">
        <f t="shared" ref="G10:J10" ca="1" si="0">CONCATENATE("[…]", TEXT(NOW(),"dd/mm/yyy hh:mm:ss"))</f>
        <v>[…]12/12/2019 14:06:13</v>
      </c>
      <c r="H10" s="85" t="str">
        <f t="shared" ca="1" si="0"/>
        <v>[…]12/12/2019 14:06:13</v>
      </c>
      <c r="I10" s="85" t="str">
        <f t="shared" ca="1" si="0"/>
        <v>[…]12/12/2019 14:06:13</v>
      </c>
      <c r="J10" s="85" t="str">
        <f t="shared" ca="1" si="0"/>
        <v>[…]12/12/2019 14:06:13</v>
      </c>
    </row>
    <row r="11" spans="1:11" x14ac:dyDescent="0.3">
      <c r="B11" s="82" t="s">
        <v>151</v>
      </c>
      <c r="C11" s="82" t="s">
        <v>152</v>
      </c>
      <c r="D11" s="83" t="s">
        <v>150</v>
      </c>
      <c r="E11" s="84" t="s">
        <v>64</v>
      </c>
      <c r="F11" s="85" t="str">
        <f ca="1" xml:space="preserve"> MID(CELL("filename"), FIND("[", CELL("filename"), 1) + 1, FIND("]", CELL("filename"), 1) - FIND("[", CELL("filename"), 1) - 1)</f>
        <v>PAYG model_SRN_FD.xlsx</v>
      </c>
      <c r="G11" s="85" t="str">
        <f t="shared" ref="G11:J11" ca="1" si="1" xml:space="preserve"> MID(CELL("filename"), FIND("[", CELL("filename"), 1) + 1, FIND("]", CELL("filename"), 1) - FIND("[", CELL("filename"), 1) - 1)</f>
        <v>PAYG model_SRN_FD.xlsx</v>
      </c>
      <c r="H11" s="85" t="str">
        <f t="shared" ca="1" si="1"/>
        <v>PAYG model_SRN_FD.xlsx</v>
      </c>
      <c r="I11" s="85" t="str">
        <f t="shared" ca="1" si="1"/>
        <v>PAYG model_SRN_FD.xlsx</v>
      </c>
      <c r="J11" s="85" t="str">
        <f t="shared" ca="1" si="1"/>
        <v>PAYG model_SRN_FD.xlsx</v>
      </c>
    </row>
  </sheetData>
  <sheetProtection sort="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PAYG summary tables</vt:lpstr>
      <vt:lpstr>Working--&gt;</vt:lpstr>
      <vt:lpstr>F_Inputs</vt:lpstr>
      <vt:lpstr>Draft determination totex</vt:lpstr>
      <vt:lpstr>Calculation</vt:lpstr>
      <vt:lpstr>PAYG</vt:lpstr>
      <vt:lpstr>F_Outputs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2019-12-12T12:00:21Z</dcterms:created>
  <dcterms:modified xsi:type="dcterms:W3CDTF">2019-12-12T14:08:33Z</dcterms:modified>
  <cp:category/>
  <cp:contentStatus/>
</cp:coreProperties>
</file>