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1600" windowHeight="11670" tabRatio="889"/>
  </bookViews>
  <sheets>
    <sheet name="Contents" sheetId="11" r:id="rId1"/>
    <sheet name="PAYG summary tables" sheetId="12" r:id="rId2"/>
    <sheet name="Working--&gt;" sheetId="13" r:id="rId3"/>
    <sheet name="F_Inputs" sheetId="7" r:id="rId4"/>
    <sheet name="Final determination totex" sheetId="8" r:id="rId5"/>
    <sheet name="Calculation" sheetId="9" r:id="rId6"/>
    <sheet name="PAYG" sheetId="10" r:id="rId7"/>
    <sheet name="F_Outputs" sheetId="6" r:id="rId8"/>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5" i="12" l="1"/>
  <c r="F29" i="12" s="1"/>
  <c r="E25" i="12"/>
  <c r="E29" i="12" s="1"/>
  <c r="D25" i="12"/>
  <c r="D29" i="12" s="1"/>
  <c r="C25" i="12"/>
  <c r="C29" i="12" s="1"/>
  <c r="B25" i="12"/>
  <c r="B29" i="12" s="1"/>
  <c r="F18" i="12"/>
  <c r="F22" i="12" s="1"/>
  <c r="E18" i="12"/>
  <c r="E22" i="12" s="1"/>
  <c r="D18" i="12"/>
  <c r="D22" i="12" s="1"/>
  <c r="C18" i="12"/>
  <c r="C22" i="12" s="1"/>
  <c r="B18" i="12"/>
  <c r="B22" i="12" s="1"/>
  <c r="F11" i="12"/>
  <c r="F15" i="12" s="1"/>
  <c r="E11" i="12"/>
  <c r="E15" i="12" s="1"/>
  <c r="D11" i="12"/>
  <c r="D15" i="12" s="1"/>
  <c r="C11" i="12"/>
  <c r="C15" i="12" s="1"/>
  <c r="B11" i="12"/>
  <c r="B15" i="12" s="1"/>
  <c r="F4" i="12"/>
  <c r="F8" i="12" s="1"/>
  <c r="E4" i="12"/>
  <c r="E8" i="12" s="1"/>
  <c r="D4" i="12"/>
  <c r="D8" i="12" s="1"/>
  <c r="C4" i="12"/>
  <c r="C8" i="12" s="1"/>
  <c r="B4" i="12"/>
  <c r="B8" i="12" s="1"/>
  <c r="J11" i="6" l="1"/>
  <c r="I11" i="6"/>
  <c r="H11" i="6"/>
  <c r="G11" i="6"/>
  <c r="F11" i="6"/>
  <c r="J10" i="6"/>
  <c r="I10" i="6"/>
  <c r="H10" i="6"/>
  <c r="G10" i="6"/>
  <c r="F10" i="6"/>
  <c r="M37" i="8" l="1"/>
  <c r="P32" i="9" s="1"/>
  <c r="P37" i="9" s="1"/>
  <c r="M40" i="8"/>
  <c r="P33" i="9" s="1"/>
  <c r="M26" i="8"/>
  <c r="P23" i="9" s="1"/>
  <c r="M31" i="8"/>
  <c r="P24" i="9" s="1"/>
  <c r="M32" i="8"/>
  <c r="M33" i="8"/>
  <c r="M27" i="8"/>
  <c r="M28" i="8"/>
  <c r="P5" i="9"/>
  <c r="M9" i="8"/>
  <c r="P6" i="9" s="1"/>
  <c r="M15" i="8"/>
  <c r="P14" i="9" s="1"/>
  <c r="M20" i="8"/>
  <c r="P15" i="9" s="1"/>
  <c r="M21" i="8"/>
  <c r="M22" i="8"/>
  <c r="M16" i="8"/>
  <c r="M17" i="8"/>
  <c r="L37" i="8"/>
  <c r="O32" i="9" s="1"/>
  <c r="O37" i="9" s="1"/>
  <c r="L36" i="10" s="1"/>
  <c r="L40" i="8"/>
  <c r="O33" i="9" s="1"/>
  <c r="L26" i="8"/>
  <c r="O23" i="9" s="1"/>
  <c r="L31" i="8"/>
  <c r="O24" i="9" s="1"/>
  <c r="L32" i="8"/>
  <c r="L33" i="8"/>
  <c r="L27" i="8"/>
  <c r="L28" i="8"/>
  <c r="O5" i="9"/>
  <c r="L9" i="8"/>
  <c r="O6" i="9" s="1"/>
  <c r="L15" i="8"/>
  <c r="O14" i="9" s="1"/>
  <c r="L20" i="8"/>
  <c r="O15" i="9" s="1"/>
  <c r="L21" i="8"/>
  <c r="L22" i="8"/>
  <c r="L16" i="8"/>
  <c r="L17" i="8"/>
  <c r="K37" i="8"/>
  <c r="N32" i="9" s="1"/>
  <c r="N37" i="9" s="1"/>
  <c r="K40" i="8"/>
  <c r="N33" i="9" s="1"/>
  <c r="K26" i="8"/>
  <c r="N23" i="9" s="1"/>
  <c r="K31" i="8"/>
  <c r="N24" i="9" s="1"/>
  <c r="K32" i="8"/>
  <c r="K33" i="8"/>
  <c r="K27" i="8"/>
  <c r="K28" i="8"/>
  <c r="N5" i="9"/>
  <c r="K9" i="8"/>
  <c r="N6" i="9" s="1"/>
  <c r="K15" i="8"/>
  <c r="N14" i="9" s="1"/>
  <c r="K20" i="8"/>
  <c r="N15" i="9" s="1"/>
  <c r="K21" i="8"/>
  <c r="K22" i="8"/>
  <c r="K16" i="8"/>
  <c r="K17" i="8"/>
  <c r="J37" i="8"/>
  <c r="M32" i="9" s="1"/>
  <c r="M37" i="9" s="1"/>
  <c r="J40" i="8"/>
  <c r="M33" i="9" s="1"/>
  <c r="J26" i="8"/>
  <c r="M23" i="9" s="1"/>
  <c r="J31" i="8"/>
  <c r="M24" i="9" s="1"/>
  <c r="J32" i="8"/>
  <c r="J33" i="8"/>
  <c r="J27" i="8"/>
  <c r="J28" i="8"/>
  <c r="M5" i="9"/>
  <c r="J9" i="8"/>
  <c r="M6" i="9" s="1"/>
  <c r="J15" i="8"/>
  <c r="M14" i="9" s="1"/>
  <c r="J20" i="8"/>
  <c r="M15" i="9" s="1"/>
  <c r="J21" i="8"/>
  <c r="J22" i="8"/>
  <c r="J16" i="8"/>
  <c r="J17" i="8"/>
  <c r="I37" i="8"/>
  <c r="L32" i="9" s="1"/>
  <c r="I40" i="8"/>
  <c r="L33" i="9" s="1"/>
  <c r="I26" i="8"/>
  <c r="L23" i="9" s="1"/>
  <c r="I31" i="8"/>
  <c r="L24" i="9" s="1"/>
  <c r="I32" i="8"/>
  <c r="I33" i="8"/>
  <c r="I27" i="8"/>
  <c r="I28" i="8"/>
  <c r="L5" i="9"/>
  <c r="I9" i="8"/>
  <c r="L6" i="9" s="1"/>
  <c r="I15" i="8"/>
  <c r="L14" i="9" s="1"/>
  <c r="I20" i="8"/>
  <c r="L15" i="9" s="1"/>
  <c r="I21" i="8"/>
  <c r="I22" i="8"/>
  <c r="I16" i="8"/>
  <c r="I17" i="8"/>
  <c r="F37" i="10"/>
  <c r="F36" i="12" s="1"/>
  <c r="F27" i="10"/>
  <c r="F35" i="12" s="1"/>
  <c r="F7" i="10"/>
  <c r="F33" i="12" s="1"/>
  <c r="F17" i="10"/>
  <c r="F34" i="12" s="1"/>
  <c r="E37" i="10"/>
  <c r="E27" i="10"/>
  <c r="E7" i="10"/>
  <c r="E33" i="12" s="1"/>
  <c r="E17" i="10"/>
  <c r="E34" i="12" s="1"/>
  <c r="D37" i="10"/>
  <c r="D27" i="10"/>
  <c r="D35" i="12" s="1"/>
  <c r="D7" i="10"/>
  <c r="D33" i="12" s="1"/>
  <c r="D17" i="10"/>
  <c r="D34" i="12" s="1"/>
  <c r="C37" i="10"/>
  <c r="C36" i="12" s="1"/>
  <c r="C27" i="10"/>
  <c r="C7" i="10"/>
  <c r="C33" i="12" s="1"/>
  <c r="C17" i="10"/>
  <c r="C34" i="12" s="1"/>
  <c r="C36" i="10"/>
  <c r="C38" i="10" s="1"/>
  <c r="C26" i="10"/>
  <c r="C6" i="10"/>
  <c r="C8" i="10" s="1"/>
  <c r="C16" i="10"/>
  <c r="B37" i="10"/>
  <c r="B36" i="12" s="1"/>
  <c r="B27" i="10"/>
  <c r="B7" i="10"/>
  <c r="G7" i="10" s="1"/>
  <c r="B17" i="10"/>
  <c r="G17" i="10" s="1"/>
  <c r="D36" i="10"/>
  <c r="D26" i="10"/>
  <c r="D6" i="10"/>
  <c r="D16" i="10"/>
  <c r="D18" i="10" s="1"/>
  <c r="E36" i="10"/>
  <c r="E26" i="10"/>
  <c r="E6" i="10"/>
  <c r="E16" i="10"/>
  <c r="E18" i="10" s="1"/>
  <c r="F36" i="10"/>
  <c r="F26" i="10"/>
  <c r="F6" i="10"/>
  <c r="F8" i="10" s="1"/>
  <c r="F16" i="10"/>
  <c r="F18" i="10" s="1"/>
  <c r="B36" i="10"/>
  <c r="B26" i="10"/>
  <c r="B6" i="10"/>
  <c r="B8" i="10" s="1"/>
  <c r="B16" i="10"/>
  <c r="B18" i="10" s="1"/>
  <c r="K41" i="8"/>
  <c r="E40" i="8"/>
  <c r="M38" i="8"/>
  <c r="E37" i="8"/>
  <c r="E33" i="8"/>
  <c r="E32" i="8"/>
  <c r="E31" i="8"/>
  <c r="E28" i="8"/>
  <c r="E27" i="8"/>
  <c r="E26" i="8"/>
  <c r="E22" i="8"/>
  <c r="E21" i="8"/>
  <c r="E20" i="8"/>
  <c r="E17" i="8"/>
  <c r="E16" i="8"/>
  <c r="E15" i="8"/>
  <c r="M10" i="8"/>
  <c r="M11" i="8"/>
  <c r="L10" i="8"/>
  <c r="L11" i="8"/>
  <c r="K10" i="8"/>
  <c r="K11" i="8"/>
  <c r="J10" i="8"/>
  <c r="J11" i="8"/>
  <c r="I10" i="8"/>
  <c r="I11" i="8"/>
  <c r="E11" i="8"/>
  <c r="E10" i="8"/>
  <c r="E9" i="8"/>
  <c r="M5" i="8"/>
  <c r="M6" i="8"/>
  <c r="L5" i="8"/>
  <c r="L6" i="8"/>
  <c r="K5" i="8"/>
  <c r="K6" i="8"/>
  <c r="J5" i="8"/>
  <c r="J6" i="8"/>
  <c r="I5" i="8"/>
  <c r="I6" i="8"/>
  <c r="E6" i="8"/>
  <c r="E5" i="8"/>
  <c r="E4" i="8"/>
  <c r="B33" i="12"/>
  <c r="M41" i="8"/>
  <c r="L38" i="8"/>
  <c r="L41" i="8"/>
  <c r="I38" i="8"/>
  <c r="I34" i="8"/>
  <c r="J41" i="8"/>
  <c r="K38" i="8"/>
  <c r="M25" i="9" l="1"/>
  <c r="L8" i="9"/>
  <c r="L10" i="9" s="1"/>
  <c r="I6" i="10" s="1"/>
  <c r="N8" i="9"/>
  <c r="N10" i="9" s="1"/>
  <c r="K6" i="10" s="1"/>
  <c r="P8" i="9"/>
  <c r="P9" i="9" s="1"/>
  <c r="M7" i="10" s="1"/>
  <c r="M33" i="12" s="1"/>
  <c r="M34" i="8"/>
  <c r="K34" i="8"/>
  <c r="M7" i="9"/>
  <c r="L7" i="9"/>
  <c r="N7" i="9"/>
  <c r="P7" i="9"/>
  <c r="M8" i="9"/>
  <c r="L7" i="8"/>
  <c r="O8" i="9"/>
  <c r="O10" i="9" s="1"/>
  <c r="L6" i="10" s="1"/>
  <c r="O7" i="9"/>
  <c r="I12" i="8"/>
  <c r="M17" i="9"/>
  <c r="M19" i="9" s="1"/>
  <c r="J16" i="10" s="1"/>
  <c r="O17" i="9"/>
  <c r="O19" i="9" s="1"/>
  <c r="L16" i="10" s="1"/>
  <c r="P16" i="9"/>
  <c r="J12" i="8"/>
  <c r="L12" i="8"/>
  <c r="M7" i="8"/>
  <c r="D28" i="10"/>
  <c r="B34" i="12"/>
  <c r="G34" i="12" s="1"/>
  <c r="I41" i="8"/>
  <c r="I7" i="8"/>
  <c r="L17" i="9"/>
  <c r="L19" i="9" s="1"/>
  <c r="O25" i="9"/>
  <c r="L18" i="8"/>
  <c r="K18" i="8"/>
  <c r="K12" i="8"/>
  <c r="N17" i="9"/>
  <c r="N19" i="9" s="1"/>
  <c r="P17" i="9"/>
  <c r="P19" i="9" s="1"/>
  <c r="M16" i="10" s="1"/>
  <c r="I18" i="8"/>
  <c r="L16" i="9"/>
  <c r="O26" i="9"/>
  <c r="O28" i="9" s="1"/>
  <c r="M12" i="8"/>
  <c r="N16" i="9"/>
  <c r="J7" i="8"/>
  <c r="M18" i="8"/>
  <c r="J38" i="8"/>
  <c r="L34" i="8"/>
  <c r="K7" i="8"/>
  <c r="L26" i="9"/>
  <c r="L28" i="9" s="1"/>
  <c r="N25" i="9"/>
  <c r="N27" i="9" s="1"/>
  <c r="K27" i="10" s="1"/>
  <c r="O16" i="9"/>
  <c r="O18" i="9" s="1"/>
  <c r="L17" i="10" s="1"/>
  <c r="L34" i="12" s="1"/>
  <c r="P26" i="9"/>
  <c r="J18" i="8"/>
  <c r="J23" i="8"/>
  <c r="J29" i="8"/>
  <c r="J34" i="8"/>
  <c r="L25" i="9"/>
  <c r="L27" i="9" s="1"/>
  <c r="M16" i="9"/>
  <c r="M18" i="9" s="1"/>
  <c r="N26" i="9"/>
  <c r="N28" i="9" s="1"/>
  <c r="K26" i="10" s="1"/>
  <c r="P25" i="9"/>
  <c r="P27" i="9" s="1"/>
  <c r="M27" i="10" s="1"/>
  <c r="M35" i="12" s="1"/>
  <c r="M9" i="9"/>
  <c r="J7" i="10" s="1"/>
  <c r="J33" i="12" s="1"/>
  <c r="O36" i="9"/>
  <c r="L37" i="10" s="1"/>
  <c r="B46" i="10"/>
  <c r="E47" i="10"/>
  <c r="B38" i="10"/>
  <c r="C47" i="10"/>
  <c r="B47" i="10"/>
  <c r="B48" i="10" s="1"/>
  <c r="B28" i="10"/>
  <c r="B35" i="12"/>
  <c r="B37" i="12" s="1"/>
  <c r="C35" i="12"/>
  <c r="C37" i="12" s="1"/>
  <c r="E28" i="10"/>
  <c r="G37" i="10"/>
  <c r="C28" i="10"/>
  <c r="E8" i="10"/>
  <c r="D38" i="10"/>
  <c r="D36" i="12"/>
  <c r="E36" i="12"/>
  <c r="E43" i="12" s="1"/>
  <c r="F46" i="10"/>
  <c r="E38" i="10"/>
  <c r="D47" i="10"/>
  <c r="D46" i="10"/>
  <c r="F38" i="10"/>
  <c r="C18" i="10"/>
  <c r="D8" i="10"/>
  <c r="E35" i="12"/>
  <c r="G16" i="10"/>
  <c r="G18" i="10" s="1"/>
  <c r="G6" i="10"/>
  <c r="G8" i="10" s="1"/>
  <c r="G26" i="10"/>
  <c r="F28" i="10"/>
  <c r="G27" i="10"/>
  <c r="G36" i="10"/>
  <c r="E46" i="10"/>
  <c r="E48" i="10" s="1"/>
  <c r="C46" i="10"/>
  <c r="F47" i="10"/>
  <c r="L23" i="8"/>
  <c r="M29" i="8"/>
  <c r="I29" i="8"/>
  <c r="K29" i="8"/>
  <c r="L29" i="8"/>
  <c r="M26" i="9"/>
  <c r="M27" i="9" s="1"/>
  <c r="K23" i="8"/>
  <c r="M23" i="8"/>
  <c r="I23" i="8"/>
  <c r="M36" i="10"/>
  <c r="L36" i="9"/>
  <c r="I37" i="10" s="1"/>
  <c r="J36" i="10"/>
  <c r="L37" i="9"/>
  <c r="I36" i="10" s="1"/>
  <c r="M10" i="9"/>
  <c r="M36" i="9"/>
  <c r="M38" i="9" s="1"/>
  <c r="L18" i="9"/>
  <c r="P36" i="9"/>
  <c r="M37" i="10" s="1"/>
  <c r="K36" i="10"/>
  <c r="N36" i="9"/>
  <c r="P28" i="9"/>
  <c r="C41" i="12"/>
  <c r="B43" i="12"/>
  <c r="F42" i="12"/>
  <c r="D42" i="12"/>
  <c r="F37" i="12"/>
  <c r="E41" i="12"/>
  <c r="C43" i="12"/>
  <c r="D40" i="12"/>
  <c r="C40" i="12"/>
  <c r="E40" i="12"/>
  <c r="D41" i="12"/>
  <c r="F40" i="12"/>
  <c r="F41" i="12"/>
  <c r="F43" i="12"/>
  <c r="B40" i="12"/>
  <c r="G33" i="12"/>
  <c r="P10" i="9" l="1"/>
  <c r="Q10" i="9" s="1"/>
  <c r="N9" i="9"/>
  <c r="N11" i="9" s="1"/>
  <c r="L9" i="9"/>
  <c r="I7" i="10" s="1"/>
  <c r="I8" i="10" s="1"/>
  <c r="O9" i="9"/>
  <c r="L7" i="10" s="1"/>
  <c r="L33" i="12" s="1"/>
  <c r="O27" i="9"/>
  <c r="L27" i="10" s="1"/>
  <c r="L35" i="12" s="1"/>
  <c r="P18" i="9"/>
  <c r="M17" i="10" s="1"/>
  <c r="M18" i="10" s="1"/>
  <c r="B41" i="12"/>
  <c r="N29" i="9"/>
  <c r="N18" i="9"/>
  <c r="K17" i="10" s="1"/>
  <c r="K34" i="12" s="1"/>
  <c r="L26" i="10"/>
  <c r="I38" i="10"/>
  <c r="M20" i="9"/>
  <c r="O38" i="9"/>
  <c r="Q37" i="9"/>
  <c r="K7" i="10"/>
  <c r="K8" i="10" s="1"/>
  <c r="L38" i="9"/>
  <c r="C48" i="10"/>
  <c r="B11" i="10"/>
  <c r="I11" i="10" s="1"/>
  <c r="G36" i="12"/>
  <c r="C42" i="12"/>
  <c r="C44" i="12" s="1"/>
  <c r="C47" i="12" s="1"/>
  <c r="D43" i="12"/>
  <c r="D44" i="12" s="1"/>
  <c r="D37" i="12"/>
  <c r="B42" i="12"/>
  <c r="G38" i="10"/>
  <c r="G28" i="10"/>
  <c r="G35" i="12"/>
  <c r="G37" i="12" s="1"/>
  <c r="G47" i="10"/>
  <c r="E37" i="12"/>
  <c r="E42" i="12"/>
  <c r="E44" i="12" s="1"/>
  <c r="D48" i="10"/>
  <c r="F48" i="10"/>
  <c r="G46" i="10"/>
  <c r="J27" i="10"/>
  <c r="J35" i="12" s="1"/>
  <c r="J17" i="10"/>
  <c r="J34" i="12" s="1"/>
  <c r="I27" i="10"/>
  <c r="I35" i="12" s="1"/>
  <c r="L20" i="9"/>
  <c r="M28" i="9"/>
  <c r="P38" i="9"/>
  <c r="L29" i="9"/>
  <c r="O20" i="9"/>
  <c r="N36" i="10"/>
  <c r="L18" i="10"/>
  <c r="J6" i="10"/>
  <c r="J8" i="10" s="1"/>
  <c r="M11" i="9"/>
  <c r="I17" i="10"/>
  <c r="I34" i="12" s="1"/>
  <c r="I16" i="10"/>
  <c r="J37" i="10"/>
  <c r="K37" i="10"/>
  <c r="N38" i="9"/>
  <c r="L36" i="12"/>
  <c r="M26" i="10"/>
  <c r="M6" i="10"/>
  <c r="P29" i="9"/>
  <c r="M36" i="12"/>
  <c r="P11" i="9"/>
  <c r="K35" i="12"/>
  <c r="K28" i="10"/>
  <c r="Q36" i="9"/>
  <c r="M38" i="10"/>
  <c r="I26" i="10"/>
  <c r="Q19" i="9"/>
  <c r="K16" i="10"/>
  <c r="K46" i="10" s="1"/>
  <c r="M34" i="12"/>
  <c r="L38" i="10"/>
  <c r="I36" i="12"/>
  <c r="G40" i="12"/>
  <c r="F44" i="12"/>
  <c r="F47" i="12" s="1"/>
  <c r="G43" i="12"/>
  <c r="G41" i="12"/>
  <c r="B31" i="10"/>
  <c r="I31" i="10" s="1"/>
  <c r="F11" i="10"/>
  <c r="M11" i="10" s="1"/>
  <c r="I33" i="12" l="1"/>
  <c r="L11" i="9"/>
  <c r="L8" i="10"/>
  <c r="L47" i="10"/>
  <c r="N7" i="10"/>
  <c r="Q9" i="9"/>
  <c r="O11" i="9"/>
  <c r="Q27" i="9"/>
  <c r="L28" i="10"/>
  <c r="I10" i="10"/>
  <c r="I13" i="10" s="1"/>
  <c r="K33" i="12"/>
  <c r="N33" i="12" s="1"/>
  <c r="M47" i="10"/>
  <c r="P20" i="9"/>
  <c r="L37" i="12"/>
  <c r="O29" i="9"/>
  <c r="N20" i="9"/>
  <c r="Q18" i="9"/>
  <c r="L46" i="10"/>
  <c r="I46" i="10"/>
  <c r="M37" i="12"/>
  <c r="I47" i="10"/>
  <c r="E41" i="10"/>
  <c r="L41" i="10" s="1"/>
  <c r="L40" i="10" s="1"/>
  <c r="G11" i="10"/>
  <c r="D47" i="12"/>
  <c r="G42" i="12"/>
  <c r="G44" i="12" s="1"/>
  <c r="G47" i="12" s="1"/>
  <c r="B44" i="12"/>
  <c r="B47" i="12" s="1"/>
  <c r="G48" i="10"/>
  <c r="E47" i="12"/>
  <c r="I18" i="10"/>
  <c r="N27" i="10"/>
  <c r="J26" i="10"/>
  <c r="N26" i="10" s="1"/>
  <c r="N17" i="10"/>
  <c r="Q28" i="9"/>
  <c r="M29" i="9"/>
  <c r="J18" i="10"/>
  <c r="Q38" i="9"/>
  <c r="J36" i="12"/>
  <c r="J37" i="12" s="1"/>
  <c r="J38" i="10"/>
  <c r="J47" i="10"/>
  <c r="M28" i="10"/>
  <c r="M46" i="10"/>
  <c r="K47" i="10"/>
  <c r="K48" i="10" s="1"/>
  <c r="K36" i="12"/>
  <c r="K38" i="10"/>
  <c r="I28" i="10"/>
  <c r="I30" i="10" s="1"/>
  <c r="N34" i="12"/>
  <c r="M8" i="10"/>
  <c r="M10" i="10" s="1"/>
  <c r="N6" i="10"/>
  <c r="N8" i="10" s="1"/>
  <c r="N35" i="12"/>
  <c r="N37" i="10"/>
  <c r="N38" i="10" s="1"/>
  <c r="I37" i="12"/>
  <c r="K18" i="10"/>
  <c r="N16" i="10"/>
  <c r="Q11" i="9"/>
  <c r="D21" i="10"/>
  <c r="K21" i="10" s="1"/>
  <c r="C11" i="10"/>
  <c r="J11" i="10" s="1"/>
  <c r="J10" i="10" s="1"/>
  <c r="D11" i="10"/>
  <c r="K11" i="10" s="1"/>
  <c r="K10" i="10" s="1"/>
  <c r="E11" i="10"/>
  <c r="L11" i="10" s="1"/>
  <c r="L10" i="10" s="1"/>
  <c r="C31" i="10"/>
  <c r="J31" i="10" s="1"/>
  <c r="B21" i="10"/>
  <c r="I21" i="10" s="1"/>
  <c r="E31" i="10"/>
  <c r="L31" i="10" s="1"/>
  <c r="L30" i="10" s="1"/>
  <c r="F31" i="10"/>
  <c r="M31" i="10" s="1"/>
  <c r="F41" i="10"/>
  <c r="M41" i="10" s="1"/>
  <c r="M40" i="10" s="1"/>
  <c r="D41" i="10"/>
  <c r="K41" i="10" s="1"/>
  <c r="D31" i="10"/>
  <c r="K31" i="10" s="1"/>
  <c r="K30" i="10" s="1"/>
  <c r="L48" i="10" l="1"/>
  <c r="Q20" i="9"/>
  <c r="I4" i="12"/>
  <c r="I8" i="12" s="1"/>
  <c r="Q29" i="9"/>
  <c r="M48" i="10"/>
  <c r="M25" i="12"/>
  <c r="M29" i="12" s="1"/>
  <c r="M43" i="10"/>
  <c r="L25" i="12"/>
  <c r="L29" i="12" s="1"/>
  <c r="L43" i="10"/>
  <c r="K18" i="12"/>
  <c r="K22" i="12" s="1"/>
  <c r="K33" i="10"/>
  <c r="L18" i="12"/>
  <c r="L22" i="12" s="1"/>
  <c r="L33" i="10"/>
  <c r="I18" i="12"/>
  <c r="I22" i="12" s="1"/>
  <c r="I33" i="10"/>
  <c r="L4" i="12"/>
  <c r="L8" i="12" s="1"/>
  <c r="L13" i="10"/>
  <c r="K4" i="12"/>
  <c r="K8" i="12" s="1"/>
  <c r="K13" i="10"/>
  <c r="M4" i="12"/>
  <c r="M8" i="12" s="1"/>
  <c r="M13" i="10"/>
  <c r="J4" i="12"/>
  <c r="J8" i="12" s="1"/>
  <c r="J13" i="10"/>
  <c r="I20" i="10"/>
  <c r="I23" i="10" s="1"/>
  <c r="G21" i="10"/>
  <c r="N28" i="10"/>
  <c r="N18" i="10"/>
  <c r="K40" i="10"/>
  <c r="J28" i="10"/>
  <c r="J30" i="10" s="1"/>
  <c r="J33" i="10" s="1"/>
  <c r="J46" i="10"/>
  <c r="J48" i="10" s="1"/>
  <c r="M30" i="10"/>
  <c r="N36" i="12"/>
  <c r="N37" i="12" s="1"/>
  <c r="N10" i="10"/>
  <c r="K20" i="10"/>
  <c r="N47" i="10"/>
  <c r="I48" i="10"/>
  <c r="K37" i="12"/>
  <c r="B41" i="10"/>
  <c r="I41" i="10" s="1"/>
  <c r="I40" i="10" s="1"/>
  <c r="I43" i="10" s="1"/>
  <c r="C21" i="10"/>
  <c r="J21" i="10" s="1"/>
  <c r="J20" i="10" s="1"/>
  <c r="E21" i="10"/>
  <c r="L21" i="10" s="1"/>
  <c r="L20" i="10" s="1"/>
  <c r="G31" i="10"/>
  <c r="F21" i="10"/>
  <c r="M21" i="10" s="1"/>
  <c r="M20" i="10" s="1"/>
  <c r="C41" i="10"/>
  <c r="J41" i="10" s="1"/>
  <c r="J40" i="10" s="1"/>
  <c r="J25" i="12" l="1"/>
  <c r="J43" i="10"/>
  <c r="K25" i="12"/>
  <c r="K29" i="12" s="1"/>
  <c r="H7" i="6" s="1"/>
  <c r="K43" i="10"/>
  <c r="N13" i="10"/>
  <c r="M18" i="12"/>
  <c r="M22" i="12" s="1"/>
  <c r="M42" i="12" s="1"/>
  <c r="M33" i="10"/>
  <c r="N33" i="10" s="1"/>
  <c r="L11" i="12"/>
  <c r="L15" i="12" s="1"/>
  <c r="L23" i="10"/>
  <c r="L50" i="10" s="1"/>
  <c r="I9" i="6" s="1"/>
  <c r="J11" i="12"/>
  <c r="J15" i="12" s="1"/>
  <c r="J23" i="10"/>
  <c r="K11" i="12"/>
  <c r="K15" i="12" s="1"/>
  <c r="H5" i="6" s="1"/>
  <c r="K23" i="10"/>
  <c r="M11" i="12"/>
  <c r="M15" i="12" s="1"/>
  <c r="M23" i="10"/>
  <c r="M50" i="10" s="1"/>
  <c r="J9" i="6" s="1"/>
  <c r="I11" i="12"/>
  <c r="I15" i="12" s="1"/>
  <c r="I50" i="10"/>
  <c r="F9" i="6" s="1"/>
  <c r="I40" i="12"/>
  <c r="F4" i="6"/>
  <c r="L42" i="12"/>
  <c r="I6" i="6"/>
  <c r="M40" i="12"/>
  <c r="J4" i="6"/>
  <c r="K43" i="12"/>
  <c r="L43" i="12"/>
  <c r="I7" i="6"/>
  <c r="M43" i="12"/>
  <c r="J7" i="6"/>
  <c r="I42" i="12"/>
  <c r="F6" i="6"/>
  <c r="J40" i="12"/>
  <c r="G4" i="6"/>
  <c r="K40" i="12"/>
  <c r="H4" i="6"/>
  <c r="L40" i="12"/>
  <c r="I4" i="6"/>
  <c r="K42" i="12"/>
  <c r="H6" i="6"/>
  <c r="J18" i="12"/>
  <c r="J22" i="12" s="1"/>
  <c r="N30" i="10"/>
  <c r="N31" i="10" s="1"/>
  <c r="N11" i="10"/>
  <c r="N46" i="10"/>
  <c r="N48" i="10" s="1"/>
  <c r="N20" i="10"/>
  <c r="J29" i="12"/>
  <c r="G41" i="10"/>
  <c r="N40" i="10"/>
  <c r="I25" i="12"/>
  <c r="K41" i="12" l="1"/>
  <c r="N43" i="10"/>
  <c r="K50" i="10"/>
  <c r="H9" i="6" s="1"/>
  <c r="J6" i="6"/>
  <c r="J50" i="10"/>
  <c r="G9" i="6" s="1"/>
  <c r="N23" i="10"/>
  <c r="N40" i="12"/>
  <c r="K44" i="12"/>
  <c r="K47" i="12" s="1"/>
  <c r="I41" i="12"/>
  <c r="F5" i="6"/>
  <c r="L41" i="12"/>
  <c r="L44" i="12" s="1"/>
  <c r="L47" i="12" s="1"/>
  <c r="I5" i="6"/>
  <c r="J43" i="12"/>
  <c r="G7" i="6"/>
  <c r="M41" i="12"/>
  <c r="M44" i="12" s="1"/>
  <c r="M47" i="12" s="1"/>
  <c r="J5" i="6"/>
  <c r="J41" i="12"/>
  <c r="G5" i="6"/>
  <c r="J42" i="12"/>
  <c r="N42" i="12" s="1"/>
  <c r="G6" i="6"/>
  <c r="N21" i="10"/>
  <c r="I29" i="12"/>
  <c r="N41" i="10"/>
  <c r="N50" i="10" l="1"/>
  <c r="I43" i="12"/>
  <c r="I44" i="12" s="1"/>
  <c r="I47" i="12" s="1"/>
  <c r="F7" i="6"/>
  <c r="J44" i="12"/>
  <c r="J47" i="12" s="1"/>
  <c r="N41" i="12"/>
  <c r="N43" i="12" l="1"/>
  <c r="N44" i="12" s="1"/>
  <c r="N47" i="12" s="1"/>
</calcChain>
</file>

<file path=xl/sharedStrings.xml><?xml version="1.0" encoding="utf-8"?>
<sst xmlns="http://schemas.openxmlformats.org/spreadsheetml/2006/main" count="458" uniqueCount="189">
  <si>
    <t>PAYG Rates</t>
  </si>
  <si>
    <t>Ofwat - DD</t>
  </si>
  <si>
    <t>PAYG Rate ~ water resources</t>
  </si>
  <si>
    <t>2020-21</t>
  </si>
  <si>
    <t>2021-22</t>
  </si>
  <si>
    <t>2022-23</t>
  </si>
  <si>
    <t>2023-24</t>
  </si>
  <si>
    <t>2024-25</t>
  </si>
  <si>
    <t>"Natural" PAYG rate ~ water resources</t>
  </si>
  <si>
    <t>Adjustments to PAYG rate to address transition from RPI to CPI ~ water resources</t>
  </si>
  <si>
    <t>Other adjustments to PAYG rate ~ water resources</t>
  </si>
  <si>
    <t>Total PAYG rate ~ water resources</t>
  </si>
  <si>
    <t>PAYG Rate ~ water network plus</t>
  </si>
  <si>
    <t>"Natural" PAYG rate ~ water network plus</t>
  </si>
  <si>
    <t>Adjustments to PAYG rate to address transition from RPI to CPI ~ water network plus</t>
  </si>
  <si>
    <t>Other adjustments to PAYG rate ~ water network plus</t>
  </si>
  <si>
    <t>Total PAYG rate ~ water network plus</t>
  </si>
  <si>
    <t>PAYG Rate ~ wastewater network plus</t>
  </si>
  <si>
    <t>"Natural" PAYG rate ~ wastewater network plus</t>
  </si>
  <si>
    <t>Adjustments to PAYG rate to address transition from RPI to CPI ~ wastewater network plus</t>
  </si>
  <si>
    <t>Other adjustments to PAYG rate ~ wastewater network plus</t>
  </si>
  <si>
    <t>Total PAYG rate ~ wastewater network plus</t>
  </si>
  <si>
    <t>PAYG Rate ~ bioresources</t>
  </si>
  <si>
    <t>"Natural" PAYG rate ~ bioresources</t>
  </si>
  <si>
    <t>Adjustments to PAYG rate to address transition from RPI to CPI ~ bioresources</t>
  </si>
  <si>
    <t>Other adjustments to PAYG rate ~ bioresources</t>
  </si>
  <si>
    <t>Total PAYG rate - bioresources</t>
  </si>
  <si>
    <t>Totex</t>
  </si>
  <si>
    <t>Total PAYG - %</t>
  </si>
  <si>
    <t>Pr19FMTotex_for_PAYG</t>
  </si>
  <si>
    <t>Acronym</t>
  </si>
  <si>
    <t>Reference</t>
  </si>
  <si>
    <t>Item description</t>
  </si>
  <si>
    <t>Unit</t>
  </si>
  <si>
    <t>Model</t>
  </si>
  <si>
    <t>Price Review 2019</t>
  </si>
  <si>
    <t>Latest</t>
  </si>
  <si>
    <t>SRN</t>
  </si>
  <si>
    <t>C_WROPEXFM_PR19FM008</t>
  </si>
  <si>
    <t>WR - Total gross operational expenditure -real - including cost sharing</t>
  </si>
  <si>
    <t>£m</t>
  </si>
  <si>
    <t>C_WRCAPEXFM_PR19FM008</t>
  </si>
  <si>
    <t>WR - Total gross capital expenditure - real (including g&amp;c) - including cost sharing</t>
  </si>
  <si>
    <t>C_WNOPEXFM_PR19FM008</t>
  </si>
  <si>
    <t>WN - Total gross operational expenditure -real - including cost sharing</t>
  </si>
  <si>
    <t>C_WNCAPEXFM_PR19FM008</t>
  </si>
  <si>
    <t>WN - Total gross capital expenditure - real - including cost sharing</t>
  </si>
  <si>
    <t>C_WWNOPEXFM_PR19FM008</t>
  </si>
  <si>
    <t>WWN - Total gross operational expenditure - real - including cost sharing</t>
  </si>
  <si>
    <t>C_WWNCAPEXFM_PR19FM008</t>
  </si>
  <si>
    <t>WWN - Total gross capital expenditure - real - including cost sharing</t>
  </si>
  <si>
    <t>C_BROPEXFM_PR19FM008</t>
  </si>
  <si>
    <t>BIO - Total gross operational expenditure -real</t>
  </si>
  <si>
    <t>C_BRCAPEXFM_PR19FM008</t>
  </si>
  <si>
    <t>BIO - Total gross capital expenditure - real (including g&amp;c)</t>
  </si>
  <si>
    <t>PR19GC0002</t>
  </si>
  <si>
    <t>WN - Grants and contributions - capital expenditure - non price control - real</t>
  </si>
  <si>
    <t>PR19GC0004</t>
  </si>
  <si>
    <t>WN - Grants and contributions - operational expenditure - non price control - real</t>
  </si>
  <si>
    <t>PR19GC0006</t>
  </si>
  <si>
    <t>WR - Grants and contributions - capital expenditure - non price control - real</t>
  </si>
  <si>
    <t>PR19GC0008</t>
  </si>
  <si>
    <t>WR - Grants and contributions - operational expenditure - non price control - real</t>
  </si>
  <si>
    <t>PR19GC0010</t>
  </si>
  <si>
    <t>WWN - Grants and contributions - capital expenditure - non price control - real</t>
  </si>
  <si>
    <t>PR19GC0012</t>
  </si>
  <si>
    <t>WWN - Grants and contributions - operational expenditure - non price control - real</t>
  </si>
  <si>
    <t>Water resources</t>
  </si>
  <si>
    <t>Water resources Net Opex</t>
  </si>
  <si>
    <t>Water resources Net Capex</t>
  </si>
  <si>
    <t>Water Network</t>
  </si>
  <si>
    <t>Water network Net Opex</t>
  </si>
  <si>
    <t>Water network Net Capex</t>
  </si>
  <si>
    <t>Wastewater Network</t>
  </si>
  <si>
    <t>Wastewater network Net Capex</t>
  </si>
  <si>
    <t>Bioresources</t>
  </si>
  <si>
    <t>Bioresources Net Opex</t>
  </si>
  <si>
    <t>Bioresources Net Capex</t>
  </si>
  <si>
    <t>Capital Expenditure (excluding Atypical expenditure) - Total gross capital expenditure - Water resources</t>
  </si>
  <si>
    <t>Water totex</t>
  </si>
  <si>
    <t>Water resources operating expenditure (amount for totex CR) (post override) - real</t>
  </si>
  <si>
    <t>Water resources capex grants and contributions - real</t>
  </si>
  <si>
    <t>Water resources opex grants and contributions - real</t>
  </si>
  <si>
    <t>Net Totex</t>
  </si>
  <si>
    <t>Net Opex</t>
  </si>
  <si>
    <t>Net capex</t>
  </si>
  <si>
    <t>Water network totex</t>
  </si>
  <si>
    <t>Water network operating expenditure (amount for totex CR) (post override) - real</t>
  </si>
  <si>
    <t>Total gross capital expenditure - WN - real</t>
  </si>
  <si>
    <t xml:space="preserve">Water network plus capex grants and contributions </t>
  </si>
  <si>
    <t xml:space="preserve">Water network plus opex grants and contributions </t>
  </si>
  <si>
    <t>Wastewater totex</t>
  </si>
  <si>
    <t>Wastewater network operating expenditure (amount for totex CR) (post override) - WWN - real</t>
  </si>
  <si>
    <t>Total gross capital expenditure - WWN - real</t>
  </si>
  <si>
    <t>Wastewater network plus capex grants and contributions</t>
  </si>
  <si>
    <t>Wastewater network plus opex grants and contributions</t>
  </si>
  <si>
    <t>Bio resources totex</t>
  </si>
  <si>
    <t>Bio resources operating expenditure (amount for totex CR) (post override) - real</t>
  </si>
  <si>
    <t>Total gross capital expenditure - BR - real</t>
  </si>
  <si>
    <t>Bioresources capex grants and contributions</t>
  </si>
  <si>
    <t>Bioresources opex grants and contributions</t>
  </si>
  <si>
    <t>Total</t>
  </si>
  <si>
    <t>PAYG - Water Resources</t>
  </si>
  <si>
    <t>Total Opex</t>
  </si>
  <si>
    <t>PAYG - Water Network Plus</t>
  </si>
  <si>
    <t>PAYG - Wastewater Network Plus</t>
  </si>
  <si>
    <t>PAYG - Bioresources</t>
  </si>
  <si>
    <t>Opex as a percentage of totex</t>
  </si>
  <si>
    <t>PAYG as a percentage of opex rate</t>
  </si>
  <si>
    <t>2020-25</t>
  </si>
  <si>
    <t>%</t>
  </si>
  <si>
    <t>text</t>
  </si>
  <si>
    <t>Other interventions ~ water resources</t>
  </si>
  <si>
    <t>Other interventions ~ water network plus</t>
  </si>
  <si>
    <t>Other interventions ~ wastewater network plus</t>
  </si>
  <si>
    <t>Other interventions ~ bioresources</t>
  </si>
  <si>
    <t>Water network plus</t>
  </si>
  <si>
    <t>Wastewater network plus</t>
  </si>
  <si>
    <t>Total totex</t>
  </si>
  <si>
    <t>PAYG revenue</t>
  </si>
  <si>
    <t>Total PAYG revenue</t>
  </si>
  <si>
    <t>2020-2025</t>
  </si>
  <si>
    <t>Draft determination totex</t>
  </si>
  <si>
    <t>Draft determination</t>
  </si>
  <si>
    <t>C_WR40019</t>
  </si>
  <si>
    <t>C_WN40019</t>
  </si>
  <si>
    <t>C_WWN60019</t>
  </si>
  <si>
    <t>C_BR50019</t>
  </si>
  <si>
    <t>Total PAYG rate ~ bio resources</t>
  </si>
  <si>
    <t>C_DMMY60019</t>
  </si>
  <si>
    <t xml:space="preserve">Total PAYG rate ~ dummy </t>
  </si>
  <si>
    <t>PR19QA_RR002_OUT_1</t>
  </si>
  <si>
    <t>Date &amp; Time for Model PR19 RR002 Pay as you go (PAYG)</t>
  </si>
  <si>
    <t>PR19QA_RR002_OUT_2</t>
  </si>
  <si>
    <t>Name &amp; Path of Model PR19 RR002 Pay as you go (PAYG)</t>
  </si>
  <si>
    <t>(a) Opex as percentage of totex</t>
  </si>
  <si>
    <t>(b) Total opex</t>
  </si>
  <si>
    <t>(c) Totex</t>
  </si>
  <si>
    <t>(e) PAYG as a percentage of opex rate</t>
  </si>
  <si>
    <t>(a) = (b) / (c)</t>
  </si>
  <si>
    <t>(e) = (d) / (a)</t>
  </si>
  <si>
    <t xml:space="preserve">(f) Opex as percentage of totex </t>
  </si>
  <si>
    <t>(g) Total opex</t>
  </si>
  <si>
    <t>(h) Totex</t>
  </si>
  <si>
    <t xml:space="preserve">(i) PAYG as a percentage of opex rate </t>
  </si>
  <si>
    <t xml:space="preserve">(f) = (g) / (h) </t>
  </si>
  <si>
    <t>(i) = (e)</t>
  </si>
  <si>
    <t xml:space="preserve">(j) = (f) * (i) </t>
  </si>
  <si>
    <r>
      <t>·</t>
    </r>
    <r>
      <rPr>
        <sz val="7"/>
        <color theme="1"/>
        <rFont val="Times New Roman"/>
        <family val="1"/>
      </rPr>
      <t xml:space="preserve">         </t>
    </r>
    <r>
      <rPr>
        <sz val="12"/>
        <color theme="1"/>
        <rFont val="Arial"/>
        <family val="2"/>
      </rPr>
      <t>Other interventions (Ofwat interventions)</t>
    </r>
  </si>
  <si>
    <r>
      <t>·</t>
    </r>
    <r>
      <rPr>
        <sz val="7"/>
        <color theme="1"/>
        <rFont val="Times New Roman"/>
        <family val="1"/>
      </rPr>
      <t xml:space="preserve">         </t>
    </r>
    <r>
      <rPr>
        <sz val="12"/>
        <color theme="1"/>
        <rFont val="Arial"/>
        <family val="2"/>
      </rPr>
      <t>Total PAYG rate (sum of the above)</t>
    </r>
  </si>
  <si>
    <t>We also calculate the total PAYG % = total totex / total PAYG revenue</t>
  </si>
  <si>
    <t>(Total totex – as per ‘PAYG’ tab)</t>
  </si>
  <si>
    <t>(PAYG revenue is calculated per control as totex * total PAYG rate)</t>
  </si>
  <si>
    <r>
      <t>1.</t>
    </r>
    <r>
      <rPr>
        <sz val="7"/>
        <color theme="1"/>
        <rFont val="Times New Roman"/>
        <family val="1"/>
      </rPr>
      <t xml:space="preserve">    </t>
    </r>
    <r>
      <rPr>
        <b/>
        <sz val="12"/>
        <color theme="1"/>
        <rFont val="Arial"/>
        <family val="2"/>
      </rPr>
      <t>Final determination totex</t>
    </r>
    <r>
      <rPr>
        <sz val="12"/>
        <color theme="1"/>
        <rFont val="Arial"/>
        <family val="2"/>
      </rPr>
      <t xml:space="preserve"> – As per the final determination cost allowances, shows the totex allowances by year and by wholesale controls for 2020-2025.</t>
    </r>
  </si>
  <si>
    <r>
      <t>2.</t>
    </r>
    <r>
      <rPr>
        <sz val="7"/>
        <color theme="1"/>
        <rFont val="Times New Roman"/>
        <family val="1"/>
      </rPr>
      <t xml:space="preserve">    </t>
    </r>
    <r>
      <rPr>
        <b/>
        <sz val="12"/>
        <color theme="1"/>
        <rFont val="Arial"/>
        <family val="2"/>
      </rPr>
      <t>Calculation</t>
    </r>
    <r>
      <rPr>
        <sz val="12"/>
        <color theme="1"/>
        <rFont val="Arial"/>
        <family val="2"/>
      </rPr>
      <t xml:space="preserve"> – Calculates the net totex, net opex and net capex using the data from the ‘Final determination totex’ and the draft determination totex as published, by year and by wholesale controls for 2020-2025</t>
    </r>
  </si>
  <si>
    <r>
      <t>3.</t>
    </r>
    <r>
      <rPr>
        <sz val="7"/>
        <color theme="1"/>
        <rFont val="Times New Roman"/>
        <family val="1"/>
      </rPr>
      <t xml:space="preserve">    </t>
    </r>
    <r>
      <rPr>
        <b/>
        <sz val="12"/>
        <color theme="1"/>
        <rFont val="Arial"/>
        <family val="2"/>
      </rPr>
      <t>PAYG</t>
    </r>
    <r>
      <rPr>
        <sz val="12"/>
        <color theme="1"/>
        <rFont val="Arial"/>
        <family val="2"/>
      </rPr>
      <t xml:space="preserve"> – Uses the draft determination opex as a percentage of totex using the data from the ‘calculation’ tab.</t>
    </r>
  </si>
  <si>
    <t>This produces a figure for PAYG as a percentage of opex rate which we use to calculate the PAYG rates for the final determination to align to the company approach in setting the natural rate. We set out the calculations below:</t>
  </si>
  <si>
    <t>(d) Draft determination natural rate</t>
  </si>
  <si>
    <t>Final determination</t>
  </si>
  <si>
    <t xml:space="preserve">(j) Final determination natural rate </t>
  </si>
  <si>
    <r>
      <t>4.</t>
    </r>
    <r>
      <rPr>
        <sz val="7"/>
        <color theme="1"/>
        <rFont val="Times New Roman"/>
        <family val="1"/>
      </rPr>
      <t xml:space="preserve">    </t>
    </r>
    <r>
      <rPr>
        <b/>
        <sz val="12"/>
        <color theme="1"/>
        <rFont val="Arial"/>
        <family val="2"/>
      </rPr>
      <t xml:space="preserve">PAYG summary tables </t>
    </r>
    <r>
      <rPr>
        <sz val="12"/>
        <color theme="1"/>
        <rFont val="Arial"/>
        <family val="2"/>
      </rPr>
      <t>- Sets out the draft determination versus the final determination PAYG rates by year and by wholesale control for 2020 – 2025 including the following:</t>
    </r>
  </si>
  <si>
    <r>
      <t>·</t>
    </r>
    <r>
      <rPr>
        <sz val="7"/>
        <color theme="1"/>
        <rFont val="Times New Roman"/>
        <family val="1"/>
      </rPr>
      <t xml:space="preserve">         </t>
    </r>
    <r>
      <rPr>
        <sz val="12"/>
        <color theme="1"/>
        <rFont val="Arial"/>
        <family val="2"/>
      </rPr>
      <t>“Natural” PAYG rate</t>
    </r>
  </si>
  <si>
    <r>
      <t>·</t>
    </r>
    <r>
      <rPr>
        <sz val="7"/>
        <color theme="1"/>
        <rFont val="Times New Roman"/>
        <family val="1"/>
      </rPr>
      <t xml:space="preserve">         </t>
    </r>
    <r>
      <rPr>
        <sz val="12"/>
        <color theme="1"/>
        <rFont val="Arial"/>
        <family val="2"/>
      </rPr>
      <t>Adjustments to PAYG rate to address transition from RPI to CPI</t>
    </r>
  </si>
  <si>
    <r>
      <t>·</t>
    </r>
    <r>
      <rPr>
        <sz val="7"/>
        <color theme="1"/>
        <rFont val="Times New Roman"/>
        <family val="1"/>
      </rPr>
      <t xml:space="preserve">         </t>
    </r>
    <r>
      <rPr>
        <sz val="12"/>
        <color theme="1"/>
        <rFont val="Arial"/>
        <family val="2"/>
      </rPr>
      <t>Other adjustments to PAYG rate</t>
    </r>
  </si>
  <si>
    <t>Draft determination natural rate</t>
  </si>
  <si>
    <t>Final determination totex</t>
  </si>
  <si>
    <t>Ofwat - FD</t>
  </si>
  <si>
    <t>Calculated capitalised IRE</t>
  </si>
  <si>
    <t>Total calculated capitalised IRE</t>
  </si>
  <si>
    <t>£M</t>
  </si>
  <si>
    <t>PR19 Run 8: Final Determinations</t>
  </si>
  <si>
    <t>PR19GC0061</t>
  </si>
  <si>
    <t>WN - Grants and contributions net of income offset - capital expenditure - price control - real</t>
  </si>
  <si>
    <t>PR19GC0063</t>
  </si>
  <si>
    <t>WN - Grants and contributions net of income offset - operational expenditure - price control - real</t>
  </si>
  <si>
    <t>PR19GC0065</t>
  </si>
  <si>
    <t>WR - Grants and contributions net of income offset - capital expenditure - price control - real</t>
  </si>
  <si>
    <t>PR19GC0067</t>
  </si>
  <si>
    <t>WR - Grants and contributions net of income offset - operational expenditure - price control - real</t>
  </si>
  <si>
    <t>PR19GC0069</t>
  </si>
  <si>
    <t>WWN - Grants and contributions net of income offset - capital expenditure - price control - real</t>
  </si>
  <si>
    <t>PR19GC0071</t>
  </si>
  <si>
    <t>WWN - Grants and contributions net of income offset - operational expenditure - price control - real</t>
  </si>
  <si>
    <t>C_DUMMYCAPEXFM_PR19FM008</t>
  </si>
  <si>
    <t>Dummy - profiled total capex</t>
  </si>
  <si>
    <t>PAYG_OUT</t>
  </si>
  <si>
    <t>PR19_RR002_001</t>
  </si>
  <si>
    <t>IRE expected from totex – real</t>
  </si>
  <si>
    <t>Overwritten for HT costs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</si>
</sst>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0_-;\-* #,##0.000_-;_-* &quot;-&quot;??_-;_-@_-"/>
    <numFmt numFmtId="165" formatCode="#,##0.0000_);\(#,##0.0000\);&quot;-  &quot;;&quot; &quot;@&quot; &quot;"/>
    <numFmt numFmtId="166" formatCode="#,##0.00_);\(#,##0.00\);&quot;-  &quot;;&quot; &quot;@&quot; &quot;"/>
    <numFmt numFmtId="167" formatCode="#,##0.000_);\(#,##0.000\);&quot;-  &quot;;&quot; &quot;@&quot; &quot;"/>
    <numFmt numFmtId="168" formatCode="0.0"/>
    <numFmt numFmtId="169" formatCode="#,##0.000"/>
  </numFmts>
  <fonts count="35" x14ac:knownFonts="1">
    <font>
      <sz val="11"/>
      <color theme="1"/>
      <name val="Arial"/>
      <family val="2"/>
    </font>
    <font>
      <sz val="11"/>
      <color theme="1"/>
      <name val="Arial"/>
      <family val="2"/>
    </font>
    <font>
      <b/>
      <sz val="11"/>
      <color theme="1"/>
      <name val="Arial"/>
      <family val="2"/>
    </font>
    <font>
      <sz val="15"/>
      <color rgb="FFFFFFFF"/>
      <name val="Franklin Gothic Demi"/>
      <family val="2"/>
    </font>
    <font>
      <sz val="11"/>
      <color rgb="FF000000"/>
      <name val="Arial"/>
      <family val="2"/>
    </font>
    <font>
      <sz val="10"/>
      <color rgb="FF0078C9"/>
      <name val="Franklin Gothic Demi"/>
      <family val="2"/>
    </font>
    <font>
      <sz val="9"/>
      <color theme="1"/>
      <name val="Arial"/>
      <family val="2"/>
    </font>
    <font>
      <sz val="9"/>
      <color rgb="FF000000"/>
      <name val="Arial"/>
      <family val="2"/>
    </font>
    <font>
      <sz val="10"/>
      <color rgb="FF000000"/>
      <name val="Arial"/>
      <family val="2"/>
    </font>
    <font>
      <sz val="10"/>
      <color theme="1"/>
      <name val="Arial"/>
      <family val="2"/>
    </font>
    <font>
      <sz val="10"/>
      <name val="Arial"/>
      <family val="2"/>
    </font>
    <font>
      <sz val="10"/>
      <name val="Franklin Gothic Demi"/>
      <family val="2"/>
    </font>
    <font>
      <sz val="9"/>
      <name val="Arial"/>
      <family val="2"/>
    </font>
    <font>
      <sz val="11"/>
      <name val="Arial"/>
      <family val="2"/>
    </font>
    <font>
      <b/>
      <sz val="11"/>
      <color rgb="FF203764"/>
      <name val="Arial"/>
      <family val="2"/>
    </font>
    <font>
      <b/>
      <sz val="9"/>
      <color rgb="FFFF0000"/>
      <name val="Arial"/>
      <family val="2"/>
    </font>
    <font>
      <i/>
      <sz val="11"/>
      <color rgb="FF0070C0"/>
      <name val="Arial"/>
      <family val="2"/>
    </font>
    <font>
      <i/>
      <sz val="11"/>
      <name val="Arial"/>
      <family val="2"/>
    </font>
    <font>
      <i/>
      <sz val="10"/>
      <color rgb="FF0070C0"/>
      <name val="Arial"/>
      <family val="2"/>
    </font>
    <font>
      <i/>
      <sz val="9"/>
      <color rgb="FF0070C0"/>
      <name val="Arial"/>
      <family val="2"/>
    </font>
    <font>
      <i/>
      <sz val="10"/>
      <name val="Arial"/>
      <family val="2"/>
    </font>
    <font>
      <i/>
      <sz val="9"/>
      <name val="Arial"/>
      <family val="2"/>
    </font>
    <font>
      <b/>
      <i/>
      <sz val="9"/>
      <color rgb="FFFF0000"/>
      <name val="Arial"/>
      <family val="2"/>
    </font>
    <font>
      <i/>
      <sz val="9"/>
      <color rgb="FFFF0000"/>
      <name val="Arial"/>
      <family val="2"/>
    </font>
    <font>
      <b/>
      <sz val="10"/>
      <color theme="1"/>
      <name val="Arial"/>
      <family val="2"/>
    </font>
    <font>
      <b/>
      <sz val="10"/>
      <color rgb="FF0000FF"/>
      <name val="Arial"/>
      <family val="2"/>
    </font>
    <font>
      <sz val="10"/>
      <color rgb="FF0000FF"/>
      <name val="Arial"/>
      <family val="2"/>
    </font>
    <font>
      <sz val="10"/>
      <color rgb="FFFF0000"/>
      <name val="Arial"/>
      <family val="2"/>
    </font>
    <font>
      <sz val="11"/>
      <color rgb="FF0000FF"/>
      <name val="Arial"/>
      <family val="2"/>
    </font>
    <font>
      <sz val="12"/>
      <color rgb="FF0078C9"/>
      <name val="Franklin Gothic Demi"/>
      <family val="2"/>
    </font>
    <font>
      <sz val="11"/>
      <color theme="1"/>
      <name val="Verdana"/>
      <family val="2"/>
    </font>
    <font>
      <sz val="12"/>
      <color theme="1"/>
      <name val="Arial"/>
      <family val="2"/>
    </font>
    <font>
      <sz val="7"/>
      <color theme="1"/>
      <name val="Times New Roman"/>
      <family val="1"/>
    </font>
    <font>
      <b/>
      <sz val="12"/>
      <color theme="1"/>
      <name val="Arial"/>
      <family val="2"/>
    </font>
    <font>
      <sz val="12"/>
      <color theme="1"/>
      <name val="Symbol"/>
      <family val="1"/>
      <charset val="2"/>
    </font>
  </fonts>
  <fills count="14">
    <fill>
      <patternFill patternType="none"/>
    </fill>
    <fill>
      <patternFill patternType="gray125"/>
    </fill>
    <fill>
      <patternFill patternType="solid">
        <fgColor rgb="FF003479"/>
        <bgColor rgb="FF000000"/>
      </patternFill>
    </fill>
    <fill>
      <patternFill patternType="solid">
        <fgColor theme="0"/>
        <bgColor indexed="64"/>
      </patternFill>
    </fill>
    <fill>
      <patternFill patternType="solid">
        <fgColor rgb="FFE0DCD8"/>
        <bgColor rgb="FF000000"/>
      </patternFill>
    </fill>
    <fill>
      <patternFill patternType="solid">
        <fgColor rgb="FFFE4819"/>
        <bgColor indexed="64"/>
      </patternFill>
    </fill>
    <fill>
      <patternFill patternType="solid">
        <fgColor rgb="FFFCEABF"/>
        <bgColor rgb="FF000000"/>
      </patternFill>
    </fill>
    <fill>
      <patternFill patternType="solid">
        <fgColor rgb="FFFFFF00"/>
        <bgColor indexed="64"/>
      </patternFill>
    </fill>
    <fill>
      <patternFill patternType="solid">
        <fgColor rgb="FFBFDDF1"/>
        <bgColor rgb="FF000000"/>
      </patternFill>
    </fill>
    <fill>
      <patternFill patternType="solid">
        <fgColor rgb="FFBFDDF1"/>
        <bgColor indexed="64"/>
      </patternFill>
    </fill>
    <fill>
      <patternFill patternType="solid">
        <fgColor rgb="FFFCEABF"/>
        <bgColor indexed="64"/>
      </patternFill>
    </fill>
    <fill>
      <patternFill patternType="solid">
        <fgColor rgb="FF003892"/>
        <bgColor indexed="64"/>
      </patternFill>
    </fill>
    <fill>
      <patternFill patternType="solid">
        <fgColor theme="4" tint="0.79998168889431442"/>
        <bgColor indexed="64"/>
      </patternFill>
    </fill>
    <fill>
      <patternFill patternType="solid">
        <fgColor theme="5" tint="0.59999389629810485"/>
        <bgColor indexed="64"/>
      </patternFill>
    </fill>
  </fills>
  <borders count="44">
    <border>
      <left/>
      <right/>
      <top/>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bottom style="medium">
        <color rgb="FF857362"/>
      </bottom>
      <diagonal/>
    </border>
    <border>
      <left style="medium">
        <color rgb="FF857362"/>
      </left>
      <right/>
      <top style="thin">
        <color rgb="FF857362"/>
      </top>
      <bottom style="medium">
        <color rgb="FF857362"/>
      </bottom>
      <diagonal/>
    </border>
    <border>
      <left/>
      <right style="thin">
        <color rgb="FF857362"/>
      </right>
      <top style="medium">
        <color rgb="FF857362"/>
      </top>
      <bottom style="thin">
        <color rgb="FF857362"/>
      </bottom>
      <diagonal/>
    </border>
    <border>
      <left/>
      <right style="thin">
        <color rgb="FF857362"/>
      </right>
      <top style="thin">
        <color rgb="FF857362"/>
      </top>
      <bottom style="medium">
        <color rgb="FF8573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857362"/>
      </left>
      <right style="thin">
        <color rgb="FF857362"/>
      </right>
      <top/>
      <bottom/>
      <diagonal/>
    </border>
    <border>
      <left/>
      <right style="thin">
        <color rgb="FF857362"/>
      </right>
      <top/>
      <bottom/>
      <diagonal/>
    </border>
    <border>
      <left style="medium">
        <color rgb="FF857362"/>
      </left>
      <right/>
      <top/>
      <bottom style="thin">
        <color rgb="FF8573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6" fillId="5" borderId="0" applyBorder="0"/>
    <xf numFmtId="0" fontId="9" fillId="9" borderId="10">
      <alignment horizontal="right" vertical="center" wrapText="1"/>
    </xf>
    <xf numFmtId="0" fontId="10" fillId="0" borderId="0"/>
    <xf numFmtId="0" fontId="10" fillId="0" borderId="0"/>
    <xf numFmtId="0" fontId="1" fillId="0" borderId="0"/>
    <xf numFmtId="165" fontId="10" fillId="0" borderId="0" applyFont="0" applyFill="0" applyBorder="0" applyProtection="0">
      <alignment vertical="top"/>
    </xf>
    <xf numFmtId="0" fontId="1" fillId="0" borderId="0"/>
    <xf numFmtId="0" fontId="1" fillId="0" borderId="0"/>
    <xf numFmtId="0" fontId="30" fillId="0" borderId="0"/>
    <xf numFmtId="0" fontId="1" fillId="0" borderId="0"/>
  </cellStyleXfs>
  <cellXfs count="133">
    <xf numFmtId="0" fontId="0" fillId="0" borderId="0" xfId="0"/>
    <xf numFmtId="0" fontId="0" fillId="3" borderId="0" xfId="0" applyFill="1" applyAlignment="1">
      <alignment vertical="top"/>
    </xf>
    <xf numFmtId="10" fontId="7" fillId="6" borderId="8" xfId="3" applyNumberFormat="1" applyFont="1" applyFill="1" applyBorder="1" applyAlignment="1" applyProtection="1">
      <alignment vertical="center"/>
      <protection locked="0"/>
    </xf>
    <xf numFmtId="10" fontId="7" fillId="6" borderId="9" xfId="3" applyNumberFormat="1" applyFont="1" applyFill="1" applyBorder="1" applyAlignment="1" applyProtection="1">
      <alignment vertical="center"/>
      <protection locked="0"/>
    </xf>
    <xf numFmtId="10" fontId="7" fillId="6" borderId="10" xfId="3" applyNumberFormat="1" applyFont="1" applyFill="1" applyBorder="1" applyAlignment="1" applyProtection="1">
      <alignment vertical="center"/>
      <protection locked="0"/>
    </xf>
    <xf numFmtId="10" fontId="7" fillId="6" borderId="11" xfId="3" applyNumberFormat="1" applyFont="1" applyFill="1" applyBorder="1" applyAlignment="1" applyProtection="1">
      <alignment vertical="center"/>
      <protection locked="0"/>
    </xf>
    <xf numFmtId="10" fontId="7" fillId="8" borderId="12" xfId="3" applyNumberFormat="1" applyFont="1" applyFill="1" applyBorder="1" applyAlignment="1">
      <alignment vertical="center"/>
    </xf>
    <xf numFmtId="10" fontId="7" fillId="8" borderId="13" xfId="3" applyNumberFormat="1" applyFont="1" applyFill="1" applyBorder="1" applyAlignment="1">
      <alignment vertical="center"/>
    </xf>
    <xf numFmtId="10" fontId="7" fillId="8" borderId="14" xfId="3" applyNumberFormat="1" applyFont="1" applyFill="1" applyBorder="1" applyAlignment="1">
      <alignment vertical="center"/>
    </xf>
    <xf numFmtId="10" fontId="12" fillId="10" borderId="8" xfId="4" applyNumberFormat="1" applyFont="1" applyFill="1" applyBorder="1" applyAlignment="1" applyProtection="1">
      <alignment vertical="center"/>
      <protection locked="0"/>
    </xf>
    <xf numFmtId="0" fontId="14" fillId="0" borderId="0" xfId="0" applyFont="1"/>
    <xf numFmtId="0" fontId="3" fillId="2" borderId="0" xfId="3" applyFont="1" applyFill="1" applyAlignment="1">
      <alignment vertical="center"/>
    </xf>
    <xf numFmtId="0" fontId="4" fillId="3" borderId="0" xfId="3" applyFont="1" applyFill="1" applyAlignment="1">
      <alignment vertical="center"/>
    </xf>
    <xf numFmtId="164" fontId="4" fillId="3" borderId="0" xfId="1" applyNumberFormat="1" applyFont="1" applyFill="1" applyAlignment="1">
      <alignment vertical="center"/>
    </xf>
    <xf numFmtId="0" fontId="5" fillId="4" borderId="4" xfId="3" applyFont="1" applyFill="1" applyBorder="1" applyAlignment="1">
      <alignment horizontal="left" vertical="center"/>
    </xf>
    <xf numFmtId="164" fontId="5" fillId="4" borderId="1" xfId="1" applyNumberFormat="1" applyFont="1" applyFill="1" applyBorder="1" applyAlignment="1">
      <alignment horizontal="center" vertical="center"/>
    </xf>
    <xf numFmtId="164" fontId="5" fillId="4" borderId="2" xfId="1" applyNumberFormat="1" applyFont="1" applyFill="1" applyBorder="1" applyAlignment="1">
      <alignment horizontal="center" vertical="center"/>
    </xf>
    <xf numFmtId="2" fontId="4" fillId="3" borderId="0" xfId="3" applyNumberFormat="1" applyFont="1" applyFill="1" applyAlignment="1">
      <alignment vertical="center"/>
    </xf>
    <xf numFmtId="0" fontId="7" fillId="0" borderId="5" xfId="3" applyFont="1" applyBorder="1" applyAlignment="1">
      <alignment horizontal="left" vertical="center"/>
    </xf>
    <xf numFmtId="0" fontId="7" fillId="0" borderId="12" xfId="3" applyFont="1" applyBorder="1" applyAlignment="1">
      <alignment horizontal="left" vertical="center"/>
    </xf>
    <xf numFmtId="10" fontId="15" fillId="8" borderId="12" xfId="3" applyNumberFormat="1" applyFont="1" applyFill="1" applyBorder="1" applyAlignment="1">
      <alignment vertical="center"/>
    </xf>
    <xf numFmtId="0" fontId="4" fillId="3" borderId="0" xfId="3" applyFont="1" applyFill="1" applyAlignment="1">
      <alignment horizontal="left" vertical="center"/>
    </xf>
    <xf numFmtId="164" fontId="0" fillId="0" borderId="0" xfId="1" applyNumberFormat="1" applyFont="1"/>
    <xf numFmtId="0" fontId="11" fillId="4" borderId="4" xfId="3" applyFont="1" applyFill="1" applyBorder="1" applyAlignment="1">
      <alignment horizontal="left" vertical="center"/>
    </xf>
    <xf numFmtId="0" fontId="5" fillId="4" borderId="3" xfId="3" applyFont="1" applyFill="1" applyBorder="1" applyAlignment="1">
      <alignment vertical="center"/>
    </xf>
    <xf numFmtId="0" fontId="8" fillId="0" borderId="5" xfId="3" applyFont="1" applyBorder="1" applyAlignment="1">
      <alignment vertical="center"/>
    </xf>
    <xf numFmtId="164" fontId="7" fillId="6" borderId="17" xfId="1" applyNumberFormat="1" applyFont="1" applyFill="1" applyBorder="1" applyAlignment="1" applyProtection="1">
      <alignment vertical="center"/>
      <protection locked="0"/>
    </xf>
    <xf numFmtId="164" fontId="7" fillId="6" borderId="7" xfId="1" applyNumberFormat="1" applyFont="1" applyFill="1" applyBorder="1" applyAlignment="1" applyProtection="1">
      <alignment vertical="center"/>
      <protection locked="0"/>
    </xf>
    <xf numFmtId="0" fontId="16" fillId="3" borderId="0" xfId="0" applyFont="1" applyFill="1" applyAlignment="1">
      <alignment vertical="top"/>
    </xf>
    <xf numFmtId="0" fontId="17" fillId="3" borderId="0" xfId="0" applyFont="1" applyFill="1" applyAlignment="1">
      <alignment vertical="top"/>
    </xf>
    <xf numFmtId="0" fontId="8" fillId="0" borderId="15" xfId="3" applyFont="1" applyBorder="1" applyAlignment="1">
      <alignment vertical="center"/>
    </xf>
    <xf numFmtId="10" fontId="7" fillId="8" borderId="18" xfId="2" applyNumberFormat="1" applyFont="1" applyFill="1" applyBorder="1" applyAlignment="1">
      <alignment vertical="center"/>
    </xf>
    <xf numFmtId="10" fontId="7" fillId="8" borderId="14" xfId="2" applyNumberFormat="1" applyFont="1" applyFill="1" applyBorder="1" applyAlignment="1">
      <alignment vertical="center"/>
    </xf>
    <xf numFmtId="0" fontId="18" fillId="0" borderId="0" xfId="3" applyFont="1" applyAlignment="1">
      <alignment vertical="center"/>
    </xf>
    <xf numFmtId="10" fontId="19" fillId="3" borderId="0" xfId="2" applyNumberFormat="1" applyFont="1" applyFill="1" applyAlignment="1">
      <alignment vertical="center"/>
    </xf>
    <xf numFmtId="10" fontId="22" fillId="3" borderId="6" xfId="2" applyNumberFormat="1" applyFont="1" applyFill="1" applyBorder="1" applyAlignment="1">
      <alignment vertical="center"/>
    </xf>
    <xf numFmtId="10" fontId="22" fillId="3" borderId="7" xfId="2" applyNumberFormat="1" applyFont="1" applyFill="1" applyBorder="1" applyAlignment="1">
      <alignment vertical="center"/>
    </xf>
    <xf numFmtId="0" fontId="20" fillId="0" borderId="12" xfId="3" applyFont="1" applyBorder="1" applyAlignment="1">
      <alignment vertical="center"/>
    </xf>
    <xf numFmtId="10" fontId="23" fillId="3" borderId="13" xfId="2" applyNumberFormat="1" applyFont="1" applyFill="1" applyBorder="1" applyAlignment="1">
      <alignment vertical="center"/>
    </xf>
    <xf numFmtId="10" fontId="23" fillId="3" borderId="14" xfId="2" applyNumberFormat="1" applyFont="1" applyFill="1" applyBorder="1" applyAlignment="1">
      <alignment vertical="center"/>
    </xf>
    <xf numFmtId="10" fontId="21" fillId="3" borderId="13" xfId="2" applyNumberFormat="1" applyFont="1" applyFill="1" applyBorder="1" applyAlignment="1">
      <alignment vertical="center"/>
    </xf>
    <xf numFmtId="10" fontId="21" fillId="3" borderId="14" xfId="2" applyNumberFormat="1" applyFont="1" applyFill="1" applyBorder="1" applyAlignment="1">
      <alignment vertical="center"/>
    </xf>
    <xf numFmtId="9" fontId="19" fillId="3" borderId="0" xfId="2" applyFont="1" applyFill="1" applyAlignment="1">
      <alignment vertical="center"/>
    </xf>
    <xf numFmtId="0" fontId="8" fillId="3" borderId="0" xfId="3" applyFont="1" applyFill="1" applyAlignment="1">
      <alignment vertical="center"/>
    </xf>
    <xf numFmtId="0" fontId="2" fillId="0" borderId="0" xfId="0" applyFont="1"/>
    <xf numFmtId="1" fontId="9" fillId="0" borderId="19" xfId="0" applyNumberFormat="1" applyFont="1" applyBorder="1" applyAlignment="1">
      <alignment horizontal="center" vertical="top"/>
    </xf>
    <xf numFmtId="0" fontId="9" fillId="0" borderId="0" xfId="0" applyFont="1" applyAlignment="1">
      <alignment horizontal="center"/>
    </xf>
    <xf numFmtId="0" fontId="24" fillId="0" borderId="0" xfId="7" applyFont="1" applyAlignment="1" applyProtection="1"/>
    <xf numFmtId="0" fontId="24" fillId="11" borderId="0" xfId="7" applyFont="1" applyFill="1" applyAlignment="1"/>
    <xf numFmtId="0" fontId="9" fillId="0" borderId="19" xfId="0" applyFont="1" applyBorder="1" applyAlignment="1">
      <alignment horizontal="center"/>
    </xf>
    <xf numFmtId="0" fontId="25" fillId="0" borderId="0" xfId="0" applyFont="1" applyAlignment="1">
      <alignment vertical="top"/>
    </xf>
    <xf numFmtId="0" fontId="25" fillId="11" borderId="0" xfId="7" applyFont="1" applyFill="1" applyAlignment="1"/>
    <xf numFmtId="0" fontId="24" fillId="0" borderId="0" xfId="7" applyFont="1" applyAlignment="1"/>
    <xf numFmtId="0" fontId="10" fillId="0" borderId="0" xfId="7" applyAlignment="1"/>
    <xf numFmtId="0" fontId="9" fillId="0" borderId="0" xfId="0" applyFont="1" applyBorder="1" applyAlignment="1">
      <alignment horizontal="center"/>
    </xf>
    <xf numFmtId="0" fontId="9" fillId="0" borderId="0" xfId="7" applyFont="1" applyAlignment="1" applyProtection="1"/>
    <xf numFmtId="0" fontId="9" fillId="11" borderId="0" xfId="7" applyFont="1" applyFill="1" applyAlignment="1"/>
    <xf numFmtId="166" fontId="26" fillId="0" borderId="0" xfId="10" applyNumberFormat="1" applyFont="1">
      <alignment vertical="top"/>
    </xf>
    <xf numFmtId="0" fontId="26" fillId="0" borderId="0" xfId="7" applyFont="1" applyAlignment="1"/>
    <xf numFmtId="0" fontId="26" fillId="11" borderId="0" xfId="7" applyFont="1" applyFill="1" applyAlignment="1"/>
    <xf numFmtId="166" fontId="26" fillId="0" borderId="0" xfId="10" applyNumberFormat="1" applyFont="1" applyAlignment="1">
      <alignment horizontal="center" vertical="top"/>
    </xf>
    <xf numFmtId="167" fontId="10" fillId="0" borderId="0" xfId="0" applyNumberFormat="1" applyFont="1" applyAlignment="1">
      <alignment vertical="top"/>
    </xf>
    <xf numFmtId="166" fontId="26" fillId="7" borderId="0" xfId="10" applyNumberFormat="1" applyFont="1" applyFill="1">
      <alignment vertical="top"/>
    </xf>
    <xf numFmtId="166" fontId="10" fillId="0" borderId="0" xfId="10" applyNumberFormat="1" applyFont="1">
      <alignment vertical="top"/>
    </xf>
    <xf numFmtId="166" fontId="10" fillId="0" borderId="0" xfId="10" applyNumberFormat="1" applyFont="1" applyAlignment="1">
      <alignment horizontal="center" vertical="top"/>
    </xf>
    <xf numFmtId="166" fontId="25" fillId="0" borderId="0" xfId="10" applyNumberFormat="1" applyFont="1">
      <alignment vertical="top"/>
    </xf>
    <xf numFmtId="166" fontId="25" fillId="0" borderId="0" xfId="10" applyNumberFormat="1" applyFont="1" applyAlignment="1">
      <alignment horizontal="center" vertical="top"/>
    </xf>
    <xf numFmtId="166" fontId="27" fillId="0" borderId="0" xfId="10" applyNumberFormat="1" applyFont="1">
      <alignment vertical="top"/>
    </xf>
    <xf numFmtId="0" fontId="10" fillId="0" borderId="0" xfId="7" applyAlignment="1" applyProtection="1"/>
    <xf numFmtId="0" fontId="10" fillId="0" borderId="0" xfId="0" applyFont="1" applyAlignment="1">
      <alignment vertical="top"/>
    </xf>
    <xf numFmtId="0" fontId="10" fillId="0" borderId="0" xfId="11" applyFont="1" applyFill="1" applyBorder="1" applyAlignment="1">
      <alignment vertical="top"/>
    </xf>
    <xf numFmtId="0" fontId="28" fillId="0" borderId="0" xfId="0" applyFont="1"/>
    <xf numFmtId="168" fontId="0" fillId="0" borderId="0" xfId="0" applyNumberFormat="1"/>
    <xf numFmtId="169" fontId="0" fillId="0" borderId="0" xfId="0" applyNumberFormat="1"/>
    <xf numFmtId="1" fontId="9" fillId="0" borderId="0" xfId="0" applyNumberFormat="1" applyFont="1" applyBorder="1" applyAlignment="1">
      <alignment horizontal="center" vertical="top"/>
    </xf>
    <xf numFmtId="166" fontId="10" fillId="0" borderId="20" xfId="10" applyNumberFormat="1" applyFont="1" applyBorder="1">
      <alignment vertical="top"/>
    </xf>
    <xf numFmtId="166" fontId="10" fillId="0" borderId="21" xfId="10" applyNumberFormat="1" applyFont="1" applyBorder="1">
      <alignment vertical="top"/>
    </xf>
    <xf numFmtId="166" fontId="10" fillId="0" borderId="22" xfId="10" applyNumberFormat="1" applyFont="1" applyBorder="1">
      <alignment vertical="top"/>
    </xf>
    <xf numFmtId="0" fontId="7" fillId="0" borderId="23" xfId="3" applyFont="1" applyBorder="1" applyAlignment="1">
      <alignment horizontal="left" vertical="center"/>
    </xf>
    <xf numFmtId="10" fontId="7" fillId="6" borderId="23" xfId="3" applyNumberFormat="1" applyFont="1" applyFill="1" applyBorder="1" applyAlignment="1" applyProtection="1">
      <alignment vertical="center"/>
      <protection locked="0"/>
    </xf>
    <xf numFmtId="10" fontId="7" fillId="6" borderId="24" xfId="3" applyNumberFormat="1" applyFont="1" applyFill="1" applyBorder="1" applyAlignment="1" applyProtection="1">
      <alignment vertical="center"/>
      <protection locked="0"/>
    </xf>
    <xf numFmtId="10" fontId="7" fillId="6" borderId="0" xfId="3" applyNumberFormat="1" applyFont="1" applyFill="1" applyBorder="1" applyAlignment="1" applyProtection="1">
      <alignment vertical="center"/>
      <protection locked="0"/>
    </xf>
    <xf numFmtId="10" fontId="12" fillId="10" borderId="23" xfId="4" applyNumberFormat="1" applyFont="1" applyFill="1" applyBorder="1" applyAlignment="1" applyProtection="1">
      <alignment vertical="center"/>
      <protection locked="0"/>
    </xf>
    <xf numFmtId="0" fontId="7" fillId="0" borderId="25" xfId="3" applyFont="1" applyBorder="1" applyAlignment="1">
      <alignment horizontal="left" vertical="center"/>
    </xf>
    <xf numFmtId="0" fontId="7" fillId="0" borderId="16" xfId="3" applyFont="1" applyBorder="1" applyAlignment="1">
      <alignment horizontal="left" vertical="center"/>
    </xf>
    <xf numFmtId="43" fontId="12" fillId="10" borderId="26" xfId="1" applyFont="1" applyFill="1" applyBorder="1" applyAlignment="1" applyProtection="1">
      <alignment horizontal="center" vertical="center"/>
      <protection locked="0"/>
    </xf>
    <xf numFmtId="43" fontId="12" fillId="10" borderId="27" xfId="1" applyFont="1" applyFill="1" applyBorder="1" applyAlignment="1" applyProtection="1">
      <alignment horizontal="center" vertical="center"/>
      <protection locked="0"/>
    </xf>
    <xf numFmtId="43" fontId="12" fillId="10" borderId="28" xfId="1" applyFont="1" applyFill="1" applyBorder="1" applyAlignment="1" applyProtection="1">
      <alignment horizontal="center" vertical="center"/>
      <protection locked="0"/>
    </xf>
    <xf numFmtId="43" fontId="12" fillId="12" borderId="29" xfId="1" applyFont="1" applyFill="1" applyBorder="1" applyAlignment="1" applyProtection="1">
      <alignment horizontal="center" vertical="center"/>
      <protection locked="0"/>
    </xf>
    <xf numFmtId="43" fontId="12" fillId="10" borderId="30" xfId="1" applyFont="1" applyFill="1" applyBorder="1" applyAlignment="1" applyProtection="1">
      <alignment horizontal="center" vertical="center"/>
      <protection locked="0"/>
    </xf>
    <xf numFmtId="43" fontId="12" fillId="10" borderId="19" xfId="1" applyFont="1" applyFill="1" applyBorder="1" applyAlignment="1" applyProtection="1">
      <alignment horizontal="center" vertical="center"/>
      <protection locked="0"/>
    </xf>
    <xf numFmtId="43" fontId="12" fillId="10" borderId="31" xfId="1" applyFont="1" applyFill="1" applyBorder="1" applyAlignment="1" applyProtection="1">
      <alignment horizontal="center" vertical="center"/>
      <protection locked="0"/>
    </xf>
    <xf numFmtId="43" fontId="12" fillId="12" borderId="32" xfId="1" applyFont="1" applyFill="1" applyBorder="1" applyAlignment="1" applyProtection="1">
      <alignment horizontal="center" vertical="center"/>
      <protection locked="0"/>
    </xf>
    <xf numFmtId="43" fontId="12" fillId="10" borderId="33" xfId="1" applyFont="1" applyFill="1" applyBorder="1" applyAlignment="1" applyProtection="1">
      <alignment horizontal="center" vertical="center"/>
      <protection locked="0"/>
    </xf>
    <xf numFmtId="43" fontId="12" fillId="10" borderId="34" xfId="1" applyFont="1" applyFill="1" applyBorder="1" applyAlignment="1" applyProtection="1">
      <alignment horizontal="center" vertical="center"/>
      <protection locked="0"/>
    </xf>
    <xf numFmtId="43" fontId="12" fillId="10" borderId="35" xfId="1" applyFont="1" applyFill="1" applyBorder="1" applyAlignment="1" applyProtection="1">
      <alignment horizontal="center" vertical="center"/>
      <protection locked="0"/>
    </xf>
    <xf numFmtId="43" fontId="12" fillId="12" borderId="36" xfId="1" applyFont="1" applyFill="1" applyBorder="1" applyAlignment="1" applyProtection="1">
      <alignment horizontal="center" vertical="center"/>
      <protection locked="0"/>
    </xf>
    <xf numFmtId="164" fontId="6" fillId="12" borderId="37" xfId="1" applyNumberFormat="1" applyFont="1" applyFill="1" applyBorder="1" applyAlignment="1">
      <alignment horizontal="center"/>
    </xf>
    <xf numFmtId="164" fontId="6" fillId="12" borderId="38" xfId="1" applyNumberFormat="1" applyFont="1" applyFill="1" applyBorder="1" applyAlignment="1">
      <alignment horizontal="center"/>
    </xf>
    <xf numFmtId="164" fontId="6" fillId="12" borderId="39" xfId="1" applyNumberFormat="1" applyFont="1" applyFill="1" applyBorder="1" applyAlignment="1">
      <alignment horizontal="center"/>
    </xf>
    <xf numFmtId="164" fontId="6" fillId="12" borderId="40" xfId="1" applyNumberFormat="1" applyFont="1" applyFill="1" applyBorder="1" applyAlignment="1">
      <alignment horizontal="center"/>
    </xf>
    <xf numFmtId="164" fontId="0" fillId="0" borderId="0" xfId="1" applyNumberFormat="1" applyFont="1" applyAlignment="1">
      <alignment horizontal="center"/>
    </xf>
    <xf numFmtId="0" fontId="0" fillId="0" borderId="0" xfId="0" applyAlignment="1">
      <alignment horizontal="center"/>
    </xf>
    <xf numFmtId="10" fontId="6" fillId="13" borderId="41" xfId="2" applyNumberFormat="1" applyFont="1" applyFill="1" applyBorder="1" applyAlignment="1">
      <alignment horizontal="center"/>
    </xf>
    <xf numFmtId="10" fontId="6" fillId="13" borderId="42" xfId="2" applyNumberFormat="1" applyFont="1" applyFill="1" applyBorder="1" applyAlignment="1">
      <alignment horizontal="center"/>
    </xf>
    <xf numFmtId="10" fontId="6" fillId="13" borderId="40" xfId="2" applyNumberFormat="1" applyFont="1" applyFill="1" applyBorder="1" applyAlignment="1">
      <alignment horizontal="center"/>
    </xf>
    <xf numFmtId="10" fontId="6" fillId="13" borderId="43" xfId="2" applyNumberFormat="1" applyFont="1" applyFill="1" applyBorder="1" applyAlignment="1">
      <alignment horizontal="center"/>
    </xf>
    <xf numFmtId="164" fontId="29" fillId="4" borderId="2" xfId="1" applyNumberFormat="1" applyFont="1" applyFill="1" applyBorder="1" applyAlignment="1">
      <alignment horizontal="left" vertical="center"/>
    </xf>
    <xf numFmtId="0" fontId="13" fillId="0" borderId="0" xfId="11" applyFont="1" applyFill="1" applyBorder="1" applyAlignment="1">
      <alignment vertical="top"/>
    </xf>
    <xf numFmtId="0" fontId="13" fillId="0" borderId="0" xfId="11" applyFont="1" applyFill="1" applyBorder="1" applyAlignment="1">
      <alignment vertical="top" wrapText="1"/>
    </xf>
    <xf numFmtId="0" fontId="9" fillId="0" borderId="0" xfId="11" applyFont="1" applyFill="1" applyBorder="1" applyAlignment="1">
      <alignment vertical="top"/>
    </xf>
    <xf numFmtId="0" fontId="9" fillId="0" borderId="0" xfId="0" applyFont="1"/>
    <xf numFmtId="0" fontId="4" fillId="0" borderId="0" xfId="0" applyFont="1"/>
    <xf numFmtId="0" fontId="10" fillId="0" borderId="0" xfId="7" applyFont="1" applyFill="1" applyAlignment="1">
      <alignment vertical="top"/>
    </xf>
    <xf numFmtId="166" fontId="10" fillId="0" borderId="0" xfId="10" applyNumberFormat="1" applyFill="1">
      <alignment vertical="top"/>
    </xf>
    <xf numFmtId="14" fontId="0" fillId="0" borderId="0" xfId="0" applyNumberFormat="1" applyAlignment="1">
      <alignment vertical="top"/>
    </xf>
    <xf numFmtId="0" fontId="31" fillId="0" borderId="0" xfId="0" applyFont="1" applyAlignment="1">
      <alignment horizontal="left" vertical="center" indent="4"/>
    </xf>
    <xf numFmtId="0" fontId="33" fillId="0" borderId="0" xfId="0" applyFont="1" applyAlignment="1">
      <alignment horizontal="left" vertical="center" indent="4"/>
    </xf>
    <xf numFmtId="0" fontId="31" fillId="0" borderId="0" xfId="0" applyFont="1" applyAlignment="1">
      <alignment vertical="center"/>
    </xf>
    <xf numFmtId="0" fontId="31" fillId="7" borderId="0" xfId="0" applyFont="1" applyFill="1" applyAlignment="1">
      <alignment vertical="center"/>
    </xf>
    <xf numFmtId="0" fontId="0" fillId="7" borderId="0" xfId="0" applyFill="1"/>
    <xf numFmtId="0" fontId="31" fillId="0" borderId="0" xfId="0" applyFont="1" applyAlignment="1">
      <alignment horizontal="left" vertical="top"/>
    </xf>
    <xf numFmtId="0" fontId="31" fillId="7" borderId="0" xfId="0" applyFont="1" applyFill="1" applyAlignment="1">
      <alignment horizontal="left" vertical="top"/>
    </xf>
    <xf numFmtId="0" fontId="34" fillId="0" borderId="0" xfId="0" applyFont="1" applyAlignment="1">
      <alignment horizontal="left" vertical="center" indent="8"/>
    </xf>
    <xf numFmtId="0" fontId="20" fillId="0" borderId="8" xfId="3" applyFont="1" applyFill="1" applyBorder="1" applyAlignment="1">
      <alignment vertical="center"/>
    </xf>
    <xf numFmtId="10" fontId="21" fillId="0" borderId="6" xfId="2" applyNumberFormat="1" applyFont="1" applyFill="1" applyBorder="1" applyAlignment="1">
      <alignment vertical="center"/>
    </xf>
    <xf numFmtId="10" fontId="21" fillId="0" borderId="7" xfId="2" applyNumberFormat="1" applyFont="1" applyFill="1" applyBorder="1" applyAlignment="1">
      <alignment vertical="center"/>
    </xf>
    <xf numFmtId="10" fontId="9" fillId="0" borderId="0" xfId="0" applyNumberFormat="1" applyFont="1"/>
    <xf numFmtId="10" fontId="0" fillId="0" borderId="0" xfId="0" applyNumberFormat="1"/>
    <xf numFmtId="43" fontId="0" fillId="0" borderId="0" xfId="0" applyNumberFormat="1"/>
    <xf numFmtId="169" fontId="9" fillId="0" borderId="0" xfId="1" applyNumberFormat="1" applyFont="1"/>
    <xf numFmtId="164" fontId="3" fillId="2" borderId="0" xfId="1" applyNumberFormat="1" applyFont="1" applyFill="1" applyAlignment="1">
      <alignment horizontal="center" vertical="center"/>
    </xf>
    <xf numFmtId="164" fontId="3" fillId="2" borderId="0" xfId="1" quotePrefix="1" applyNumberFormat="1" applyFont="1" applyFill="1" applyAlignment="1">
      <alignment horizontal="center" vertical="center"/>
    </xf>
  </cellXfs>
  <cellStyles count="15">
    <cellStyle name="Comma" xfId="1" builtinId="3"/>
    <cellStyle name="Factor" xfId="10"/>
    <cellStyle name="Normal" xfId="0" builtinId="0"/>
    <cellStyle name="Normal 2" xfId="7"/>
    <cellStyle name="Normal 2 2" xfId="8"/>
    <cellStyle name="Normal 2 3" xfId="4"/>
    <cellStyle name="Normal 2 4 2" xfId="11"/>
    <cellStyle name="Normal 3 2" xfId="3"/>
    <cellStyle name="Normal 3 2 2" xfId="14"/>
    <cellStyle name="Normal 3 3 2" xfId="12"/>
    <cellStyle name="Normal 4 2" xfId="9"/>
    <cellStyle name="Normal 5" xfId="13"/>
    <cellStyle name="OfwatCalculation" xfId="6"/>
    <cellStyle name="Percent" xfId="2" builtinId="5"/>
    <cellStyle name="Validation error"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425779</xdr:colOff>
      <xdr:row>2</xdr:row>
      <xdr:rowOff>66675</xdr:rowOff>
    </xdr:from>
    <xdr:to>
      <xdr:col>5</xdr:col>
      <xdr:colOff>597723</xdr:colOff>
      <xdr:row>22</xdr:row>
      <xdr:rowOff>158750</xdr:rowOff>
    </xdr:to>
    <xdr:grpSp>
      <xdr:nvGrpSpPr>
        <xdr:cNvPr id="18" name="Group 17">
          <a:extLst>
            <a:ext uri="{FF2B5EF4-FFF2-40B4-BE49-F238E27FC236}">
              <a16:creationId xmlns:a16="http://schemas.microsoft.com/office/drawing/2014/main" xmlns="" id="{00000000-0008-0000-0000-000004000000}"/>
            </a:ext>
          </a:extLst>
        </xdr:cNvPr>
        <xdr:cNvGrpSpPr/>
      </xdr:nvGrpSpPr>
      <xdr:grpSpPr>
        <a:xfrm>
          <a:off x="1086179" y="422275"/>
          <a:ext cx="2813544" cy="3648075"/>
          <a:chOff x="950026" y="16903"/>
          <a:chExt cx="2220686" cy="3236845"/>
        </a:xfrm>
      </xdr:grpSpPr>
      <xdr:sp macro="" textlink="">
        <xdr:nvSpPr>
          <xdr:cNvPr id="19" name="Rounded Rectangle 18">
            <a:extLst>
              <a:ext uri="{FF2B5EF4-FFF2-40B4-BE49-F238E27FC236}">
                <a16:creationId xmlns:a16="http://schemas.microsoft.com/office/drawing/2014/main" xmlns="" id="{00000000-0008-0000-0000-000005000000}"/>
              </a:ext>
            </a:extLst>
          </xdr:cNvPr>
          <xdr:cNvSpPr/>
        </xdr:nvSpPr>
        <xdr:spPr>
          <a:xfrm>
            <a:off x="1072558" y="16903"/>
            <a:ext cx="1923415" cy="652780"/>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1. Final determination totex  </a:t>
            </a:r>
          </a:p>
        </xdr:txBody>
      </xdr:sp>
      <xdr:sp macro="" textlink="">
        <xdr:nvSpPr>
          <xdr:cNvPr id="20" name="Rounded Rectangle 19">
            <a:extLst>
              <a:ext uri="{FF2B5EF4-FFF2-40B4-BE49-F238E27FC236}">
                <a16:creationId xmlns:a16="http://schemas.microsoft.com/office/drawing/2014/main" xmlns="" id="{00000000-0008-0000-0000-000006000000}"/>
              </a:ext>
            </a:extLst>
          </xdr:cNvPr>
          <xdr:cNvSpPr/>
        </xdr:nvSpPr>
        <xdr:spPr>
          <a:xfrm>
            <a:off x="1099070" y="1140032"/>
            <a:ext cx="1923415" cy="40322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2. Calculation </a:t>
            </a:r>
          </a:p>
        </xdr:txBody>
      </xdr:sp>
      <xdr:sp macro="" textlink="">
        <xdr:nvSpPr>
          <xdr:cNvPr id="21" name="Rounded Rectangle 20">
            <a:extLst>
              <a:ext uri="{FF2B5EF4-FFF2-40B4-BE49-F238E27FC236}">
                <a16:creationId xmlns:a16="http://schemas.microsoft.com/office/drawing/2014/main" xmlns="" id="{00000000-0008-0000-0000-000007000000}"/>
              </a:ext>
            </a:extLst>
          </xdr:cNvPr>
          <xdr:cNvSpPr/>
        </xdr:nvSpPr>
        <xdr:spPr>
          <a:xfrm>
            <a:off x="1098880" y="2006930"/>
            <a:ext cx="1923415"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3. PAYG</a:t>
            </a:r>
          </a:p>
        </xdr:txBody>
      </xdr:sp>
      <xdr:cxnSp macro="">
        <xdr:nvCxnSpPr>
          <xdr:cNvPr id="22" name="Straight Arrow Connector 21">
            <a:extLst>
              <a:ext uri="{FF2B5EF4-FFF2-40B4-BE49-F238E27FC236}">
                <a16:creationId xmlns:a16="http://schemas.microsoft.com/office/drawing/2014/main" xmlns="" id="{00000000-0008-0000-0000-000009000000}"/>
              </a:ext>
            </a:extLst>
          </xdr:cNvPr>
          <xdr:cNvCxnSpPr/>
        </xdr:nvCxnSpPr>
        <xdr:spPr>
          <a:xfrm>
            <a:off x="2046298" y="682528"/>
            <a:ext cx="0" cy="45126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Straight Arrow Connector 22">
            <a:extLst>
              <a:ext uri="{FF2B5EF4-FFF2-40B4-BE49-F238E27FC236}">
                <a16:creationId xmlns:a16="http://schemas.microsoft.com/office/drawing/2014/main" xmlns="" id="{00000000-0008-0000-0000-00000B000000}"/>
              </a:ext>
            </a:extLst>
          </xdr:cNvPr>
          <xdr:cNvCxnSpPr>
            <a:stCxn id="20" idx="2"/>
          </xdr:cNvCxnSpPr>
        </xdr:nvCxnSpPr>
        <xdr:spPr>
          <a:xfrm flipH="1">
            <a:off x="2060587" y="1543257"/>
            <a:ext cx="191" cy="4636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4" name="Rounded Rectangle 23">
            <a:extLst>
              <a:ext uri="{FF2B5EF4-FFF2-40B4-BE49-F238E27FC236}">
                <a16:creationId xmlns:a16="http://schemas.microsoft.com/office/drawing/2014/main" xmlns="" id="{00000000-0008-0000-0000-00000D000000}"/>
              </a:ext>
            </a:extLst>
          </xdr:cNvPr>
          <xdr:cNvSpPr/>
        </xdr:nvSpPr>
        <xdr:spPr>
          <a:xfrm>
            <a:off x="950026" y="2897513"/>
            <a:ext cx="2220686" cy="356235"/>
          </a:xfrm>
          <a:prstGeom prst="roundRect">
            <a:avLst/>
          </a:prstGeom>
        </xdr:spPr>
        <xdr:style>
          <a:lnRef idx="2">
            <a:schemeClr val="accent1"/>
          </a:lnRef>
          <a:fillRef idx="1">
            <a:schemeClr val="l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Aft>
                <a:spcPts val="1600"/>
              </a:spcAft>
            </a:pPr>
            <a:r>
              <a:rPr lang="en-GB" sz="1200">
                <a:effectLst/>
                <a:ea typeface="Arial" panose="020B0604020202020204" pitchFamily="34" charset="0"/>
                <a:cs typeface="Times New Roman" panose="02020603050405020304" pitchFamily="18" charset="0"/>
              </a:rPr>
              <a:t>4. PAYG summary tables</a:t>
            </a:r>
          </a:p>
        </xdr:txBody>
      </xdr:sp>
      <xdr:cxnSp macro="">
        <xdr:nvCxnSpPr>
          <xdr:cNvPr id="25" name="Straight Arrow Connector 24">
            <a:extLst>
              <a:ext uri="{FF2B5EF4-FFF2-40B4-BE49-F238E27FC236}">
                <a16:creationId xmlns:a16="http://schemas.microsoft.com/office/drawing/2014/main" xmlns="" id="{00000000-0008-0000-0000-00000E000000}"/>
              </a:ext>
            </a:extLst>
          </xdr:cNvPr>
          <xdr:cNvCxnSpPr>
            <a:stCxn id="21" idx="2"/>
            <a:endCxn id="24" idx="0"/>
          </xdr:cNvCxnSpPr>
        </xdr:nvCxnSpPr>
        <xdr:spPr>
          <a:xfrm flipH="1">
            <a:off x="2060369" y="2363165"/>
            <a:ext cx="219" cy="53434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79998168889431442"/>
  </sheetPr>
  <dimension ref="A1:C66"/>
  <sheetViews>
    <sheetView tabSelected="1" workbookViewId="0"/>
  </sheetViews>
  <sheetFormatPr defaultRowHeight="14" x14ac:dyDescent="0.3"/>
  <sheetData>
    <row r="1" spans="1:1" x14ac:dyDescent="0.3">
      <c r="A1" s="10"/>
    </row>
    <row r="7" spans="1:1" x14ac:dyDescent="0.3">
      <c r="A7" s="10"/>
    </row>
    <row r="12" spans="1:1" x14ac:dyDescent="0.3">
      <c r="A12" s="10"/>
    </row>
    <row r="17" spans="1:2" x14ac:dyDescent="0.3">
      <c r="A17" s="10"/>
    </row>
    <row r="22" spans="1:2" x14ac:dyDescent="0.3">
      <c r="A22" s="10"/>
    </row>
    <row r="26" spans="1:2" x14ac:dyDescent="0.3">
      <c r="A26" s="10"/>
    </row>
    <row r="27" spans="1:2" ht="15.5" x14ac:dyDescent="0.3">
      <c r="A27" s="116" t="s">
        <v>153</v>
      </c>
    </row>
    <row r="28" spans="1:2" ht="15.5" x14ac:dyDescent="0.3">
      <c r="A28" s="116"/>
    </row>
    <row r="29" spans="1:2" ht="15.5" x14ac:dyDescent="0.3">
      <c r="A29" s="116" t="s">
        <v>154</v>
      </c>
    </row>
    <row r="30" spans="1:2" ht="15.5" x14ac:dyDescent="0.3">
      <c r="A30" s="116"/>
    </row>
    <row r="31" spans="1:2" ht="15.5" x14ac:dyDescent="0.3">
      <c r="A31" s="116" t="s">
        <v>155</v>
      </c>
    </row>
    <row r="32" spans="1:2" ht="15.5" x14ac:dyDescent="0.3">
      <c r="A32" s="116"/>
      <c r="B32" t="s">
        <v>156</v>
      </c>
    </row>
    <row r="33" spans="1:3" ht="15.5" x14ac:dyDescent="0.3">
      <c r="A33" s="116"/>
    </row>
    <row r="34" spans="1:3" ht="15.5" x14ac:dyDescent="0.3">
      <c r="A34" s="117" t="s">
        <v>123</v>
      </c>
    </row>
    <row r="35" spans="1:3" ht="15.5" x14ac:dyDescent="0.3">
      <c r="B35" s="118" t="s">
        <v>135</v>
      </c>
    </row>
    <row r="36" spans="1:3" ht="15.5" x14ac:dyDescent="0.3">
      <c r="B36" s="118" t="s">
        <v>136</v>
      </c>
    </row>
    <row r="37" spans="1:3" ht="15.5" x14ac:dyDescent="0.3">
      <c r="B37" s="118" t="s">
        <v>137</v>
      </c>
    </row>
    <row r="38" spans="1:3" ht="15.5" x14ac:dyDescent="0.3">
      <c r="B38" s="118" t="s">
        <v>157</v>
      </c>
    </row>
    <row r="39" spans="1:3" ht="15.5" x14ac:dyDescent="0.3">
      <c r="B39" s="118" t="s">
        <v>138</v>
      </c>
    </row>
    <row r="40" spans="1:3" ht="15.5" x14ac:dyDescent="0.3">
      <c r="A40" s="118"/>
    </row>
    <row r="41" spans="1:3" ht="15.5" x14ac:dyDescent="0.3">
      <c r="B41" s="119" t="s">
        <v>139</v>
      </c>
      <c r="C41" s="120"/>
    </row>
    <row r="42" spans="1:3" ht="15.5" x14ac:dyDescent="0.3">
      <c r="B42" s="119" t="s">
        <v>140</v>
      </c>
      <c r="C42" s="120"/>
    </row>
    <row r="43" spans="1:3" ht="15.5" x14ac:dyDescent="0.3">
      <c r="A43" s="118"/>
    </row>
    <row r="44" spans="1:3" ht="15.5" x14ac:dyDescent="0.3">
      <c r="A44" s="117" t="s">
        <v>158</v>
      </c>
    </row>
    <row r="45" spans="1:3" ht="15.5" x14ac:dyDescent="0.3">
      <c r="A45" s="117"/>
    </row>
    <row r="46" spans="1:3" ht="15.5" x14ac:dyDescent="0.3">
      <c r="B46" s="121" t="s">
        <v>141</v>
      </c>
    </row>
    <row r="47" spans="1:3" ht="15.5" x14ac:dyDescent="0.3">
      <c r="B47" s="121" t="s">
        <v>142</v>
      </c>
    </row>
    <row r="48" spans="1:3" ht="15.5" x14ac:dyDescent="0.3">
      <c r="B48" s="121" t="s">
        <v>143</v>
      </c>
    </row>
    <row r="49" spans="1:3" ht="15.5" x14ac:dyDescent="0.3">
      <c r="B49" s="121" t="s">
        <v>144</v>
      </c>
    </row>
    <row r="50" spans="1:3" ht="15.5" x14ac:dyDescent="0.3">
      <c r="B50" s="121" t="s">
        <v>159</v>
      </c>
    </row>
    <row r="51" spans="1:3" ht="15.5" x14ac:dyDescent="0.3">
      <c r="B51" s="121"/>
    </row>
    <row r="52" spans="1:3" ht="15.5" x14ac:dyDescent="0.3">
      <c r="B52" s="122" t="s">
        <v>145</v>
      </c>
      <c r="C52" s="120"/>
    </row>
    <row r="53" spans="1:3" ht="15.5" x14ac:dyDescent="0.3">
      <c r="B53" s="122" t="s">
        <v>146</v>
      </c>
      <c r="C53" s="120"/>
    </row>
    <row r="54" spans="1:3" ht="15.5" x14ac:dyDescent="0.3">
      <c r="B54" s="122" t="s">
        <v>147</v>
      </c>
      <c r="C54" s="120"/>
    </row>
    <row r="55" spans="1:3" ht="15.5" x14ac:dyDescent="0.3">
      <c r="A55" s="118"/>
    </row>
    <row r="56" spans="1:3" ht="15.5" x14ac:dyDescent="0.3">
      <c r="A56" s="116" t="s">
        <v>160</v>
      </c>
    </row>
    <row r="57" spans="1:3" ht="15.5" x14ac:dyDescent="0.3">
      <c r="A57" s="116"/>
    </row>
    <row r="58" spans="1:3" ht="15.5" x14ac:dyDescent="0.3">
      <c r="A58" s="123" t="s">
        <v>161</v>
      </c>
    </row>
    <row r="59" spans="1:3" ht="15.5" x14ac:dyDescent="0.3">
      <c r="A59" s="123" t="s">
        <v>162</v>
      </c>
    </row>
    <row r="60" spans="1:3" ht="15.5" x14ac:dyDescent="0.3">
      <c r="A60" s="123" t="s">
        <v>163</v>
      </c>
    </row>
    <row r="61" spans="1:3" ht="15.5" x14ac:dyDescent="0.3">
      <c r="A61" s="123" t="s">
        <v>148</v>
      </c>
    </row>
    <row r="62" spans="1:3" ht="15.5" x14ac:dyDescent="0.3">
      <c r="A62" s="123" t="s">
        <v>149</v>
      </c>
    </row>
    <row r="63" spans="1:3" ht="15.5" x14ac:dyDescent="0.3">
      <c r="A63" s="123"/>
    </row>
    <row r="64" spans="1:3" ht="15.5" x14ac:dyDescent="0.3">
      <c r="B64" s="118" t="s">
        <v>150</v>
      </c>
    </row>
    <row r="65" spans="2:2" ht="15.5" x14ac:dyDescent="0.3">
      <c r="B65" s="118" t="s">
        <v>151</v>
      </c>
    </row>
    <row r="66" spans="2:2" ht="15.5" x14ac:dyDescent="0.3">
      <c r="B66" s="118" t="s">
        <v>152</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sheetPr>
  <dimension ref="A1:P51"/>
  <sheetViews>
    <sheetView workbookViewId="0"/>
  </sheetViews>
  <sheetFormatPr defaultColWidth="0" defaultRowHeight="14" zeroHeight="1" x14ac:dyDescent="0.3"/>
  <cols>
    <col min="1" max="1" width="64" bestFit="1" customWidth="1"/>
    <col min="2" max="2" width="10.08203125" style="22" bestFit="1" customWidth="1"/>
    <col min="3" max="5" width="9" style="22" customWidth="1"/>
    <col min="6" max="6" width="9.25" style="22" bestFit="1" customWidth="1"/>
    <col min="7" max="7" width="8.58203125" customWidth="1"/>
    <col min="8" max="8" width="3" customWidth="1"/>
    <col min="9" max="16" width="9" customWidth="1"/>
    <col min="17" max="16384" width="9" hidden="1"/>
  </cols>
  <sheetData>
    <row r="1" spans="1:13" s="1" customFormat="1" ht="20" x14ac:dyDescent="0.3">
      <c r="A1" s="11" t="s">
        <v>0</v>
      </c>
      <c r="B1" s="131" t="s">
        <v>1</v>
      </c>
      <c r="C1" s="131"/>
      <c r="D1" s="131"/>
      <c r="E1" s="131"/>
      <c r="F1" s="131"/>
      <c r="I1" s="131" t="s">
        <v>166</v>
      </c>
      <c r="J1" s="131"/>
      <c r="K1" s="131"/>
      <c r="L1" s="131"/>
      <c r="M1" s="131"/>
    </row>
    <row r="2" spans="1:13" s="1" customFormat="1" ht="14.5" thickBot="1" x14ac:dyDescent="0.35">
      <c r="A2" s="12"/>
      <c r="B2" s="13"/>
      <c r="C2" s="13"/>
      <c r="D2" s="13"/>
      <c r="E2" s="13"/>
      <c r="F2" s="13"/>
    </row>
    <row r="3" spans="1:13" s="1" customFormat="1" ht="14.5" thickBot="1" x14ac:dyDescent="0.35">
      <c r="A3" s="14" t="s">
        <v>2</v>
      </c>
      <c r="B3" s="15" t="s">
        <v>3</v>
      </c>
      <c r="C3" s="15" t="s">
        <v>4</v>
      </c>
      <c r="D3" s="15" t="s">
        <v>5</v>
      </c>
      <c r="E3" s="15" t="s">
        <v>6</v>
      </c>
      <c r="F3" s="16" t="s">
        <v>7</v>
      </c>
      <c r="G3" s="17"/>
      <c r="H3" s="17"/>
      <c r="I3" s="15" t="s">
        <v>3</v>
      </c>
      <c r="J3" s="15" t="s">
        <v>4</v>
      </c>
      <c r="K3" s="15" t="s">
        <v>5</v>
      </c>
      <c r="L3" s="15" t="s">
        <v>6</v>
      </c>
      <c r="M3" s="16" t="s">
        <v>7</v>
      </c>
    </row>
    <row r="4" spans="1:13" s="1" customFormat="1" ht="14.5" thickBot="1" x14ac:dyDescent="0.35">
      <c r="A4" s="18" t="s">
        <v>8</v>
      </c>
      <c r="B4" s="2">
        <f>PAYG!B10</f>
        <v>0.47473784368012878</v>
      </c>
      <c r="C4" s="2">
        <f>PAYG!C10</f>
        <v>0.50244211491706092</v>
      </c>
      <c r="D4" s="2">
        <f>PAYG!D10</f>
        <v>0.54421740533014884</v>
      </c>
      <c r="E4" s="2">
        <f>PAYG!E10</f>
        <v>0.52785554357319475</v>
      </c>
      <c r="F4" s="2">
        <f>PAYG!F10</f>
        <v>0.51853518635972973</v>
      </c>
      <c r="I4" s="2">
        <f>PAYG!I10</f>
        <v>0.53955039419661111</v>
      </c>
      <c r="J4" s="2">
        <f>PAYG!J10</f>
        <v>0.46760917949414094</v>
      </c>
      <c r="K4" s="2">
        <f>PAYG!K10</f>
        <v>0.4032086218156965</v>
      </c>
      <c r="L4" s="2">
        <f>PAYG!L10</f>
        <v>0.58864112656987766</v>
      </c>
      <c r="M4" s="2">
        <f>PAYG!M10</f>
        <v>0.59048091068491082</v>
      </c>
    </row>
    <row r="5" spans="1:13" s="1" customFormat="1" ht="14.5" thickBot="1" x14ac:dyDescent="0.35">
      <c r="A5" s="18" t="s">
        <v>9</v>
      </c>
      <c r="B5" s="2">
        <v>0</v>
      </c>
      <c r="C5" s="2">
        <v>0</v>
      </c>
      <c r="D5" s="2">
        <v>0</v>
      </c>
      <c r="E5" s="2">
        <v>0</v>
      </c>
      <c r="F5" s="2">
        <v>0</v>
      </c>
      <c r="I5" s="3">
        <v>0</v>
      </c>
      <c r="J5" s="4">
        <v>0</v>
      </c>
      <c r="K5" s="4">
        <v>0</v>
      </c>
      <c r="L5" s="4">
        <v>0</v>
      </c>
      <c r="M5" s="5">
        <v>0</v>
      </c>
    </row>
    <row r="6" spans="1:13" s="1" customFormat="1" x14ac:dyDescent="0.3">
      <c r="A6" s="18" t="s">
        <v>10</v>
      </c>
      <c r="B6" s="2">
        <v>0</v>
      </c>
      <c r="C6" s="2">
        <v>0</v>
      </c>
      <c r="D6" s="2">
        <v>0</v>
      </c>
      <c r="E6" s="2">
        <v>0</v>
      </c>
      <c r="F6" s="2">
        <v>0</v>
      </c>
      <c r="I6" s="3">
        <v>0</v>
      </c>
      <c r="J6" s="4">
        <v>0</v>
      </c>
      <c r="K6" s="4">
        <v>0</v>
      </c>
      <c r="L6" s="4">
        <v>0</v>
      </c>
      <c r="M6" s="5">
        <v>0</v>
      </c>
    </row>
    <row r="7" spans="1:13" s="1" customFormat="1" x14ac:dyDescent="0.3">
      <c r="A7" s="78" t="s">
        <v>112</v>
      </c>
      <c r="B7" s="79">
        <v>0</v>
      </c>
      <c r="C7" s="80">
        <v>0</v>
      </c>
      <c r="D7" s="80">
        <v>0</v>
      </c>
      <c r="E7" s="80">
        <v>0</v>
      </c>
      <c r="F7" s="81">
        <v>0</v>
      </c>
      <c r="I7" s="3">
        <v>2.1700000000000001E-2</v>
      </c>
      <c r="J7" s="3">
        <v>2.1700000000000001E-2</v>
      </c>
      <c r="K7" s="3">
        <v>2.1700000000000001E-2</v>
      </c>
      <c r="L7" s="3">
        <v>2.1700000000000001E-2</v>
      </c>
      <c r="M7" s="3">
        <v>2.1700000000000001E-2</v>
      </c>
    </row>
    <row r="8" spans="1:13" s="1" customFormat="1" ht="14.5" thickBot="1" x14ac:dyDescent="0.35">
      <c r="A8" s="19" t="s">
        <v>11</v>
      </c>
      <c r="B8" s="6">
        <f>SUM(B4:B7)</f>
        <v>0.47473784368012878</v>
      </c>
      <c r="C8" s="7">
        <f t="shared" ref="C8:F8" si="0">SUM(C4:C7)</f>
        <v>0.50244211491706092</v>
      </c>
      <c r="D8" s="7">
        <f t="shared" si="0"/>
        <v>0.54421740533014884</v>
      </c>
      <c r="E8" s="7">
        <f t="shared" si="0"/>
        <v>0.52785554357319475</v>
      </c>
      <c r="F8" s="8">
        <f t="shared" si="0"/>
        <v>0.51853518635972973</v>
      </c>
      <c r="I8" s="20">
        <f>SUM(I4:I7)</f>
        <v>0.56125039419661116</v>
      </c>
      <c r="J8" s="20">
        <f t="shared" ref="J8:M8" si="1">SUM(J4:J7)</f>
        <v>0.48930917949414093</v>
      </c>
      <c r="K8" s="20">
        <f t="shared" si="1"/>
        <v>0.4249086218156965</v>
      </c>
      <c r="L8" s="20">
        <f t="shared" si="1"/>
        <v>0.61034112656987771</v>
      </c>
      <c r="M8" s="20">
        <f t="shared" si="1"/>
        <v>0.61218091068491087</v>
      </c>
    </row>
    <row r="9" spans="1:13" s="1" customFormat="1" ht="14.5" thickBot="1" x14ac:dyDescent="0.35">
      <c r="A9" s="21"/>
      <c r="B9" s="13"/>
      <c r="C9" s="13"/>
      <c r="I9" s="13"/>
      <c r="J9" s="13"/>
    </row>
    <row r="10" spans="1:13" s="1" customFormat="1" ht="14.5" thickBot="1" x14ac:dyDescent="0.35">
      <c r="A10" s="14" t="s">
        <v>12</v>
      </c>
      <c r="B10" s="15" t="s">
        <v>3</v>
      </c>
      <c r="C10" s="15" t="s">
        <v>4</v>
      </c>
      <c r="D10" s="15" t="s">
        <v>5</v>
      </c>
      <c r="E10" s="15" t="s">
        <v>6</v>
      </c>
      <c r="F10" s="16" t="s">
        <v>7</v>
      </c>
      <c r="I10" s="15" t="s">
        <v>3</v>
      </c>
      <c r="J10" s="15" t="s">
        <v>4</v>
      </c>
      <c r="K10" s="15" t="s">
        <v>5</v>
      </c>
      <c r="L10" s="15" t="s">
        <v>6</v>
      </c>
      <c r="M10" s="16" t="s">
        <v>7</v>
      </c>
    </row>
    <row r="11" spans="1:13" s="1" customFormat="1" ht="14.5" thickBot="1" x14ac:dyDescent="0.35">
      <c r="A11" s="18" t="s">
        <v>13</v>
      </c>
      <c r="B11" s="2">
        <f>PAYG!B20</f>
        <v>0.41518752254207053</v>
      </c>
      <c r="C11" s="2">
        <f>PAYG!C20</f>
        <v>0.46909711676309523</v>
      </c>
      <c r="D11" s="2">
        <f>PAYG!D20</f>
        <v>0.48973261227583903</v>
      </c>
      <c r="E11" s="2">
        <f>PAYG!E20</f>
        <v>0.46853643015622476</v>
      </c>
      <c r="F11" s="2">
        <f>PAYG!F20</f>
        <v>0.41782752205721163</v>
      </c>
      <c r="I11" s="2">
        <f>PAYG!I20</f>
        <v>0.4279270460165786</v>
      </c>
      <c r="J11" s="2">
        <f>PAYG!J20</f>
        <v>0.47317894723762755</v>
      </c>
      <c r="K11" s="2">
        <f>PAYG!K20</f>
        <v>0.47099924689664924</v>
      </c>
      <c r="L11" s="2">
        <f>PAYG!L20</f>
        <v>0.48848721997410643</v>
      </c>
      <c r="M11" s="2">
        <f>PAYG!M20</f>
        <v>0.44049376252332395</v>
      </c>
    </row>
    <row r="12" spans="1:13" s="1" customFormat="1" ht="14.5" thickBot="1" x14ac:dyDescent="0.35">
      <c r="A12" s="18" t="s">
        <v>14</v>
      </c>
      <c r="B12" s="2">
        <v>0</v>
      </c>
      <c r="C12" s="2">
        <v>0</v>
      </c>
      <c r="D12" s="2">
        <v>0</v>
      </c>
      <c r="E12" s="2">
        <v>0</v>
      </c>
      <c r="F12" s="2">
        <v>0</v>
      </c>
      <c r="I12" s="3">
        <v>0</v>
      </c>
      <c r="J12" s="4">
        <v>0</v>
      </c>
      <c r="K12" s="4">
        <v>0</v>
      </c>
      <c r="L12" s="4">
        <v>0</v>
      </c>
      <c r="M12" s="5">
        <v>0</v>
      </c>
    </row>
    <row r="13" spans="1:13" s="1" customFormat="1" x14ac:dyDescent="0.3">
      <c r="A13" s="18" t="s">
        <v>15</v>
      </c>
      <c r="B13" s="2">
        <v>0</v>
      </c>
      <c r="C13" s="2">
        <v>0</v>
      </c>
      <c r="D13" s="2">
        <v>0</v>
      </c>
      <c r="E13" s="2">
        <v>0</v>
      </c>
      <c r="F13" s="2">
        <v>0</v>
      </c>
      <c r="I13" s="3">
        <v>0</v>
      </c>
      <c r="J13" s="4">
        <v>0</v>
      </c>
      <c r="K13" s="4">
        <v>0</v>
      </c>
      <c r="L13" s="4">
        <v>0</v>
      </c>
      <c r="M13" s="5">
        <v>0</v>
      </c>
    </row>
    <row r="14" spans="1:13" s="1" customFormat="1" x14ac:dyDescent="0.3">
      <c r="A14" s="78" t="s">
        <v>113</v>
      </c>
      <c r="B14" s="79">
        <v>0</v>
      </c>
      <c r="C14" s="80">
        <v>0</v>
      </c>
      <c r="D14" s="80">
        <v>0</v>
      </c>
      <c r="E14" s="80">
        <v>0</v>
      </c>
      <c r="F14" s="81">
        <v>0</v>
      </c>
      <c r="I14" s="3">
        <v>2.1700000000000001E-2</v>
      </c>
      <c r="J14" s="3">
        <v>2.1700000000000001E-2</v>
      </c>
      <c r="K14" s="3">
        <v>2.1700000000000001E-2</v>
      </c>
      <c r="L14" s="3">
        <v>2.1700000000000001E-2</v>
      </c>
      <c r="M14" s="3">
        <v>2.1700000000000001E-2</v>
      </c>
    </row>
    <row r="15" spans="1:13" s="1" customFormat="1" ht="14.5" thickBot="1" x14ac:dyDescent="0.35">
      <c r="A15" s="19" t="s">
        <v>16</v>
      </c>
      <c r="B15" s="6">
        <f>SUM(B11:B14)</f>
        <v>0.41518752254207053</v>
      </c>
      <c r="C15" s="7">
        <f t="shared" ref="C15:F15" si="2">SUM(C11:C14)</f>
        <v>0.46909711676309523</v>
      </c>
      <c r="D15" s="7">
        <f t="shared" si="2"/>
        <v>0.48973261227583903</v>
      </c>
      <c r="E15" s="7">
        <f t="shared" si="2"/>
        <v>0.46853643015622476</v>
      </c>
      <c r="F15" s="8">
        <f t="shared" si="2"/>
        <v>0.41782752205721163</v>
      </c>
      <c r="I15" s="20">
        <f>SUM(I11:I14)</f>
        <v>0.4496270460165786</v>
      </c>
      <c r="J15" s="20">
        <f t="shared" ref="J15" si="3">SUM(J11:J14)</f>
        <v>0.49487894723762754</v>
      </c>
      <c r="K15" s="20">
        <f t="shared" ref="K15" si="4">SUM(K11:K14)</f>
        <v>0.49269924689664923</v>
      </c>
      <c r="L15" s="20">
        <f t="shared" ref="L15" si="5">SUM(L11:L14)</f>
        <v>0.51018721997410643</v>
      </c>
      <c r="M15" s="20">
        <f t="shared" ref="M15" si="6">SUM(M11:M14)</f>
        <v>0.46219376252332395</v>
      </c>
    </row>
    <row r="16" spans="1:13" s="1" customFormat="1" ht="14.5" thickBot="1" x14ac:dyDescent="0.35">
      <c r="A16" s="21"/>
      <c r="B16" s="13"/>
      <c r="C16" s="13"/>
      <c r="I16" s="13"/>
      <c r="J16" s="13"/>
    </row>
    <row r="17" spans="1:14" s="1" customFormat="1" ht="14.5" thickBot="1" x14ac:dyDescent="0.35">
      <c r="A17" s="14" t="s">
        <v>17</v>
      </c>
      <c r="B17" s="15" t="s">
        <v>3</v>
      </c>
      <c r="C17" s="15" t="s">
        <v>4</v>
      </c>
      <c r="D17" s="15" t="s">
        <v>5</v>
      </c>
      <c r="E17" s="15" t="s">
        <v>6</v>
      </c>
      <c r="F17" s="16" t="s">
        <v>7</v>
      </c>
      <c r="I17" s="15" t="s">
        <v>3</v>
      </c>
      <c r="J17" s="15" t="s">
        <v>4</v>
      </c>
      <c r="K17" s="15" t="s">
        <v>5</v>
      </c>
      <c r="L17" s="15" t="s">
        <v>6</v>
      </c>
      <c r="M17" s="16" t="s">
        <v>7</v>
      </c>
    </row>
    <row r="18" spans="1:14" s="1" customFormat="1" ht="14.5" thickBot="1" x14ac:dyDescent="0.35">
      <c r="A18" s="18" t="s">
        <v>18</v>
      </c>
      <c r="B18" s="9">
        <f>PAYG!B30</f>
        <v>0.44848600865454902</v>
      </c>
      <c r="C18" s="9">
        <f>PAYG!C30</f>
        <v>0.34682704837989498</v>
      </c>
      <c r="D18" s="9">
        <f>PAYG!D30</f>
        <v>0.32703202155025557</v>
      </c>
      <c r="E18" s="9">
        <f>PAYG!E30</f>
        <v>0.37925384967124942</v>
      </c>
      <c r="F18" s="9">
        <f>PAYG!F30</f>
        <v>0.42759775394615901</v>
      </c>
      <c r="I18" s="2">
        <f>PAYG!I30</f>
        <v>0.46841463787919374</v>
      </c>
      <c r="J18" s="2">
        <f>PAYG!J30</f>
        <v>0.36096118209763428</v>
      </c>
      <c r="K18" s="2">
        <f>PAYG!K30</f>
        <v>0.33697515872836914</v>
      </c>
      <c r="L18" s="2">
        <f>PAYG!L30</f>
        <v>0.38305744989237217</v>
      </c>
      <c r="M18" s="2">
        <f>PAYG!M30</f>
        <v>0.43431079164394853</v>
      </c>
    </row>
    <row r="19" spans="1:14" s="1" customFormat="1" ht="14.5" thickBot="1" x14ac:dyDescent="0.35">
      <c r="A19" s="18" t="s">
        <v>19</v>
      </c>
      <c r="B19" s="9">
        <v>0</v>
      </c>
      <c r="C19" s="9">
        <v>0</v>
      </c>
      <c r="D19" s="9">
        <v>0</v>
      </c>
      <c r="E19" s="9">
        <v>0</v>
      </c>
      <c r="F19" s="9">
        <v>0</v>
      </c>
      <c r="I19" s="3">
        <v>0</v>
      </c>
      <c r="J19" s="4">
        <v>0</v>
      </c>
      <c r="K19" s="4">
        <v>0</v>
      </c>
      <c r="L19" s="4">
        <v>0</v>
      </c>
      <c r="M19" s="5">
        <v>0</v>
      </c>
    </row>
    <row r="20" spans="1:14" s="1" customFormat="1" x14ac:dyDescent="0.3">
      <c r="A20" s="18" t="s">
        <v>20</v>
      </c>
      <c r="B20" s="9">
        <v>0</v>
      </c>
      <c r="C20" s="9">
        <v>0</v>
      </c>
      <c r="D20" s="9">
        <v>0</v>
      </c>
      <c r="E20" s="9">
        <v>0</v>
      </c>
      <c r="F20" s="9">
        <v>0</v>
      </c>
      <c r="I20" s="3">
        <v>0</v>
      </c>
      <c r="J20" s="4">
        <v>0</v>
      </c>
      <c r="K20" s="4">
        <v>0</v>
      </c>
      <c r="L20" s="4">
        <v>0</v>
      </c>
      <c r="M20" s="5">
        <v>0</v>
      </c>
    </row>
    <row r="21" spans="1:14" s="1" customFormat="1" x14ac:dyDescent="0.3">
      <c r="A21" s="78" t="s">
        <v>114</v>
      </c>
      <c r="B21" s="82">
        <v>0</v>
      </c>
      <c r="C21" s="82">
        <v>0</v>
      </c>
      <c r="D21" s="82">
        <v>0</v>
      </c>
      <c r="E21" s="82">
        <v>0</v>
      </c>
      <c r="F21" s="82">
        <v>0</v>
      </c>
      <c r="I21" s="3">
        <v>2.1700000000000001E-2</v>
      </c>
      <c r="J21" s="3">
        <v>2.1700000000000001E-2</v>
      </c>
      <c r="K21" s="3">
        <v>2.1700000000000001E-2</v>
      </c>
      <c r="L21" s="3">
        <v>2.1700000000000001E-2</v>
      </c>
      <c r="M21" s="3">
        <v>2.1700000000000001E-2</v>
      </c>
    </row>
    <row r="22" spans="1:14" s="1" customFormat="1" ht="14.5" thickBot="1" x14ac:dyDescent="0.35">
      <c r="A22" s="19" t="s">
        <v>21</v>
      </c>
      <c r="B22" s="6">
        <f>SUM(B18:B21)</f>
        <v>0.44848600865454902</v>
      </c>
      <c r="C22" s="7">
        <f t="shared" ref="C22:F22" si="7">SUM(C18:C21)</f>
        <v>0.34682704837989498</v>
      </c>
      <c r="D22" s="7">
        <f t="shared" si="7"/>
        <v>0.32703202155025557</v>
      </c>
      <c r="E22" s="7">
        <f t="shared" si="7"/>
        <v>0.37925384967124942</v>
      </c>
      <c r="F22" s="8">
        <f t="shared" si="7"/>
        <v>0.42759775394615901</v>
      </c>
      <c r="I22" s="20">
        <f>SUM(I18:I21)</f>
        <v>0.49011463787919374</v>
      </c>
      <c r="J22" s="20">
        <f t="shared" ref="J22" si="8">SUM(J18:J21)</f>
        <v>0.38266118209763428</v>
      </c>
      <c r="K22" s="20">
        <f t="shared" ref="K22" si="9">SUM(K18:K21)</f>
        <v>0.35867515872836914</v>
      </c>
      <c r="L22" s="20">
        <f t="shared" ref="L22" si="10">SUM(L18:L21)</f>
        <v>0.40475744989237217</v>
      </c>
      <c r="M22" s="20">
        <f t="shared" ref="M22" si="11">SUM(M18:M21)</f>
        <v>0.45601079164394853</v>
      </c>
    </row>
    <row r="23" spans="1:14" s="1" customFormat="1" ht="14.5" thickBot="1" x14ac:dyDescent="0.35">
      <c r="A23" s="21"/>
      <c r="B23" s="13"/>
      <c r="C23" s="13"/>
      <c r="I23" s="13"/>
      <c r="J23" s="13"/>
    </row>
    <row r="24" spans="1:14" s="1" customFormat="1" ht="14.5" thickBot="1" x14ac:dyDescent="0.35">
      <c r="A24" s="14" t="s">
        <v>22</v>
      </c>
      <c r="B24" s="15" t="s">
        <v>3</v>
      </c>
      <c r="C24" s="15" t="s">
        <v>4</v>
      </c>
      <c r="D24" s="15" t="s">
        <v>5</v>
      </c>
      <c r="E24" s="15" t="s">
        <v>6</v>
      </c>
      <c r="F24" s="16" t="s">
        <v>7</v>
      </c>
      <c r="I24" s="15" t="s">
        <v>3</v>
      </c>
      <c r="J24" s="15" t="s">
        <v>4</v>
      </c>
      <c r="K24" s="15" t="s">
        <v>5</v>
      </c>
      <c r="L24" s="15" t="s">
        <v>6</v>
      </c>
      <c r="M24" s="16" t="s">
        <v>7</v>
      </c>
    </row>
    <row r="25" spans="1:14" s="1" customFormat="1" ht="14.5" thickBot="1" x14ac:dyDescent="0.35">
      <c r="A25" s="18" t="s">
        <v>23</v>
      </c>
      <c r="B25" s="9">
        <f>PAYG!B40</f>
        <v>0.57458304617505229</v>
      </c>
      <c r="C25" s="9">
        <f>PAYG!C40</f>
        <v>0.50100751953604994</v>
      </c>
      <c r="D25" s="9">
        <f>PAYG!D40</f>
        <v>0.3484996152859709</v>
      </c>
      <c r="E25" s="9">
        <f>PAYG!E40</f>
        <v>0.54823868895301298</v>
      </c>
      <c r="F25" s="9">
        <f>PAYG!F40</f>
        <v>0.63503459926578165</v>
      </c>
      <c r="I25" s="9">
        <f>PAYG!I40</f>
        <v>0.57466814195637039</v>
      </c>
      <c r="J25" s="9">
        <f>PAYG!J40</f>
        <v>0.50134387408637227</v>
      </c>
      <c r="K25" s="9">
        <f>PAYG!K40</f>
        <v>0.34967521908781135</v>
      </c>
      <c r="L25" s="9">
        <f>PAYG!L40</f>
        <v>0.54950620724435018</v>
      </c>
      <c r="M25" s="9">
        <f>PAYG!M40</f>
        <v>0.63441688528527829</v>
      </c>
    </row>
    <row r="26" spans="1:14" s="1" customFormat="1" ht="14.5" thickBot="1" x14ac:dyDescent="0.35">
      <c r="A26" s="18" t="s">
        <v>24</v>
      </c>
      <c r="B26" s="9">
        <v>0</v>
      </c>
      <c r="C26" s="9">
        <v>0</v>
      </c>
      <c r="D26" s="9">
        <v>0</v>
      </c>
      <c r="E26" s="9">
        <v>0</v>
      </c>
      <c r="F26" s="9">
        <v>0</v>
      </c>
      <c r="I26" s="3">
        <v>0</v>
      </c>
      <c r="J26" s="4">
        <v>0</v>
      </c>
      <c r="K26" s="4">
        <v>0</v>
      </c>
      <c r="L26" s="4">
        <v>0</v>
      </c>
      <c r="M26" s="5">
        <v>0</v>
      </c>
    </row>
    <row r="27" spans="1:14" s="1" customFormat="1" x14ac:dyDescent="0.3">
      <c r="A27" s="18" t="s">
        <v>25</v>
      </c>
      <c r="B27" s="9">
        <v>0</v>
      </c>
      <c r="C27" s="9">
        <v>0</v>
      </c>
      <c r="D27" s="9">
        <v>0</v>
      </c>
      <c r="E27" s="9">
        <v>0</v>
      </c>
      <c r="F27" s="9">
        <v>0</v>
      </c>
      <c r="I27" s="3">
        <v>0</v>
      </c>
      <c r="J27" s="4">
        <v>0</v>
      </c>
      <c r="K27" s="4">
        <v>0</v>
      </c>
      <c r="L27" s="4">
        <v>0</v>
      </c>
      <c r="M27" s="5">
        <v>0</v>
      </c>
    </row>
    <row r="28" spans="1:14" s="1" customFormat="1" x14ac:dyDescent="0.3">
      <c r="A28" s="78" t="s">
        <v>115</v>
      </c>
      <c r="B28" s="82">
        <v>0</v>
      </c>
      <c r="C28" s="82">
        <v>0</v>
      </c>
      <c r="D28" s="82">
        <v>0</v>
      </c>
      <c r="E28" s="82">
        <v>0</v>
      </c>
      <c r="F28" s="82">
        <v>0</v>
      </c>
      <c r="I28" s="3">
        <v>2.1700000000000001E-2</v>
      </c>
      <c r="J28" s="3">
        <v>2.1700000000000001E-2</v>
      </c>
      <c r="K28" s="3">
        <v>2.1700000000000001E-2</v>
      </c>
      <c r="L28" s="3">
        <v>2.1700000000000001E-2</v>
      </c>
      <c r="M28" s="3">
        <v>2.1700000000000001E-2</v>
      </c>
    </row>
    <row r="29" spans="1:14" s="1" customFormat="1" ht="14.5" thickBot="1" x14ac:dyDescent="0.35">
      <c r="A29" s="19" t="s">
        <v>26</v>
      </c>
      <c r="B29" s="6">
        <f>SUM(B25:B28)</f>
        <v>0.57458304617505229</v>
      </c>
      <c r="C29" s="7">
        <f t="shared" ref="C29:F29" si="12">SUM(C25:C28)</f>
        <v>0.50100751953604994</v>
      </c>
      <c r="D29" s="7">
        <f t="shared" si="12"/>
        <v>0.3484996152859709</v>
      </c>
      <c r="E29" s="7">
        <f t="shared" si="12"/>
        <v>0.54823868895301298</v>
      </c>
      <c r="F29" s="8">
        <f t="shared" si="12"/>
        <v>0.63503459926578165</v>
      </c>
      <c r="I29" s="20">
        <f>SUM(I25:I28)</f>
        <v>0.59636814195637045</v>
      </c>
      <c r="J29" s="20">
        <f t="shared" ref="J29" si="13">SUM(J25:J28)</f>
        <v>0.52304387408637232</v>
      </c>
      <c r="K29" s="20">
        <f t="shared" ref="K29" si="14">SUM(K25:K28)</f>
        <v>0.37137521908781135</v>
      </c>
      <c r="L29" s="20">
        <f t="shared" ref="L29" si="15">SUM(L25:L28)</f>
        <v>0.57120620724435023</v>
      </c>
      <c r="M29" s="20">
        <f t="shared" ref="M29" si="16">SUM(M25:M28)</f>
        <v>0.65611688528527834</v>
      </c>
    </row>
    <row r="30" spans="1:14" s="1" customFormat="1" x14ac:dyDescent="0.3">
      <c r="A30" s="12"/>
      <c r="B30" s="13"/>
      <c r="C30" s="13"/>
      <c r="D30" s="13"/>
      <c r="E30" s="13"/>
      <c r="F30" s="13"/>
    </row>
    <row r="31" spans="1:14" ht="14.5" thickBot="1" x14ac:dyDescent="0.35"/>
    <row r="32" spans="1:14" ht="14.5" thickBot="1" x14ac:dyDescent="0.35">
      <c r="A32" s="14" t="s">
        <v>27</v>
      </c>
      <c r="B32" s="15" t="s">
        <v>3</v>
      </c>
      <c r="C32" s="15" t="s">
        <v>4</v>
      </c>
      <c r="D32" s="15" t="s">
        <v>5</v>
      </c>
      <c r="E32" s="15" t="s">
        <v>6</v>
      </c>
      <c r="F32" s="16" t="s">
        <v>7</v>
      </c>
      <c r="G32" s="16" t="s">
        <v>121</v>
      </c>
      <c r="H32" s="1"/>
      <c r="I32" s="15" t="s">
        <v>3</v>
      </c>
      <c r="J32" s="15" t="s">
        <v>4</v>
      </c>
      <c r="K32" s="15" t="s">
        <v>5</v>
      </c>
      <c r="L32" s="15" t="s">
        <v>6</v>
      </c>
      <c r="M32" s="16" t="s">
        <v>7</v>
      </c>
      <c r="N32" s="16" t="s">
        <v>121</v>
      </c>
    </row>
    <row r="33" spans="1:14" x14ac:dyDescent="0.3">
      <c r="A33" s="18" t="s">
        <v>67</v>
      </c>
      <c r="B33" s="85">
        <f>PAYG!B7</f>
        <v>37.298390177857996</v>
      </c>
      <c r="C33" s="86">
        <f>PAYG!C7</f>
        <v>34.822613002380301</v>
      </c>
      <c r="D33" s="86">
        <f>PAYG!D7</f>
        <v>31.908885648310196</v>
      </c>
      <c r="E33" s="86">
        <f>PAYG!E7</f>
        <v>32.528744513449197</v>
      </c>
      <c r="F33" s="87">
        <f>PAYG!F7</f>
        <v>32.610271460759101</v>
      </c>
      <c r="G33" s="88">
        <f>SUM(B33:F33)</f>
        <v>169.16890480275677</v>
      </c>
      <c r="H33" s="1"/>
      <c r="I33" s="85">
        <f>PAYG!I7</f>
        <v>29.482353855125027</v>
      </c>
      <c r="J33" s="86">
        <f>PAYG!J7</f>
        <v>33.597482134031473</v>
      </c>
      <c r="K33" s="86">
        <f>PAYG!K7</f>
        <v>39.826918603272787</v>
      </c>
      <c r="L33" s="86">
        <f>PAYG!L7</f>
        <v>27.001280593547413</v>
      </c>
      <c r="M33" s="87">
        <f>PAYG!M7</f>
        <v>26.556577865964101</v>
      </c>
      <c r="N33" s="88">
        <f>SUM(I33:M33)</f>
        <v>156.4646130519408</v>
      </c>
    </row>
    <row r="34" spans="1:14" x14ac:dyDescent="0.3">
      <c r="A34" s="18" t="s">
        <v>116</v>
      </c>
      <c r="B34" s="89">
        <f>PAYG!B17</f>
        <v>196.58024473074934</v>
      </c>
      <c r="C34" s="90">
        <f>PAYG!C17</f>
        <v>199.49010746436343</v>
      </c>
      <c r="D34" s="90">
        <f>PAYG!D17</f>
        <v>183.6773378187076</v>
      </c>
      <c r="E34" s="90">
        <f>PAYG!E17</f>
        <v>166.55197452056916</v>
      </c>
      <c r="F34" s="91">
        <f>PAYG!F17</f>
        <v>179.94789270898491</v>
      </c>
      <c r="G34" s="92">
        <f>SUM(B34:F34)</f>
        <v>926.24755724337444</v>
      </c>
      <c r="H34" s="17"/>
      <c r="I34" s="89">
        <f>PAYG!I17</f>
        <v>192.1847860004689</v>
      </c>
      <c r="J34" s="90">
        <f>PAYG!J17</f>
        <v>199.23754351979099</v>
      </c>
      <c r="K34" s="90">
        <f>PAYG!K17</f>
        <v>192.20466693597251</v>
      </c>
      <c r="L34" s="90">
        <f>PAYG!L17</f>
        <v>160.61197184751578</v>
      </c>
      <c r="M34" s="91">
        <f>PAYG!M17</f>
        <v>171.56304835576859</v>
      </c>
      <c r="N34" s="92">
        <f>SUM(I34:M34)</f>
        <v>915.80201665951677</v>
      </c>
    </row>
    <row r="35" spans="1:14" x14ac:dyDescent="0.3">
      <c r="A35" s="83" t="s">
        <v>117</v>
      </c>
      <c r="B35" s="89">
        <f>PAYG!B27</f>
        <v>335.8244521309681</v>
      </c>
      <c r="C35" s="90">
        <f>PAYG!C27</f>
        <v>427.23477909377419</v>
      </c>
      <c r="D35" s="90">
        <f>PAYG!D27</f>
        <v>435.02918298336675</v>
      </c>
      <c r="E35" s="90">
        <f>PAYG!E27</f>
        <v>367.85891316850154</v>
      </c>
      <c r="F35" s="91">
        <f>PAYG!F27</f>
        <v>309.46613025831203</v>
      </c>
      <c r="G35" s="92">
        <f>SUM(B35:F35)</f>
        <v>1875.4134576349227</v>
      </c>
      <c r="H35" s="1"/>
      <c r="I35" s="89">
        <f>PAYG!I27</f>
        <v>337.8532991741547</v>
      </c>
      <c r="J35" s="90">
        <f>PAYG!J27</f>
        <v>431.29359515807897</v>
      </c>
      <c r="K35" s="90">
        <f>PAYG!K27</f>
        <v>442.69006490316667</v>
      </c>
      <c r="L35" s="90">
        <f>PAYG!L27</f>
        <v>379.83813676326668</v>
      </c>
      <c r="M35" s="91">
        <f>PAYG!M27</f>
        <v>317.8169830336787</v>
      </c>
      <c r="N35" s="92">
        <f>SUM(I35:M35)</f>
        <v>1909.4920790323456</v>
      </c>
    </row>
    <row r="36" spans="1:14" ht="14.5" thickBot="1" x14ac:dyDescent="0.35">
      <c r="A36" s="84" t="s">
        <v>75</v>
      </c>
      <c r="B36" s="93">
        <f>PAYG!B37</f>
        <v>37.747493672717496</v>
      </c>
      <c r="C36" s="94">
        <f>PAYG!C37</f>
        <v>42.345872019781396</v>
      </c>
      <c r="D36" s="94">
        <f>PAYG!D37</f>
        <v>60.859053547867198</v>
      </c>
      <c r="E36" s="94">
        <f>PAYG!E37</f>
        <v>38.225125639520499</v>
      </c>
      <c r="F36" s="95">
        <f>PAYG!F37</f>
        <v>32.030478366365799</v>
      </c>
      <c r="G36" s="96">
        <f>SUM(B36:F36)</f>
        <v>211.20802324625237</v>
      </c>
      <c r="H36" s="1"/>
      <c r="I36" s="93">
        <f>PAYG!I37</f>
        <v>35.394945283910303</v>
      </c>
      <c r="J36" s="94">
        <f>PAYG!J37</f>
        <v>39.686612754861102</v>
      </c>
      <c r="K36" s="94">
        <f>PAYG!K37</f>
        <v>56.872394195544004</v>
      </c>
      <c r="L36" s="94">
        <f>PAYG!L37</f>
        <v>35.744818478666005</v>
      </c>
      <c r="M36" s="95">
        <f>PAYG!M37</f>
        <v>30.046388553349601</v>
      </c>
      <c r="N36" s="96">
        <f>SUM(I36:M36)</f>
        <v>197.745159266331</v>
      </c>
    </row>
    <row r="37" spans="1:14" ht="14.5" thickBot="1" x14ac:dyDescent="0.35">
      <c r="A37" s="18" t="s">
        <v>118</v>
      </c>
      <c r="B37" s="97">
        <f t="shared" ref="B37:N37" si="17">SUM(B33:B36)</f>
        <v>607.45058071229289</v>
      </c>
      <c r="C37" s="98">
        <f t="shared" si="17"/>
        <v>703.89337158029934</v>
      </c>
      <c r="D37" s="98">
        <f t="shared" si="17"/>
        <v>711.47445999825175</v>
      </c>
      <c r="E37" s="98">
        <f t="shared" si="17"/>
        <v>605.16475784204033</v>
      </c>
      <c r="F37" s="99">
        <f t="shared" si="17"/>
        <v>554.05477279442175</v>
      </c>
      <c r="G37" s="100">
        <f t="shared" si="17"/>
        <v>3182.0379429273062</v>
      </c>
      <c r="H37" s="1"/>
      <c r="I37" s="97">
        <f t="shared" si="17"/>
        <v>594.91538431365882</v>
      </c>
      <c r="J37" s="98">
        <f t="shared" si="17"/>
        <v>703.81523356676257</v>
      </c>
      <c r="K37" s="98">
        <f t="shared" si="17"/>
        <v>731.5940446379559</v>
      </c>
      <c r="L37" s="98">
        <f t="shared" si="17"/>
        <v>603.19620768299592</v>
      </c>
      <c r="M37" s="99">
        <f t="shared" si="17"/>
        <v>545.98299780876107</v>
      </c>
      <c r="N37" s="100">
        <f t="shared" si="17"/>
        <v>3179.5038680101343</v>
      </c>
    </row>
    <row r="38" spans="1:14" ht="14.5" thickBot="1" x14ac:dyDescent="0.35">
      <c r="B38" s="101"/>
      <c r="C38" s="101"/>
      <c r="D38" s="101"/>
      <c r="E38" s="101"/>
      <c r="F38" s="101"/>
      <c r="G38" s="102"/>
      <c r="H38" s="1"/>
      <c r="I38" s="102"/>
      <c r="J38" s="102"/>
      <c r="K38" s="102"/>
      <c r="L38" s="102"/>
      <c r="M38" s="102"/>
      <c r="N38" s="102"/>
    </row>
    <row r="39" spans="1:14" ht="14.5" thickBot="1" x14ac:dyDescent="0.35">
      <c r="A39" s="14" t="s">
        <v>119</v>
      </c>
      <c r="B39" s="15" t="s">
        <v>3</v>
      </c>
      <c r="C39" s="15" t="s">
        <v>4</v>
      </c>
      <c r="D39" s="15" t="s">
        <v>5</v>
      </c>
      <c r="E39" s="15" t="s">
        <v>6</v>
      </c>
      <c r="F39" s="16" t="s">
        <v>7</v>
      </c>
      <c r="G39" s="16" t="s">
        <v>121</v>
      </c>
      <c r="H39" s="1"/>
      <c r="I39" s="15" t="s">
        <v>3</v>
      </c>
      <c r="J39" s="15" t="s">
        <v>4</v>
      </c>
      <c r="K39" s="15" t="s">
        <v>5</v>
      </c>
      <c r="L39" s="15" t="s">
        <v>6</v>
      </c>
      <c r="M39" s="16" t="s">
        <v>7</v>
      </c>
      <c r="N39" s="16" t="s">
        <v>121</v>
      </c>
    </row>
    <row r="40" spans="1:14" x14ac:dyDescent="0.3">
      <c r="A40" s="18" t="s">
        <v>67</v>
      </c>
      <c r="B40" s="85">
        <f>B33*B8</f>
        <v>17.706957325776401</v>
      </c>
      <c r="C40" s="86">
        <f>C33*C8</f>
        <v>17.496347323854302</v>
      </c>
      <c r="D40" s="86">
        <f>D33*D8</f>
        <v>17.365370954499799</v>
      </c>
      <c r="E40" s="86">
        <f>E33*E8</f>
        <v>17.170478116900302</v>
      </c>
      <c r="F40" s="87">
        <f>F33*F8</f>
        <v>16.909573189146098</v>
      </c>
      <c r="G40" s="88">
        <f>SUM(B40:F40)</f>
        <v>86.648726910176904</v>
      </c>
      <c r="H40" s="1"/>
      <c r="I40" s="85">
        <f>I33*I8</f>
        <v>16.546982723032901</v>
      </c>
      <c r="J40" s="86">
        <f>J33*J8</f>
        <v>16.439556416071998</v>
      </c>
      <c r="K40" s="86">
        <f>K33*K8</f>
        <v>16.922801094882566</v>
      </c>
      <c r="L40" s="86">
        <f>L33*L8</f>
        <v>16.479992016295103</v>
      </c>
      <c r="M40" s="87">
        <f>M33*M8</f>
        <v>16.25743002266065</v>
      </c>
      <c r="N40" s="88">
        <f>SUM(I40:M40)</f>
        <v>82.646762272943221</v>
      </c>
    </row>
    <row r="41" spans="1:14" x14ac:dyDescent="0.3">
      <c r="A41" s="18" t="s">
        <v>116</v>
      </c>
      <c r="B41" s="89">
        <f>B34*B15</f>
        <v>81.617664790473739</v>
      </c>
      <c r="C41" s="90">
        <f>C34*C15</f>
        <v>93.580234234292917</v>
      </c>
      <c r="D41" s="90">
        <f>D34*D15</f>
        <v>89.95278246582744</v>
      </c>
      <c r="E41" s="90">
        <f>E34*E15</f>
        <v>78.035667577337975</v>
      </c>
      <c r="F41" s="91">
        <f>F34*F15</f>
        <v>75.187182110012145</v>
      </c>
      <c r="G41" s="92">
        <f>SUM(B41:F41)</f>
        <v>418.37353117794419</v>
      </c>
      <c r="H41" s="1"/>
      <c r="I41" s="89">
        <f>I34*I15</f>
        <v>86.411477618719147</v>
      </c>
      <c r="J41" s="90">
        <f>J34*J15</f>
        <v>98.598465787285164</v>
      </c>
      <c r="K41" s="90">
        <f>K34*K15</f>
        <v>94.699094649374956</v>
      </c>
      <c r="L41" s="90">
        <f>L34*L15</f>
        <v>81.942175411443515</v>
      </c>
      <c r="M41" s="91">
        <f>M34*M15</f>
        <v>79.295370829523648</v>
      </c>
      <c r="N41" s="92">
        <f>SUM(I41:M41)</f>
        <v>440.94658429634649</v>
      </c>
    </row>
    <row r="42" spans="1:14" x14ac:dyDescent="0.3">
      <c r="A42" s="83" t="s">
        <v>117</v>
      </c>
      <c r="B42" s="89">
        <f>B35*B22</f>
        <v>150.61256814481854</v>
      </c>
      <c r="C42" s="90">
        <f>C35*C22</f>
        <v>148.17657739833015</v>
      </c>
      <c r="D42" s="90">
        <f>D35*D22</f>
        <v>142.26847314440647</v>
      </c>
      <c r="E42" s="90">
        <f>E35*E22</f>
        <v>139.51190895503609</v>
      </c>
      <c r="F42" s="91">
        <f>F35*F22</f>
        <v>132.32702222086371</v>
      </c>
      <c r="G42" s="92">
        <f>SUM(B42:F42)</f>
        <v>712.89654986345499</v>
      </c>
      <c r="H42" s="1"/>
      <c r="I42" s="89">
        <f>I35*I22</f>
        <v>165.58684738103173</v>
      </c>
      <c r="J42" s="90">
        <f>J35*J22</f>
        <v>165.03931695432902</v>
      </c>
      <c r="K42" s="90">
        <f>K35*K22</f>
        <v>158.78192929661535</v>
      </c>
      <c r="L42" s="90">
        <f>L35*L22</f>
        <v>153.74231560816992</v>
      </c>
      <c r="M42" s="91">
        <f>M35*M22</f>
        <v>144.92797403107917</v>
      </c>
      <c r="N42" s="92">
        <f>SUM(I42:M42)</f>
        <v>788.07838327122522</v>
      </c>
    </row>
    <row r="43" spans="1:14" ht="14.5" thickBot="1" x14ac:dyDescent="0.35">
      <c r="A43" s="84" t="s">
        <v>75</v>
      </c>
      <c r="B43" s="93">
        <f>B36*B29</f>
        <v>21.689069899943533</v>
      </c>
      <c r="C43" s="94">
        <f>C36*C29</f>
        <v>21.215600303221699</v>
      </c>
      <c r="D43" s="94">
        <f>D36*D29</f>
        <v>21.209356748100021</v>
      </c>
      <c r="E43" s="94">
        <f>E36*E29</f>
        <v>20.95649276567492</v>
      </c>
      <c r="F43" s="95">
        <f>F36*F29</f>
        <v>20.340461993676392</v>
      </c>
      <c r="G43" s="96">
        <f>SUM(B43:F43)</f>
        <v>105.41098171061657</v>
      </c>
      <c r="H43" s="1"/>
      <c r="I43" s="93">
        <f>I36*I29</f>
        <v>21.108417753612983</v>
      </c>
      <c r="J43" s="94">
        <f>J36*J29</f>
        <v>20.757839684668188</v>
      </c>
      <c r="K43" s="94">
        <f>K36*K29</f>
        <v>21.120997854418526</v>
      </c>
      <c r="L43" s="94">
        <f>L36*L29</f>
        <v>20.417662191836573</v>
      </c>
      <c r="M43" s="95">
        <f>M36*M29</f>
        <v>19.713942871694979</v>
      </c>
      <c r="N43" s="96">
        <f>SUM(I43:M43)</f>
        <v>103.11886035623125</v>
      </c>
    </row>
    <row r="44" spans="1:14" ht="14.5" thickBot="1" x14ac:dyDescent="0.35">
      <c r="A44" s="18" t="s">
        <v>120</v>
      </c>
      <c r="B44" s="97">
        <f t="shared" ref="B44:G44" si="18">SUM(B40:B43)</f>
        <v>271.62626016101223</v>
      </c>
      <c r="C44" s="98">
        <f t="shared" si="18"/>
        <v>280.46875925969908</v>
      </c>
      <c r="D44" s="98">
        <f t="shared" si="18"/>
        <v>270.79598331283376</v>
      </c>
      <c r="E44" s="98">
        <f t="shared" si="18"/>
        <v>255.67454741494927</v>
      </c>
      <c r="F44" s="99">
        <f t="shared" si="18"/>
        <v>244.76423951369836</v>
      </c>
      <c r="G44" s="100">
        <f t="shared" si="18"/>
        <v>1323.3297896621928</v>
      </c>
      <c r="H44" s="1"/>
      <c r="I44" s="97">
        <f t="shared" ref="I44:N44" si="19">SUM(I40:I43)</f>
        <v>289.65372547639674</v>
      </c>
      <c r="J44" s="98">
        <f t="shared" si="19"/>
        <v>300.83517884235437</v>
      </c>
      <c r="K44" s="98">
        <f t="shared" si="19"/>
        <v>291.52482289529144</v>
      </c>
      <c r="L44" s="98">
        <f t="shared" si="19"/>
        <v>272.58214522774512</v>
      </c>
      <c r="M44" s="99">
        <f t="shared" si="19"/>
        <v>260.19471775495845</v>
      </c>
      <c r="N44" s="100">
        <f t="shared" si="19"/>
        <v>1414.7905901967461</v>
      </c>
    </row>
    <row r="45" spans="1:14" ht="14.5" thickBot="1" x14ac:dyDescent="0.35">
      <c r="H45" s="1"/>
    </row>
    <row r="46" spans="1:14" ht="14.5" thickBot="1" x14ac:dyDescent="0.35">
      <c r="B46" s="15" t="s">
        <v>3</v>
      </c>
      <c r="C46" s="15" t="s">
        <v>4</v>
      </c>
      <c r="D46" s="15" t="s">
        <v>5</v>
      </c>
      <c r="E46" s="15" t="s">
        <v>6</v>
      </c>
      <c r="F46" s="16" t="s">
        <v>7</v>
      </c>
      <c r="G46" s="16" t="s">
        <v>121</v>
      </c>
      <c r="H46" s="1"/>
      <c r="I46" s="15" t="s">
        <v>3</v>
      </c>
      <c r="J46" s="15" t="s">
        <v>4</v>
      </c>
      <c r="K46" s="15" t="s">
        <v>5</v>
      </c>
      <c r="L46" s="15" t="s">
        <v>6</v>
      </c>
      <c r="M46" s="16" t="s">
        <v>7</v>
      </c>
      <c r="N46" s="16" t="s">
        <v>121</v>
      </c>
    </row>
    <row r="47" spans="1:14" ht="14.5" thickBot="1" x14ac:dyDescent="0.35">
      <c r="A47" s="14" t="s">
        <v>28</v>
      </c>
      <c r="B47" s="103">
        <f t="shared" ref="B47:G47" si="20">B44/B37</f>
        <v>0.44715779157294561</v>
      </c>
      <c r="C47" s="104">
        <f t="shared" si="20"/>
        <v>0.39845347403971615</v>
      </c>
      <c r="D47" s="104">
        <f t="shared" si="20"/>
        <v>0.38061237407383419</v>
      </c>
      <c r="E47" s="104">
        <f t="shared" si="20"/>
        <v>0.42248750295152721</v>
      </c>
      <c r="F47" s="104">
        <f t="shared" si="20"/>
        <v>0.44176902994483624</v>
      </c>
      <c r="G47" s="105">
        <f t="shared" si="20"/>
        <v>0.41587492462292874</v>
      </c>
      <c r="H47" s="1"/>
      <c r="I47" s="103">
        <f t="shared" ref="I47:N47" si="21">I44/I37</f>
        <v>0.48688222411757609</v>
      </c>
      <c r="J47" s="104">
        <f t="shared" si="21"/>
        <v>0.42743487849473738</v>
      </c>
      <c r="K47" s="104">
        <f t="shared" si="21"/>
        <v>0.39847894475351886</v>
      </c>
      <c r="L47" s="104">
        <f t="shared" si="21"/>
        <v>0.45189631790755236</v>
      </c>
      <c r="M47" s="106">
        <f t="shared" si="21"/>
        <v>0.47656194203705887</v>
      </c>
      <c r="N47" s="105">
        <f t="shared" si="21"/>
        <v>0.44497212424596949</v>
      </c>
    </row>
    <row r="48" spans="1:14" x14ac:dyDescent="0.3"/>
    <row r="49" x14ac:dyDescent="0.3"/>
    <row r="50" x14ac:dyDescent="0.3"/>
    <row r="51" x14ac:dyDescent="0.3"/>
  </sheetData>
  <mergeCells count="2">
    <mergeCell ref="B1:F1"/>
    <mergeCell ref="I1:M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sheetPr>
  <dimension ref="A1"/>
  <sheetViews>
    <sheetView workbookViewId="0"/>
  </sheetViews>
  <sheetFormatPr defaultRowHeight="14" x14ac:dyDescent="0.3"/>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7"/>
  <sheetViews>
    <sheetView workbookViewId="0"/>
  </sheetViews>
  <sheetFormatPr defaultRowHeight="14" x14ac:dyDescent="0.3"/>
  <cols>
    <col min="1" max="1" width="4.6640625" customWidth="1"/>
    <col min="2" max="2" width="25.58203125" customWidth="1"/>
    <col min="3" max="3" width="57.08203125" customWidth="1"/>
    <col min="4" max="4" width="3.25" customWidth="1"/>
    <col min="5" max="5" width="15.9140625" customWidth="1"/>
    <col min="6" max="6" width="10.4140625" customWidth="1"/>
    <col min="7" max="10" width="5.6640625" customWidth="1"/>
  </cols>
  <sheetData>
    <row r="1" spans="1:10" x14ac:dyDescent="0.3">
      <c r="C1" t="s">
        <v>29</v>
      </c>
    </row>
    <row r="2" spans="1:10" x14ac:dyDescent="0.3">
      <c r="A2" t="s">
        <v>30</v>
      </c>
      <c r="B2" t="s">
        <v>31</v>
      </c>
      <c r="C2" t="s">
        <v>32</v>
      </c>
      <c r="D2" t="s">
        <v>33</v>
      </c>
      <c r="E2" t="s">
        <v>34</v>
      </c>
      <c r="F2" t="s">
        <v>3</v>
      </c>
      <c r="G2" t="s">
        <v>4</v>
      </c>
      <c r="H2" t="s">
        <v>5</v>
      </c>
      <c r="I2" t="s">
        <v>6</v>
      </c>
      <c r="J2" t="s">
        <v>7</v>
      </c>
    </row>
    <row r="4" spans="1:10" x14ac:dyDescent="0.3">
      <c r="F4" t="s">
        <v>35</v>
      </c>
      <c r="G4" t="s">
        <v>35</v>
      </c>
      <c r="H4" t="s">
        <v>35</v>
      </c>
      <c r="I4" t="s">
        <v>35</v>
      </c>
      <c r="J4" t="s">
        <v>35</v>
      </c>
    </row>
    <row r="5" spans="1:10" x14ac:dyDescent="0.3">
      <c r="F5" t="s">
        <v>170</v>
      </c>
      <c r="G5" t="s">
        <v>170</v>
      </c>
      <c r="H5" t="s">
        <v>170</v>
      </c>
      <c r="I5" t="s">
        <v>170</v>
      </c>
      <c r="J5" t="s">
        <v>170</v>
      </c>
    </row>
    <row r="6" spans="1:10" x14ac:dyDescent="0.3">
      <c r="F6" t="s">
        <v>36</v>
      </c>
      <c r="G6" t="s">
        <v>36</v>
      </c>
      <c r="H6" t="s">
        <v>36</v>
      </c>
      <c r="I6" t="s">
        <v>36</v>
      </c>
      <c r="J6" t="s">
        <v>36</v>
      </c>
    </row>
    <row r="7" spans="1:10" x14ac:dyDescent="0.3">
      <c r="A7" t="s">
        <v>37</v>
      </c>
      <c r="B7" t="s">
        <v>38</v>
      </c>
      <c r="C7" t="s">
        <v>39</v>
      </c>
      <c r="D7" t="s">
        <v>40</v>
      </c>
      <c r="E7" t="s">
        <v>35</v>
      </c>
      <c r="F7" s="73">
        <v>15.888938103293301</v>
      </c>
      <c r="G7" s="73">
        <v>15.6633175905864</v>
      </c>
      <c r="H7" s="73">
        <v>15.988318981885399</v>
      </c>
      <c r="I7" s="73">
        <v>15.780569400878299</v>
      </c>
      <c r="J7" s="73">
        <v>15.5013360930727</v>
      </c>
    </row>
    <row r="8" spans="1:10" x14ac:dyDescent="0.3">
      <c r="A8" t="s">
        <v>37</v>
      </c>
      <c r="B8" t="s">
        <v>41</v>
      </c>
      <c r="C8" t="s">
        <v>42</v>
      </c>
      <c r="D8" t="s">
        <v>40</v>
      </c>
      <c r="E8" t="s">
        <v>35</v>
      </c>
      <c r="F8" s="73">
        <v>14.136626549689501</v>
      </c>
      <c r="G8" s="73">
        <v>18.2522807755077</v>
      </c>
      <c r="H8" s="73">
        <v>24.0470052802821</v>
      </c>
      <c r="I8" s="73">
        <v>11.374768919606501</v>
      </c>
      <c r="J8" s="73">
        <v>10.985412206969</v>
      </c>
    </row>
    <row r="9" spans="1:10" x14ac:dyDescent="0.3">
      <c r="A9" t="s">
        <v>37</v>
      </c>
      <c r="B9" t="s">
        <v>43</v>
      </c>
      <c r="C9" t="s">
        <v>44</v>
      </c>
      <c r="D9" t="s">
        <v>40</v>
      </c>
      <c r="E9" t="s">
        <v>35</v>
      </c>
      <c r="F9" s="73">
        <v>74.210495794915701</v>
      </c>
      <c r="G9" s="73">
        <v>72.756349456358194</v>
      </c>
      <c r="H9" s="73">
        <v>71.703593438292401</v>
      </c>
      <c r="I9" s="73">
        <v>71.891341300261701</v>
      </c>
      <c r="J9" s="73">
        <v>70.321080968357194</v>
      </c>
    </row>
    <row r="10" spans="1:10" x14ac:dyDescent="0.3">
      <c r="A10" t="s">
        <v>37</v>
      </c>
      <c r="B10" t="s">
        <v>45</v>
      </c>
      <c r="C10" t="s">
        <v>46</v>
      </c>
      <c r="D10" t="s">
        <v>40</v>
      </c>
      <c r="E10" t="s">
        <v>35</v>
      </c>
      <c r="F10" s="73">
        <v>133.64472247217199</v>
      </c>
      <c r="G10" s="73">
        <v>143.85487176177699</v>
      </c>
      <c r="H10" s="73">
        <v>139.81587149404399</v>
      </c>
      <c r="I10" s="73">
        <v>106.197545558123</v>
      </c>
      <c r="J10" s="73">
        <v>117.565574296835</v>
      </c>
    </row>
    <row r="11" spans="1:10" x14ac:dyDescent="0.3">
      <c r="A11" t="s">
        <v>37</v>
      </c>
      <c r="B11" t="s">
        <v>47</v>
      </c>
      <c r="C11" t="s">
        <v>48</v>
      </c>
      <c r="D11" t="s">
        <v>40</v>
      </c>
      <c r="E11" t="s">
        <v>35</v>
      </c>
      <c r="F11" s="73">
        <v>132.753961036893</v>
      </c>
      <c r="G11" s="73">
        <v>130.046218982108</v>
      </c>
      <c r="H11" s="73">
        <v>128.23006799380499</v>
      </c>
      <c r="I11" s="73">
        <v>125.21378971759501</v>
      </c>
      <c r="J11" s="73">
        <v>122.426993920398</v>
      </c>
    </row>
    <row r="12" spans="1:10" x14ac:dyDescent="0.3">
      <c r="A12" t="s">
        <v>37</v>
      </c>
      <c r="B12" t="s">
        <v>49</v>
      </c>
      <c r="C12" t="s">
        <v>50</v>
      </c>
      <c r="D12" t="s">
        <v>40</v>
      </c>
      <c r="E12" t="s">
        <v>35</v>
      </c>
      <c r="F12" s="73">
        <v>224.205828826367</v>
      </c>
      <c r="G12" s="73">
        <v>319.77078641494398</v>
      </c>
      <c r="H12" s="73">
        <v>332.72590461452</v>
      </c>
      <c r="I12" s="73">
        <v>272.629792417776</v>
      </c>
      <c r="J12" s="73">
        <v>212.85576442409501</v>
      </c>
    </row>
    <row r="13" spans="1:10" x14ac:dyDescent="0.3">
      <c r="A13" t="s">
        <v>37</v>
      </c>
      <c r="B13" t="s">
        <v>51</v>
      </c>
      <c r="C13" t="s">
        <v>52</v>
      </c>
      <c r="D13" t="s">
        <v>40</v>
      </c>
      <c r="E13" t="s">
        <v>35</v>
      </c>
      <c r="F13" s="73">
        <v>20.340347440952101</v>
      </c>
      <c r="G13" s="73">
        <v>19.896640187887702</v>
      </c>
      <c r="H13" s="73">
        <v>19.8868669003752</v>
      </c>
      <c r="I13" s="73">
        <v>19.641999630849501</v>
      </c>
      <c r="J13" s="73">
        <v>19.061936240087299</v>
      </c>
    </row>
    <row r="14" spans="1:10" x14ac:dyDescent="0.3">
      <c r="A14" t="s">
        <v>37</v>
      </c>
      <c r="B14" t="s">
        <v>53</v>
      </c>
      <c r="C14" t="s">
        <v>54</v>
      </c>
      <c r="D14" t="s">
        <v>40</v>
      </c>
      <c r="E14" t="s">
        <v>35</v>
      </c>
      <c r="F14" s="73">
        <v>15.0545978429582</v>
      </c>
      <c r="G14" s="73">
        <v>19.7899725669734</v>
      </c>
      <c r="H14" s="73">
        <v>36.985527295168801</v>
      </c>
      <c r="I14" s="73">
        <v>16.102818847816501</v>
      </c>
      <c r="J14" s="73">
        <v>10.984452313262301</v>
      </c>
    </row>
    <row r="15" spans="1:10" x14ac:dyDescent="0.3">
      <c r="A15" t="s">
        <v>37</v>
      </c>
      <c r="B15" t="s">
        <v>171</v>
      </c>
      <c r="C15" t="s">
        <v>172</v>
      </c>
      <c r="D15" t="s">
        <v>40</v>
      </c>
      <c r="E15" t="s">
        <v>35</v>
      </c>
      <c r="F15" s="73">
        <v>15.6704322666188</v>
      </c>
      <c r="G15" s="73">
        <v>17.373677698344199</v>
      </c>
      <c r="H15" s="73">
        <v>19.3147979963639</v>
      </c>
      <c r="I15" s="73">
        <v>17.4769150108689</v>
      </c>
      <c r="J15" s="73">
        <v>16.323606909423599</v>
      </c>
    </row>
    <row r="16" spans="1:10" x14ac:dyDescent="0.3">
      <c r="A16" t="s">
        <v>37</v>
      </c>
      <c r="B16" t="s">
        <v>55</v>
      </c>
      <c r="C16" t="s">
        <v>56</v>
      </c>
      <c r="D16" t="s">
        <v>40</v>
      </c>
      <c r="E16" t="s">
        <v>35</v>
      </c>
      <c r="F16" s="73">
        <v>0</v>
      </c>
      <c r="G16" s="73">
        <v>0</v>
      </c>
      <c r="H16" s="73">
        <v>0</v>
      </c>
      <c r="I16" s="73">
        <v>0</v>
      </c>
      <c r="J16" s="73">
        <v>0</v>
      </c>
    </row>
    <row r="17" spans="1:10" x14ac:dyDescent="0.3">
      <c r="A17" t="s">
        <v>37</v>
      </c>
      <c r="B17" t="s">
        <v>173</v>
      </c>
      <c r="C17" t="s">
        <v>174</v>
      </c>
      <c r="D17" t="s">
        <v>40</v>
      </c>
      <c r="E17" t="s">
        <v>35</v>
      </c>
      <c r="F17" s="73">
        <v>0</v>
      </c>
      <c r="G17" s="73">
        <v>0</v>
      </c>
      <c r="H17" s="73">
        <v>0</v>
      </c>
      <c r="I17" s="73">
        <v>0</v>
      </c>
      <c r="J17" s="73">
        <v>0</v>
      </c>
    </row>
    <row r="18" spans="1:10" x14ac:dyDescent="0.3">
      <c r="A18" t="s">
        <v>37</v>
      </c>
      <c r="B18" t="s">
        <v>57</v>
      </c>
      <c r="C18" t="s">
        <v>58</v>
      </c>
      <c r="D18" t="s">
        <v>40</v>
      </c>
      <c r="E18" t="s">
        <v>35</v>
      </c>
      <c r="F18" s="73">
        <v>0</v>
      </c>
      <c r="G18" s="73">
        <v>0</v>
      </c>
      <c r="H18" s="73">
        <v>0</v>
      </c>
      <c r="I18" s="73">
        <v>0</v>
      </c>
      <c r="J18" s="73">
        <v>0</v>
      </c>
    </row>
    <row r="19" spans="1:10" x14ac:dyDescent="0.3">
      <c r="A19" t="s">
        <v>37</v>
      </c>
      <c r="B19" t="s">
        <v>175</v>
      </c>
      <c r="C19" t="s">
        <v>176</v>
      </c>
      <c r="D19" t="s">
        <v>40</v>
      </c>
      <c r="E19" t="s">
        <v>35</v>
      </c>
      <c r="F19" s="73">
        <v>0.56148833894116001</v>
      </c>
      <c r="G19" s="73">
        <v>0.36528969523974297</v>
      </c>
      <c r="H19" s="73">
        <v>0.27864363820086002</v>
      </c>
      <c r="I19" s="73">
        <v>0.26755255347420998</v>
      </c>
      <c r="J19" s="73">
        <v>0.10998662397412901</v>
      </c>
    </row>
    <row r="20" spans="1:10" x14ac:dyDescent="0.3">
      <c r="A20" t="s">
        <v>37</v>
      </c>
      <c r="B20" t="s">
        <v>59</v>
      </c>
      <c r="C20" t="s">
        <v>60</v>
      </c>
      <c r="D20" t="s">
        <v>40</v>
      </c>
      <c r="E20" t="s">
        <v>35</v>
      </c>
      <c r="F20" s="73">
        <v>0</v>
      </c>
      <c r="G20" s="73">
        <v>0</v>
      </c>
      <c r="H20" s="73">
        <v>0</v>
      </c>
      <c r="I20" s="73">
        <v>0</v>
      </c>
      <c r="J20" s="73">
        <v>0</v>
      </c>
    </row>
    <row r="21" spans="1:10" x14ac:dyDescent="0.3">
      <c r="A21" t="s">
        <v>37</v>
      </c>
      <c r="B21" t="s">
        <v>177</v>
      </c>
      <c r="C21" t="s">
        <v>178</v>
      </c>
      <c r="D21" t="s">
        <v>40</v>
      </c>
      <c r="E21" t="s">
        <v>35</v>
      </c>
      <c r="F21" s="73">
        <v>0</v>
      </c>
      <c r="G21" s="73">
        <v>0</v>
      </c>
      <c r="H21" s="73">
        <v>0</v>
      </c>
      <c r="I21" s="73">
        <v>0</v>
      </c>
      <c r="J21" s="73">
        <v>0</v>
      </c>
    </row>
    <row r="22" spans="1:10" x14ac:dyDescent="0.3">
      <c r="A22" t="s">
        <v>37</v>
      </c>
      <c r="B22" t="s">
        <v>61</v>
      </c>
      <c r="C22" t="s">
        <v>62</v>
      </c>
      <c r="D22" t="s">
        <v>40</v>
      </c>
      <c r="E22" t="s">
        <v>35</v>
      </c>
      <c r="F22" s="73">
        <v>0</v>
      </c>
      <c r="G22" s="73">
        <v>0</v>
      </c>
      <c r="H22" s="73">
        <v>0</v>
      </c>
      <c r="I22" s="73">
        <v>0</v>
      </c>
      <c r="J22" s="73">
        <v>0</v>
      </c>
    </row>
    <row r="23" spans="1:10" x14ac:dyDescent="0.3">
      <c r="A23" t="s">
        <v>37</v>
      </c>
      <c r="B23" t="s">
        <v>179</v>
      </c>
      <c r="C23" t="s">
        <v>180</v>
      </c>
      <c r="D23" t="s">
        <v>40</v>
      </c>
      <c r="E23" t="s">
        <v>35</v>
      </c>
      <c r="F23" s="73">
        <v>19.1064906891053</v>
      </c>
      <c r="G23" s="73">
        <v>18.523410238973</v>
      </c>
      <c r="H23" s="73">
        <v>18.265907705158298</v>
      </c>
      <c r="I23" s="73">
        <v>18.005445372104301</v>
      </c>
      <c r="J23" s="73">
        <v>17.465775310814301</v>
      </c>
    </row>
    <row r="24" spans="1:10" x14ac:dyDescent="0.3">
      <c r="A24" t="s">
        <v>37</v>
      </c>
      <c r="B24" t="s">
        <v>63</v>
      </c>
      <c r="C24" t="s">
        <v>64</v>
      </c>
      <c r="D24" t="s">
        <v>40</v>
      </c>
      <c r="E24" t="s">
        <v>35</v>
      </c>
      <c r="F24" s="73">
        <v>0</v>
      </c>
      <c r="G24" s="73">
        <v>0</v>
      </c>
      <c r="H24" s="73">
        <v>0</v>
      </c>
      <c r="I24" s="73">
        <v>0</v>
      </c>
      <c r="J24" s="73">
        <v>0</v>
      </c>
    </row>
    <row r="25" spans="1:10" x14ac:dyDescent="0.3">
      <c r="A25" t="s">
        <v>37</v>
      </c>
      <c r="B25" t="s">
        <v>181</v>
      </c>
      <c r="C25" t="s">
        <v>182</v>
      </c>
      <c r="D25" t="s">
        <v>40</v>
      </c>
      <c r="E25" t="s">
        <v>35</v>
      </c>
      <c r="F25" s="73">
        <v>0</v>
      </c>
      <c r="G25" s="73">
        <v>0</v>
      </c>
      <c r="H25" s="73">
        <v>0</v>
      </c>
      <c r="I25" s="73">
        <v>0</v>
      </c>
      <c r="J25" s="73">
        <v>0</v>
      </c>
    </row>
    <row r="26" spans="1:10" x14ac:dyDescent="0.3">
      <c r="A26" t="s">
        <v>37</v>
      </c>
      <c r="B26" t="s">
        <v>65</v>
      </c>
      <c r="C26" t="s">
        <v>66</v>
      </c>
      <c r="D26" t="s">
        <v>40</v>
      </c>
      <c r="E26" t="s">
        <v>35</v>
      </c>
      <c r="F26" s="73">
        <v>0</v>
      </c>
      <c r="G26" s="73">
        <v>0</v>
      </c>
      <c r="H26" s="73">
        <v>0</v>
      </c>
      <c r="I26" s="73">
        <v>0</v>
      </c>
      <c r="J26" s="73">
        <v>0</v>
      </c>
    </row>
    <row r="27" spans="1:10" x14ac:dyDescent="0.3">
      <c r="A27" t="s">
        <v>37</v>
      </c>
      <c r="B27" t="s">
        <v>183</v>
      </c>
      <c r="C27" t="s">
        <v>184</v>
      </c>
      <c r="D27" t="s">
        <v>40</v>
      </c>
      <c r="E27" t="s">
        <v>35</v>
      </c>
      <c r="F27" s="73">
        <v>0</v>
      </c>
      <c r="G27" s="73">
        <v>0</v>
      </c>
      <c r="H27" s="73">
        <v>0</v>
      </c>
      <c r="I27" s="73">
        <v>0</v>
      </c>
      <c r="J27" s="73">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D1:O42"/>
  <sheetViews>
    <sheetView zoomScale="85" zoomScaleNormal="85" workbookViewId="0"/>
  </sheetViews>
  <sheetFormatPr defaultRowHeight="14" x14ac:dyDescent="0.3"/>
  <cols>
    <col min="1" max="4" width="1.33203125" customWidth="1"/>
    <col min="5" max="5" width="67.5" bestFit="1" customWidth="1"/>
    <col min="6" max="7" width="9.25" customWidth="1"/>
    <col min="8" max="8" width="3" customWidth="1"/>
  </cols>
  <sheetData>
    <row r="1" spans="4:15" ht="14.5" thickBot="1" x14ac:dyDescent="0.35"/>
    <row r="2" spans="4:15" ht="14.5" thickBot="1" x14ac:dyDescent="0.35">
      <c r="I2" s="16" t="s">
        <v>3</v>
      </c>
      <c r="J2" s="14" t="s">
        <v>4</v>
      </c>
      <c r="K2" s="15" t="s">
        <v>5</v>
      </c>
      <c r="L2" s="15" t="s">
        <v>6</v>
      </c>
      <c r="M2" s="15" t="s">
        <v>7</v>
      </c>
    </row>
    <row r="3" spans="4:15" ht="16.5" thickBot="1" x14ac:dyDescent="0.35">
      <c r="D3" s="44"/>
      <c r="E3" s="107" t="s">
        <v>67</v>
      </c>
      <c r="I3" s="70"/>
      <c r="J3" s="70"/>
      <c r="K3" s="70"/>
      <c r="L3" s="70"/>
      <c r="M3" s="70"/>
    </row>
    <row r="4" spans="4:15" x14ac:dyDescent="0.3">
      <c r="E4" s="71" t="str">
        <f>F_Inputs!C7</f>
        <v>WR - Total gross operational expenditure -real - including cost sharing</v>
      </c>
      <c r="G4" t="s">
        <v>40</v>
      </c>
      <c r="H4" s="71"/>
      <c r="I4" s="71">
        <v>15.907215644376684</v>
      </c>
      <c r="J4" s="71">
        <v>15.710491053763516</v>
      </c>
      <c r="K4" s="71">
        <v>16.058556961191545</v>
      </c>
      <c r="L4" s="71">
        <v>15.894064227415122</v>
      </c>
      <c r="M4" s="71">
        <v>15.681152282969231</v>
      </c>
      <c r="O4" t="s">
        <v>188</v>
      </c>
    </row>
    <row r="5" spans="4:15" x14ac:dyDescent="0.3">
      <c r="E5" s="71" t="str">
        <f xml:space="preserve"> F_Inputs!C21</f>
        <v>WR - Grants and contributions net of income offset - operational expenditure - price control - real</v>
      </c>
      <c r="G5" t="s">
        <v>40</v>
      </c>
      <c r="H5" s="71"/>
      <c r="I5" s="71">
        <f>F_Inputs!F21</f>
        <v>0</v>
      </c>
      <c r="J5" s="71">
        <f>F_Inputs!G21</f>
        <v>0</v>
      </c>
      <c r="K5" s="71">
        <f>F_Inputs!H21</f>
        <v>0</v>
      </c>
      <c r="L5" s="71">
        <f>F_Inputs!I21</f>
        <v>0</v>
      </c>
      <c r="M5" s="71">
        <f>F_Inputs!J21</f>
        <v>0</v>
      </c>
    </row>
    <row r="6" spans="4:15" x14ac:dyDescent="0.3">
      <c r="E6" s="71" t="str">
        <f>F_Inputs!C22</f>
        <v>WR - Grants and contributions - operational expenditure - non price control - real</v>
      </c>
      <c r="G6" t="s">
        <v>40</v>
      </c>
      <c r="H6" s="71"/>
      <c r="I6" s="71">
        <f>F_Inputs!F22</f>
        <v>0</v>
      </c>
      <c r="J6" s="71">
        <f>F_Inputs!G22</f>
        <v>0</v>
      </c>
      <c r="K6" s="71">
        <f>F_Inputs!H22</f>
        <v>0</v>
      </c>
      <c r="L6" s="71">
        <f>F_Inputs!I22</f>
        <v>0</v>
      </c>
      <c r="M6" s="71">
        <f>F_Inputs!J22</f>
        <v>0</v>
      </c>
    </row>
    <row r="7" spans="4:15" x14ac:dyDescent="0.3">
      <c r="E7" t="s">
        <v>68</v>
      </c>
      <c r="G7" t="s">
        <v>40</v>
      </c>
      <c r="I7" s="72">
        <f>I4 - SUM(I5:I6)</f>
        <v>15.907215644376684</v>
      </c>
      <c r="J7" s="72">
        <f>J4 - SUM(J5:J6)</f>
        <v>15.710491053763516</v>
      </c>
      <c r="K7" s="72">
        <f>K4 - SUM(K5:K6)</f>
        <v>16.058556961191545</v>
      </c>
      <c r="L7" s="72">
        <f>L4 - SUM(L5:L6)</f>
        <v>15.894064227415122</v>
      </c>
      <c r="M7" s="72">
        <f>M4 - SUM(M5:M6)</f>
        <v>15.681152282969231</v>
      </c>
    </row>
    <row r="9" spans="4:15" x14ac:dyDescent="0.3">
      <c r="E9" s="71" t="str">
        <f>F_Inputs!C8</f>
        <v>WR - Total gross capital expenditure - real (including g&amp;c) - including cost sharing</v>
      </c>
      <c r="G9" t="s">
        <v>40</v>
      </c>
      <c r="H9" s="71"/>
      <c r="I9" s="71">
        <f>F_Inputs!F8</f>
        <v>14.136626549689501</v>
      </c>
      <c r="J9" s="71">
        <f>F_Inputs!G8</f>
        <v>18.2522807755077</v>
      </c>
      <c r="K9" s="71">
        <f>F_Inputs!H8</f>
        <v>24.0470052802821</v>
      </c>
      <c r="L9" s="71">
        <f>F_Inputs!I8</f>
        <v>11.374768919606501</v>
      </c>
      <c r="M9" s="71">
        <f>F_Inputs!J8</f>
        <v>10.985412206969</v>
      </c>
    </row>
    <row r="10" spans="4:15" x14ac:dyDescent="0.3">
      <c r="E10" s="71" t="str">
        <f>F_Inputs!C19</f>
        <v>WR - Grants and contributions net of income offset - capital expenditure - price control - real</v>
      </c>
      <c r="G10" t="s">
        <v>40</v>
      </c>
      <c r="H10" s="71"/>
      <c r="I10" s="71">
        <f>F_Inputs!F19</f>
        <v>0.56148833894116001</v>
      </c>
      <c r="J10" s="71">
        <f>F_Inputs!G19</f>
        <v>0.36528969523974297</v>
      </c>
      <c r="K10" s="71">
        <f>F_Inputs!H19</f>
        <v>0.27864363820086002</v>
      </c>
      <c r="L10" s="71">
        <f>F_Inputs!I19</f>
        <v>0.26755255347420998</v>
      </c>
      <c r="M10" s="71">
        <f>F_Inputs!J19</f>
        <v>0.10998662397412901</v>
      </c>
    </row>
    <row r="11" spans="4:15" x14ac:dyDescent="0.3">
      <c r="E11" s="71" t="str">
        <f>F_Inputs!C20</f>
        <v>WR - Grants and contributions - capital expenditure - non price control - real</v>
      </c>
      <c r="G11" t="s">
        <v>40</v>
      </c>
      <c r="H11" s="71"/>
      <c r="I11" s="71">
        <f>F_Inputs!F20</f>
        <v>0</v>
      </c>
      <c r="J11" s="71">
        <f>F_Inputs!G20</f>
        <v>0</v>
      </c>
      <c r="K11" s="71">
        <f>F_Inputs!H20</f>
        <v>0</v>
      </c>
      <c r="L11" s="71">
        <f>F_Inputs!I20</f>
        <v>0</v>
      </c>
      <c r="M11" s="71">
        <f>F_Inputs!J20</f>
        <v>0</v>
      </c>
    </row>
    <row r="12" spans="4:15" x14ac:dyDescent="0.3">
      <c r="E12" t="s">
        <v>69</v>
      </c>
      <c r="G12" t="s">
        <v>40</v>
      </c>
      <c r="I12" s="72">
        <f>I9 - SUM(I10:I11)</f>
        <v>13.57513821074834</v>
      </c>
      <c r="J12" s="72">
        <f>J9 - SUM(J10:J11)</f>
        <v>17.886991080267958</v>
      </c>
      <c r="K12" s="72">
        <f>K9 - SUM(K10:K11)</f>
        <v>23.768361642081238</v>
      </c>
      <c r="L12" s="72">
        <f>L9 - SUM(L10:L11)</f>
        <v>11.10721636613229</v>
      </c>
      <c r="M12" s="72">
        <f>M9 - SUM(M10:M11)</f>
        <v>10.875425582994872</v>
      </c>
    </row>
    <row r="13" spans="4:15" ht="14.5" thickBot="1" x14ac:dyDescent="0.35"/>
    <row r="14" spans="4:15" ht="16.5" thickBot="1" x14ac:dyDescent="0.35">
      <c r="E14" s="107" t="s">
        <v>70</v>
      </c>
    </row>
    <row r="15" spans="4:15" x14ac:dyDescent="0.3">
      <c r="E15" s="71" t="str">
        <f>F_Inputs!C9</f>
        <v>WN - Total gross operational expenditure -real - including cost sharing</v>
      </c>
      <c r="G15" t="s">
        <v>40</v>
      </c>
      <c r="H15" s="71"/>
      <c r="I15" s="71">
        <f>F_Inputs!F9</f>
        <v>74.210495794915701</v>
      </c>
      <c r="J15" s="71">
        <f>F_Inputs!G9</f>
        <v>72.756349456358194</v>
      </c>
      <c r="K15" s="71">
        <f>F_Inputs!H9</f>
        <v>71.703593438292401</v>
      </c>
      <c r="L15" s="71">
        <f>F_Inputs!I9</f>
        <v>71.891341300261701</v>
      </c>
      <c r="M15" s="71">
        <f>F_Inputs!J9</f>
        <v>70.321080968357194</v>
      </c>
    </row>
    <row r="16" spans="4:15" x14ac:dyDescent="0.3">
      <c r="E16" s="71" t="str">
        <f>F_Inputs!C17</f>
        <v>WN - Grants and contributions net of income offset - operational expenditure - price control - real</v>
      </c>
      <c r="G16" t="s">
        <v>40</v>
      </c>
      <c r="H16" s="71"/>
      <c r="I16" s="71">
        <f>F_Inputs!F17</f>
        <v>0</v>
      </c>
      <c r="J16" s="71">
        <f>F_Inputs!G17</f>
        <v>0</v>
      </c>
      <c r="K16" s="71">
        <f>F_Inputs!H17</f>
        <v>0</v>
      </c>
      <c r="L16" s="71">
        <f>F_Inputs!I17</f>
        <v>0</v>
      </c>
      <c r="M16" s="71">
        <f>F_Inputs!J17</f>
        <v>0</v>
      </c>
    </row>
    <row r="17" spans="5:13" x14ac:dyDescent="0.3">
      <c r="E17" s="71" t="str">
        <f>F_Inputs!C18</f>
        <v>WN - Grants and contributions - operational expenditure - non price control - real</v>
      </c>
      <c r="G17" t="s">
        <v>40</v>
      </c>
      <c r="H17" s="71"/>
      <c r="I17" s="71">
        <f>F_Inputs!F18</f>
        <v>0</v>
      </c>
      <c r="J17" s="71">
        <f>F_Inputs!G18</f>
        <v>0</v>
      </c>
      <c r="K17" s="71">
        <f>F_Inputs!H18</f>
        <v>0</v>
      </c>
      <c r="L17" s="71">
        <f>F_Inputs!I18</f>
        <v>0</v>
      </c>
      <c r="M17" s="71">
        <f>F_Inputs!J18</f>
        <v>0</v>
      </c>
    </row>
    <row r="18" spans="5:13" x14ac:dyDescent="0.3">
      <c r="E18" t="s">
        <v>71</v>
      </c>
      <c r="G18" t="s">
        <v>40</v>
      </c>
      <c r="I18" s="72">
        <f>I15 - SUM(I16:I17)</f>
        <v>74.210495794915701</v>
      </c>
      <c r="J18" s="72">
        <f>J15 - SUM(J16:J17)</f>
        <v>72.756349456358194</v>
      </c>
      <c r="K18" s="72">
        <f>K15 - SUM(K16:K17)</f>
        <v>71.703593438292401</v>
      </c>
      <c r="L18" s="72">
        <f>L15 - SUM(L16:L17)</f>
        <v>71.891341300261701</v>
      </c>
      <c r="M18" s="72">
        <f>M15 - SUM(M16:M17)</f>
        <v>70.321080968357194</v>
      </c>
    </row>
    <row r="20" spans="5:13" x14ac:dyDescent="0.3">
      <c r="E20" s="71" t="str">
        <f>F_Inputs!C10</f>
        <v>WN - Total gross capital expenditure - real - including cost sharing</v>
      </c>
      <c r="G20" t="s">
        <v>40</v>
      </c>
      <c r="H20" s="71"/>
      <c r="I20" s="71">
        <f>F_Inputs!F10</f>
        <v>133.64472247217199</v>
      </c>
      <c r="J20" s="71">
        <f>F_Inputs!G10</f>
        <v>143.85487176177699</v>
      </c>
      <c r="K20" s="71">
        <f>F_Inputs!H10</f>
        <v>139.81587149404399</v>
      </c>
      <c r="L20" s="71">
        <f>F_Inputs!I10</f>
        <v>106.197545558123</v>
      </c>
      <c r="M20" s="71">
        <f>F_Inputs!J10</f>
        <v>117.565574296835</v>
      </c>
    </row>
    <row r="21" spans="5:13" x14ac:dyDescent="0.3">
      <c r="E21" s="71" t="str">
        <f>F_Inputs!C15</f>
        <v>WN - Grants and contributions net of income offset - capital expenditure - price control - real</v>
      </c>
      <c r="G21" t="s">
        <v>40</v>
      </c>
      <c r="H21" s="71"/>
      <c r="I21" s="71">
        <f>F_Inputs!F15</f>
        <v>15.6704322666188</v>
      </c>
      <c r="J21" s="71">
        <f>F_Inputs!G15</f>
        <v>17.373677698344199</v>
      </c>
      <c r="K21" s="71">
        <f>F_Inputs!H15</f>
        <v>19.3147979963639</v>
      </c>
      <c r="L21" s="71">
        <f>F_Inputs!I15</f>
        <v>17.4769150108689</v>
      </c>
      <c r="M21" s="71">
        <f>F_Inputs!J15</f>
        <v>16.323606909423599</v>
      </c>
    </row>
    <row r="22" spans="5:13" x14ac:dyDescent="0.3">
      <c r="E22" s="71" t="str">
        <f>F_Inputs!C16</f>
        <v>WN - Grants and contributions - capital expenditure - non price control - real</v>
      </c>
      <c r="G22" t="s">
        <v>40</v>
      </c>
      <c r="H22" s="71"/>
      <c r="I22" s="71">
        <f>F_Inputs!F16</f>
        <v>0</v>
      </c>
      <c r="J22" s="71">
        <f>F_Inputs!G16</f>
        <v>0</v>
      </c>
      <c r="K22" s="71">
        <f>F_Inputs!H16</f>
        <v>0</v>
      </c>
      <c r="L22" s="71">
        <f>F_Inputs!I16</f>
        <v>0</v>
      </c>
      <c r="M22" s="71">
        <f>F_Inputs!J16</f>
        <v>0</v>
      </c>
    </row>
    <row r="23" spans="5:13" x14ac:dyDescent="0.3">
      <c r="E23" t="s">
        <v>72</v>
      </c>
      <c r="G23" t="s">
        <v>40</v>
      </c>
      <c r="I23" s="72">
        <f>I20 - SUM(I21:I22)</f>
        <v>117.97429020555319</v>
      </c>
      <c r="J23" s="72">
        <f>J20 - SUM(J21:J22)</f>
        <v>126.4811940634328</v>
      </c>
      <c r="K23" s="72">
        <f>K20 - SUM(K21:K22)</f>
        <v>120.5010734976801</v>
      </c>
      <c r="L23" s="72">
        <f>L20 - SUM(L21:L22)</f>
        <v>88.720630547254103</v>
      </c>
      <c r="M23" s="72">
        <f>M20 - SUM(M21:M22)</f>
        <v>101.24196738741139</v>
      </c>
    </row>
    <row r="24" spans="5:13" ht="14.5" thickBot="1" x14ac:dyDescent="0.35"/>
    <row r="25" spans="5:13" ht="16.5" thickBot="1" x14ac:dyDescent="0.35">
      <c r="E25" s="107" t="s">
        <v>73</v>
      </c>
    </row>
    <row r="26" spans="5:13" x14ac:dyDescent="0.3">
      <c r="E26" s="71" t="str">
        <f>F_Inputs!C11</f>
        <v>WWN - Total gross operational expenditure - real - including cost sharing</v>
      </c>
      <c r="G26" t="s">
        <v>40</v>
      </c>
      <c r="H26" s="71"/>
      <c r="I26" s="71">
        <f>F_Inputs!F11</f>
        <v>132.753961036893</v>
      </c>
      <c r="J26" s="71">
        <f>F_Inputs!G11</f>
        <v>130.046218982108</v>
      </c>
      <c r="K26" s="71">
        <f>F_Inputs!H11</f>
        <v>128.23006799380499</v>
      </c>
      <c r="L26" s="71">
        <f>F_Inputs!I11</f>
        <v>125.21378971759501</v>
      </c>
      <c r="M26" s="71">
        <f>F_Inputs!J11</f>
        <v>122.426993920398</v>
      </c>
    </row>
    <row r="27" spans="5:13" x14ac:dyDescent="0.3">
      <c r="E27" s="71" t="str">
        <f>F_Inputs!C25</f>
        <v>WWN - Grants and contributions net of income offset - operational expenditure - price control - real</v>
      </c>
      <c r="G27" t="s">
        <v>40</v>
      </c>
      <c r="H27" s="71"/>
      <c r="I27" s="71">
        <f>F_Inputs!F25</f>
        <v>0</v>
      </c>
      <c r="J27" s="71">
        <f>F_Inputs!G25</f>
        <v>0</v>
      </c>
      <c r="K27" s="71">
        <f>F_Inputs!H25</f>
        <v>0</v>
      </c>
      <c r="L27" s="71">
        <f>F_Inputs!I25</f>
        <v>0</v>
      </c>
      <c r="M27" s="71">
        <f>F_Inputs!J25</f>
        <v>0</v>
      </c>
    </row>
    <row r="28" spans="5:13" x14ac:dyDescent="0.3">
      <c r="E28" s="71" t="str">
        <f>F_Inputs!C26</f>
        <v>WWN - Grants and contributions - operational expenditure - non price control - real</v>
      </c>
      <c r="G28" t="s">
        <v>40</v>
      </c>
      <c r="H28" s="71"/>
      <c r="I28" s="71">
        <f>F_Inputs!F26</f>
        <v>0</v>
      </c>
      <c r="J28" s="71">
        <f>F_Inputs!G26</f>
        <v>0</v>
      </c>
      <c r="K28" s="71">
        <f>F_Inputs!H26</f>
        <v>0</v>
      </c>
      <c r="L28" s="71">
        <f>F_Inputs!I26</f>
        <v>0</v>
      </c>
      <c r="M28" s="71">
        <f>F_Inputs!J26</f>
        <v>0</v>
      </c>
    </row>
    <row r="29" spans="5:13" x14ac:dyDescent="0.3">
      <c r="G29" t="s">
        <v>40</v>
      </c>
      <c r="I29" s="72">
        <f>I26 - SUM(I27:I28)</f>
        <v>132.753961036893</v>
      </c>
      <c r="J29" s="72">
        <f>J26 - SUM(J27:J28)</f>
        <v>130.046218982108</v>
      </c>
      <c r="K29" s="72">
        <f>K26 - SUM(K27:K28)</f>
        <v>128.23006799380499</v>
      </c>
      <c r="L29" s="72">
        <f>L26 - SUM(L27:L28)</f>
        <v>125.21378971759501</v>
      </c>
      <c r="M29" s="72">
        <f>M26 - SUM(M27:M28)</f>
        <v>122.426993920398</v>
      </c>
    </row>
    <row r="30" spans="5:13" x14ac:dyDescent="0.3">
      <c r="G30" s="71"/>
      <c r="I30" s="71"/>
      <c r="J30" s="71"/>
      <c r="K30" s="71"/>
      <c r="L30" s="71"/>
      <c r="M30" s="71"/>
    </row>
    <row r="31" spans="5:13" x14ac:dyDescent="0.3">
      <c r="E31" s="71" t="str">
        <f>F_Inputs!C12</f>
        <v>WWN - Total gross capital expenditure - real - including cost sharing</v>
      </c>
      <c r="G31" t="s">
        <v>40</v>
      </c>
      <c r="H31" s="71"/>
      <c r="I31" s="71">
        <f>F_Inputs!F12</f>
        <v>224.205828826367</v>
      </c>
      <c r="J31" s="71">
        <f>F_Inputs!G12</f>
        <v>319.77078641494398</v>
      </c>
      <c r="K31" s="71">
        <f>F_Inputs!H12</f>
        <v>332.72590461452</v>
      </c>
      <c r="L31" s="71">
        <f>F_Inputs!I12</f>
        <v>272.629792417776</v>
      </c>
      <c r="M31" s="71">
        <f>F_Inputs!J12</f>
        <v>212.85576442409501</v>
      </c>
    </row>
    <row r="32" spans="5:13" x14ac:dyDescent="0.3">
      <c r="E32" s="71" t="str">
        <f>F_Inputs!C23</f>
        <v>WWN - Grants and contributions net of income offset - capital expenditure - price control - real</v>
      </c>
      <c r="G32" t="s">
        <v>40</v>
      </c>
      <c r="H32" s="71"/>
      <c r="I32" s="71">
        <f>F_Inputs!F23</f>
        <v>19.1064906891053</v>
      </c>
      <c r="J32" s="71">
        <f>F_Inputs!G23</f>
        <v>18.523410238973</v>
      </c>
      <c r="K32" s="71">
        <f>F_Inputs!H23</f>
        <v>18.265907705158298</v>
      </c>
      <c r="L32" s="71">
        <f>F_Inputs!I23</f>
        <v>18.005445372104301</v>
      </c>
      <c r="M32" s="71">
        <f>F_Inputs!J23</f>
        <v>17.465775310814301</v>
      </c>
    </row>
    <row r="33" spans="5:13" x14ac:dyDescent="0.3">
      <c r="E33" s="71" t="str">
        <f>F_Inputs!C24</f>
        <v>WWN - Grants and contributions - capital expenditure - non price control - real</v>
      </c>
      <c r="G33" t="s">
        <v>40</v>
      </c>
      <c r="H33" s="71"/>
      <c r="I33" s="71">
        <f>F_Inputs!F24</f>
        <v>0</v>
      </c>
      <c r="J33" s="71">
        <f>F_Inputs!G24</f>
        <v>0</v>
      </c>
      <c r="K33" s="71">
        <f>F_Inputs!H24</f>
        <v>0</v>
      </c>
      <c r="L33" s="71">
        <f>F_Inputs!I24</f>
        <v>0</v>
      </c>
      <c r="M33" s="71">
        <f>F_Inputs!J24</f>
        <v>0</v>
      </c>
    </row>
    <row r="34" spans="5:13" x14ac:dyDescent="0.3">
      <c r="E34" t="s">
        <v>74</v>
      </c>
      <c r="G34" t="s">
        <v>40</v>
      </c>
      <c r="I34" s="72">
        <f>I31 - SUM(I32:I33)</f>
        <v>205.0993381372617</v>
      </c>
      <c r="J34" s="72">
        <f>J31 - SUM(J32:J33)</f>
        <v>301.247376175971</v>
      </c>
      <c r="K34" s="72">
        <f>K31 - SUM(K32:K33)</f>
        <v>314.45999690936173</v>
      </c>
      <c r="L34" s="72">
        <f>L31 - SUM(L32:L33)</f>
        <v>254.6243470456717</v>
      </c>
      <c r="M34" s="72">
        <f>M31 - SUM(M32:M33)</f>
        <v>195.38998911328071</v>
      </c>
    </row>
    <row r="35" spans="5:13" ht="14.5" thickBot="1" x14ac:dyDescent="0.35"/>
    <row r="36" spans="5:13" ht="16.5" thickBot="1" x14ac:dyDescent="0.35">
      <c r="E36" s="107" t="s">
        <v>75</v>
      </c>
    </row>
    <row r="37" spans="5:13" x14ac:dyDescent="0.3">
      <c r="E37" s="71" t="str">
        <f>F_Inputs!C13</f>
        <v>BIO - Total gross operational expenditure -real</v>
      </c>
      <c r="G37" t="s">
        <v>40</v>
      </c>
      <c r="H37" s="71"/>
      <c r="I37" s="71">
        <f>F_Inputs!F13</f>
        <v>20.340347440952101</v>
      </c>
      <c r="J37" s="71">
        <f>F_Inputs!G13</f>
        <v>19.896640187887702</v>
      </c>
      <c r="K37" s="71">
        <f>F_Inputs!H13</f>
        <v>19.8868669003752</v>
      </c>
      <c r="L37" s="71">
        <f>F_Inputs!I13</f>
        <v>19.641999630849501</v>
      </c>
      <c r="M37" s="71">
        <f>F_Inputs!J13</f>
        <v>19.061936240087299</v>
      </c>
    </row>
    <row r="38" spans="5:13" x14ac:dyDescent="0.3">
      <c r="E38" t="s">
        <v>76</v>
      </c>
      <c r="G38" t="s">
        <v>40</v>
      </c>
      <c r="I38" s="72">
        <f>I37</f>
        <v>20.340347440952101</v>
      </c>
      <c r="J38" s="72">
        <f>J37</f>
        <v>19.896640187887702</v>
      </c>
      <c r="K38" s="72">
        <f>K37</f>
        <v>19.8868669003752</v>
      </c>
      <c r="L38" s="72">
        <f>L37</f>
        <v>19.641999630849501</v>
      </c>
      <c r="M38" s="72">
        <f>M37</f>
        <v>19.061936240087299</v>
      </c>
    </row>
    <row r="40" spans="5:13" x14ac:dyDescent="0.3">
      <c r="E40" s="71" t="str">
        <f>F_Inputs!C14</f>
        <v>BIO - Total gross capital expenditure - real (including g&amp;c)</v>
      </c>
      <c r="G40" t="s">
        <v>40</v>
      </c>
      <c r="H40" s="71"/>
      <c r="I40" s="71">
        <f>F_Inputs!F14</f>
        <v>15.0545978429582</v>
      </c>
      <c r="J40" s="71">
        <f>F_Inputs!G14</f>
        <v>19.7899725669734</v>
      </c>
      <c r="K40" s="71">
        <f>F_Inputs!H14</f>
        <v>36.985527295168801</v>
      </c>
      <c r="L40" s="71">
        <f>F_Inputs!I14</f>
        <v>16.102818847816501</v>
      </c>
      <c r="M40" s="71">
        <f>F_Inputs!J14</f>
        <v>10.984452313262301</v>
      </c>
    </row>
    <row r="41" spans="5:13" x14ac:dyDescent="0.3">
      <c r="E41" t="s">
        <v>77</v>
      </c>
      <c r="G41" t="s">
        <v>40</v>
      </c>
      <c r="I41" s="72">
        <f>I40</f>
        <v>15.0545978429582</v>
      </c>
      <c r="J41" s="72">
        <f>J40</f>
        <v>19.7899725669734</v>
      </c>
      <c r="K41" s="72">
        <f>K40</f>
        <v>36.985527295168801</v>
      </c>
      <c r="L41" s="72">
        <f>L40</f>
        <v>16.102818847816501</v>
      </c>
      <c r="M41" s="72">
        <f>M40</f>
        <v>10.984452313262301</v>
      </c>
    </row>
    <row r="42" spans="5:13" x14ac:dyDescent="0.3">
      <c r="I42" s="72"/>
      <c r="J42" s="72"/>
      <c r="K42" s="72"/>
      <c r="L42" s="72"/>
      <c r="M42" s="7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38"/>
  <sheetViews>
    <sheetView zoomScale="85" zoomScaleNormal="85" workbookViewId="0"/>
  </sheetViews>
  <sheetFormatPr defaultRowHeight="14" x14ac:dyDescent="0.3"/>
  <cols>
    <col min="1" max="1" width="3" customWidth="1"/>
    <col min="2" max="2" width="68.58203125" customWidth="1"/>
    <col min="3" max="3" width="2" customWidth="1"/>
    <col min="4" max="8" width="9.75" customWidth="1"/>
    <col min="10" max="10" width="3.83203125" customWidth="1"/>
    <col min="11" max="11" width="1.75" customWidth="1"/>
    <col min="12" max="16" width="9.75" customWidth="1"/>
    <col min="18" max="18" width="2.33203125" customWidth="1"/>
  </cols>
  <sheetData>
    <row r="1" spans="1:18" x14ac:dyDescent="0.3">
      <c r="D1" s="44" t="s">
        <v>122</v>
      </c>
      <c r="L1" s="44" t="s">
        <v>165</v>
      </c>
    </row>
    <row r="2" spans="1:18" x14ac:dyDescent="0.3">
      <c r="D2" s="45">
        <v>2021</v>
      </c>
      <c r="E2" s="45">
        <v>2022</v>
      </c>
      <c r="F2" s="45">
        <v>2023</v>
      </c>
      <c r="G2" s="45">
        <v>2024</v>
      </c>
      <c r="H2" s="45">
        <v>2025</v>
      </c>
      <c r="I2" s="74"/>
      <c r="L2" s="45">
        <v>2021</v>
      </c>
      <c r="M2" s="45">
        <v>2022</v>
      </c>
      <c r="N2" s="45">
        <v>2023</v>
      </c>
      <c r="O2" s="45">
        <v>2024</v>
      </c>
      <c r="P2" s="45">
        <v>2025</v>
      </c>
      <c r="Q2" s="74"/>
      <c r="R2" s="46"/>
    </row>
    <row r="3" spans="1:18" x14ac:dyDescent="0.3">
      <c r="B3" s="47" t="s">
        <v>79</v>
      </c>
      <c r="C3" s="48"/>
      <c r="D3" s="49" t="s">
        <v>40</v>
      </c>
      <c r="E3" s="49" t="s">
        <v>40</v>
      </c>
      <c r="F3" s="49" t="s">
        <v>40</v>
      </c>
      <c r="G3" s="49" t="s">
        <v>40</v>
      </c>
      <c r="H3" s="49" t="s">
        <v>40</v>
      </c>
      <c r="I3" s="54"/>
      <c r="J3" s="50"/>
      <c r="K3" s="51"/>
      <c r="L3" s="49" t="s">
        <v>40</v>
      </c>
      <c r="M3" s="49" t="s">
        <v>40</v>
      </c>
      <c r="N3" s="49" t="s">
        <v>40</v>
      </c>
      <c r="O3" s="49" t="s">
        <v>40</v>
      </c>
      <c r="P3" s="49" t="s">
        <v>40</v>
      </c>
      <c r="Q3" s="54"/>
      <c r="R3" s="51"/>
    </row>
    <row r="4" spans="1:18" x14ac:dyDescent="0.3">
      <c r="A4" s="47"/>
      <c r="B4" s="52"/>
      <c r="C4" s="48"/>
      <c r="D4" s="54"/>
      <c r="E4" s="54"/>
      <c r="F4" s="54"/>
      <c r="G4" s="54"/>
      <c r="H4" s="54"/>
      <c r="I4" s="53"/>
      <c r="J4" s="50"/>
      <c r="K4" s="51"/>
      <c r="L4" s="54"/>
      <c r="M4" s="54"/>
      <c r="N4" s="54"/>
      <c r="O4" s="54"/>
      <c r="P4" s="54"/>
      <c r="Q4" s="53"/>
      <c r="R4" s="51"/>
    </row>
    <row r="5" spans="1:18" x14ac:dyDescent="0.3">
      <c r="A5" s="55"/>
      <c r="B5" s="53" t="s">
        <v>80</v>
      </c>
      <c r="C5" s="56"/>
      <c r="D5" s="60">
        <v>17.706957325776401</v>
      </c>
      <c r="E5" s="60">
        <v>17.496347323854302</v>
      </c>
      <c r="F5" s="60">
        <v>17.365370954499799</v>
      </c>
      <c r="G5" s="60">
        <v>17.170478116900298</v>
      </c>
      <c r="H5" s="60">
        <v>16.909573189146101</v>
      </c>
      <c r="I5" s="57"/>
      <c r="J5" s="58"/>
      <c r="K5" s="59"/>
      <c r="L5" s="60">
        <f>'Final determination totex'!I4</f>
        <v>15.907215644376684</v>
      </c>
      <c r="M5" s="60">
        <f>'Final determination totex'!J4</f>
        <v>15.710491053763516</v>
      </c>
      <c r="N5" s="60">
        <f>'Final determination totex'!K4</f>
        <v>16.058556961191545</v>
      </c>
      <c r="O5" s="60">
        <f>'Final determination totex'!L4</f>
        <v>15.894064227415122</v>
      </c>
      <c r="P5" s="60">
        <f>'Final determination totex'!M4</f>
        <v>15.681152282969231</v>
      </c>
      <c r="Q5" s="57"/>
      <c r="R5" s="59"/>
    </row>
    <row r="6" spans="1:18" x14ac:dyDescent="0.3">
      <c r="A6" s="55"/>
      <c r="B6" s="53" t="s">
        <v>78</v>
      </c>
      <c r="C6" s="56"/>
      <c r="D6" s="60">
        <v>19.591432852081599</v>
      </c>
      <c r="E6" s="60">
        <v>17.326265678525999</v>
      </c>
      <c r="F6" s="60">
        <v>14.543514693810399</v>
      </c>
      <c r="G6" s="60">
        <v>15.358266396548901</v>
      </c>
      <c r="H6" s="60">
        <v>15.700698271613</v>
      </c>
      <c r="I6" s="57"/>
      <c r="J6" s="58"/>
      <c r="K6" s="59"/>
      <c r="L6" s="60">
        <f>'Final determination totex'!I9</f>
        <v>14.136626549689501</v>
      </c>
      <c r="M6" s="60">
        <f>'Final determination totex'!J9</f>
        <v>18.2522807755077</v>
      </c>
      <c r="N6" s="60">
        <f>'Final determination totex'!K9</f>
        <v>24.0470052802821</v>
      </c>
      <c r="O6" s="60">
        <f>'Final determination totex'!L9</f>
        <v>11.374768919606501</v>
      </c>
      <c r="P6" s="60">
        <f>'Final determination totex'!M9</f>
        <v>10.985412206969</v>
      </c>
      <c r="Q6" s="57"/>
      <c r="R6" s="59"/>
    </row>
    <row r="7" spans="1:18" x14ac:dyDescent="0.3">
      <c r="A7" s="55"/>
      <c r="B7" s="53" t="s">
        <v>81</v>
      </c>
      <c r="C7" s="56"/>
      <c r="D7" s="60"/>
      <c r="E7" s="60"/>
      <c r="F7" s="60"/>
      <c r="G7" s="60"/>
      <c r="H7" s="60"/>
      <c r="I7" s="57"/>
      <c r="J7" s="58"/>
      <c r="K7" s="59"/>
      <c r="L7" s="60">
        <f>'Final determination totex'!I10+'Final determination totex'!I11</f>
        <v>0.56148833894116001</v>
      </c>
      <c r="M7" s="60">
        <f>'Final determination totex'!J10+'Final determination totex'!J11</f>
        <v>0.36528969523974297</v>
      </c>
      <c r="N7" s="60">
        <f>'Final determination totex'!K10+'Final determination totex'!K11</f>
        <v>0.27864363820086002</v>
      </c>
      <c r="O7" s="60">
        <f>'Final determination totex'!L10+'Final determination totex'!L11</f>
        <v>0.26755255347420998</v>
      </c>
      <c r="P7" s="60">
        <f>'Final determination totex'!M10+'Final determination totex'!M11</f>
        <v>0.10998662397412901</v>
      </c>
      <c r="Q7" s="57"/>
      <c r="R7" s="59"/>
    </row>
    <row r="8" spans="1:18" ht="14.5" thickBot="1" x14ac:dyDescent="0.35">
      <c r="A8" s="55"/>
      <c r="B8" s="61" t="s">
        <v>82</v>
      </c>
      <c r="C8" s="56"/>
      <c r="D8" s="60"/>
      <c r="E8" s="60"/>
      <c r="F8" s="60"/>
      <c r="G8" s="60"/>
      <c r="H8" s="60"/>
      <c r="I8" s="62"/>
      <c r="J8" s="58"/>
      <c r="K8" s="59"/>
      <c r="L8" s="60">
        <f>'Final determination totex'!I5+'Final determination totex'!I6</f>
        <v>0</v>
      </c>
      <c r="M8" s="60">
        <f>'Final determination totex'!J5+'Final determination totex'!J6</f>
        <v>0</v>
      </c>
      <c r="N8" s="60">
        <f>'Final determination totex'!K5+'Final determination totex'!K6</f>
        <v>0</v>
      </c>
      <c r="O8" s="60">
        <f>'Final determination totex'!L5+'Final determination totex'!L6</f>
        <v>0</v>
      </c>
      <c r="P8" s="60">
        <f>'Final determination totex'!M5+'Final determination totex'!M6</f>
        <v>0</v>
      </c>
      <c r="Q8" s="62"/>
      <c r="R8" s="59"/>
    </row>
    <row r="9" spans="1:18" x14ac:dyDescent="0.3">
      <c r="A9" s="55"/>
      <c r="B9" s="61" t="s">
        <v>83</v>
      </c>
      <c r="C9" s="56"/>
      <c r="D9" s="64">
        <v>37.298390177857996</v>
      </c>
      <c r="E9" s="64">
        <v>34.822613002380301</v>
      </c>
      <c r="F9" s="64">
        <v>31.908885648310196</v>
      </c>
      <c r="G9" s="64">
        <v>32.528744513449197</v>
      </c>
      <c r="H9" s="64">
        <v>32.610271460759101</v>
      </c>
      <c r="I9" s="75">
        <v>169.16890480275677</v>
      </c>
      <c r="J9" s="58"/>
      <c r="K9" s="59"/>
      <c r="L9" s="64">
        <f>SUM(L5:L6)-SUM(L7:L8)</f>
        <v>29.482353855125027</v>
      </c>
      <c r="M9" s="64">
        <f>SUM(M5:M6)-SUM(M7:M8)</f>
        <v>33.597482134031473</v>
      </c>
      <c r="N9" s="64">
        <f>SUM(N5:N6)-SUM(N7:N8)</f>
        <v>39.826918603272787</v>
      </c>
      <c r="O9" s="64">
        <f>SUM(O5:O6)-SUM(O7:O8)</f>
        <v>27.001280593547413</v>
      </c>
      <c r="P9" s="64">
        <f>SUM(P5:P6)-SUM(P7:P8)</f>
        <v>26.556577865964101</v>
      </c>
      <c r="Q9" s="75">
        <f>SUM(L9:P9)</f>
        <v>156.4646130519408</v>
      </c>
      <c r="R9" s="59"/>
    </row>
    <row r="10" spans="1:18" x14ac:dyDescent="0.3">
      <c r="A10" s="55"/>
      <c r="B10" s="61" t="s">
        <v>84</v>
      </c>
      <c r="C10" s="56"/>
      <c r="D10" s="64">
        <v>17.706957325776401</v>
      </c>
      <c r="E10" s="64">
        <v>17.496347323854302</v>
      </c>
      <c r="F10" s="64">
        <v>17.365370954499799</v>
      </c>
      <c r="G10" s="64">
        <v>17.170478116900298</v>
      </c>
      <c r="H10" s="64">
        <v>16.909573189146101</v>
      </c>
      <c r="I10" s="76">
        <v>86.648726910176904</v>
      </c>
      <c r="J10" s="58"/>
      <c r="K10" s="59"/>
      <c r="L10" s="64">
        <f>L5-L8</f>
        <v>15.907215644376684</v>
      </c>
      <c r="M10" s="64">
        <f>M5-M8</f>
        <v>15.710491053763516</v>
      </c>
      <c r="N10" s="64">
        <f>N5-N8</f>
        <v>16.058556961191545</v>
      </c>
      <c r="O10" s="64">
        <f>O5-O8</f>
        <v>15.894064227415122</v>
      </c>
      <c r="P10" s="64">
        <f>P5-P8</f>
        <v>15.681152282969231</v>
      </c>
      <c r="Q10" s="76">
        <f t="shared" ref="Q10:Q11" si="0">SUM(L10:P10)</f>
        <v>79.251480169716103</v>
      </c>
      <c r="R10" s="59"/>
    </row>
    <row r="11" spans="1:18" ht="14.5" thickBot="1" x14ac:dyDescent="0.35">
      <c r="A11" s="55"/>
      <c r="B11" s="61" t="s">
        <v>85</v>
      </c>
      <c r="C11" s="56"/>
      <c r="D11" s="64">
        <v>19.591432852081596</v>
      </c>
      <c r="E11" s="64">
        <v>17.326265678525999</v>
      </c>
      <c r="F11" s="64">
        <v>14.543514693810398</v>
      </c>
      <c r="G11" s="64">
        <v>15.358266396548899</v>
      </c>
      <c r="H11" s="64">
        <v>15.700698271613</v>
      </c>
      <c r="I11" s="77">
        <v>82.520177892579881</v>
      </c>
      <c r="J11" s="58"/>
      <c r="K11" s="59"/>
      <c r="L11" s="64">
        <f>L9-L10</f>
        <v>13.575138210748342</v>
      </c>
      <c r="M11" s="64">
        <f>M9-M10</f>
        <v>17.886991080267958</v>
      </c>
      <c r="N11" s="64">
        <f>N9-N10</f>
        <v>23.768361642081242</v>
      </c>
      <c r="O11" s="64">
        <f>O9-O10</f>
        <v>11.107216366132292</v>
      </c>
      <c r="P11" s="64">
        <f>P9-P10</f>
        <v>10.87542558299487</v>
      </c>
      <c r="Q11" s="77">
        <f t="shared" si="0"/>
        <v>77.213132882224699</v>
      </c>
      <c r="R11" s="59"/>
    </row>
    <row r="12" spans="1:18" x14ac:dyDescent="0.3">
      <c r="A12" s="55"/>
      <c r="B12" s="61"/>
      <c r="C12" s="56"/>
      <c r="I12" s="63"/>
      <c r="J12" s="58"/>
      <c r="K12" s="59"/>
      <c r="Q12" s="63"/>
      <c r="R12" s="59"/>
    </row>
    <row r="13" spans="1:18" x14ac:dyDescent="0.3">
      <c r="B13" s="47" t="s">
        <v>86</v>
      </c>
      <c r="C13" s="48"/>
      <c r="D13" s="66"/>
      <c r="E13" s="66"/>
      <c r="F13" s="66"/>
      <c r="G13" s="66"/>
      <c r="H13" s="66"/>
      <c r="I13" s="65"/>
      <c r="J13" s="50"/>
      <c r="K13" s="51"/>
      <c r="L13" s="66"/>
      <c r="M13" s="66"/>
      <c r="N13" s="66"/>
      <c r="O13" s="66"/>
      <c r="P13" s="66"/>
      <c r="Q13" s="65"/>
      <c r="R13" s="59"/>
    </row>
    <row r="14" spans="1:18" x14ac:dyDescent="0.3">
      <c r="A14" s="55"/>
      <c r="B14" s="53" t="s">
        <v>87</v>
      </c>
      <c r="C14" s="56"/>
      <c r="D14" s="60">
        <v>73.647966089338993</v>
      </c>
      <c r="E14" s="60">
        <v>72.220158292513005</v>
      </c>
      <c r="F14" s="60">
        <v>71.247787314774499</v>
      </c>
      <c r="G14" s="60">
        <v>71.505363128309298</v>
      </c>
      <c r="H14" s="60">
        <v>69.962582044472896</v>
      </c>
      <c r="I14" s="57"/>
      <c r="J14" s="58"/>
      <c r="K14" s="59"/>
      <c r="L14" s="60">
        <f>'Final determination totex'!I15</f>
        <v>74.210495794915701</v>
      </c>
      <c r="M14" s="60">
        <f>'Final determination totex'!J15</f>
        <v>72.756349456358194</v>
      </c>
      <c r="N14" s="60">
        <f>'Final determination totex'!K15</f>
        <v>71.703593438292401</v>
      </c>
      <c r="O14" s="60">
        <f>'Final determination totex'!L15</f>
        <v>71.891341300261701</v>
      </c>
      <c r="P14" s="60">
        <f>'Final determination totex'!M15</f>
        <v>70.321080968357194</v>
      </c>
      <c r="Q14" s="57"/>
      <c r="R14" s="59"/>
    </row>
    <row r="15" spans="1:18" x14ac:dyDescent="0.3">
      <c r="A15" s="55"/>
      <c r="B15" s="53" t="s">
        <v>88</v>
      </c>
      <c r="C15" s="56"/>
      <c r="D15" s="60">
        <v>131.104306557618</v>
      </c>
      <c r="E15" s="60">
        <v>136.07133080962299</v>
      </c>
      <c r="F15" s="60">
        <v>122.005374099568</v>
      </c>
      <c r="G15" s="60">
        <v>103.850289941425</v>
      </c>
      <c r="H15" s="60">
        <v>118.241558665114</v>
      </c>
      <c r="I15" s="57"/>
      <c r="J15" s="58"/>
      <c r="K15" s="59"/>
      <c r="L15" s="60">
        <f>'Final determination totex'!I20</f>
        <v>133.64472247217199</v>
      </c>
      <c r="M15" s="60">
        <f>'Final determination totex'!J20</f>
        <v>143.85487176177699</v>
      </c>
      <c r="N15" s="60">
        <f>'Final determination totex'!K20</f>
        <v>139.81587149404399</v>
      </c>
      <c r="O15" s="60">
        <f>'Final determination totex'!L20</f>
        <v>106.197545558123</v>
      </c>
      <c r="P15" s="60">
        <f>'Final determination totex'!M20</f>
        <v>117.565574296835</v>
      </c>
      <c r="Q15" s="57"/>
      <c r="R15" s="59"/>
    </row>
    <row r="16" spans="1:18" x14ac:dyDescent="0.3">
      <c r="A16" s="55"/>
      <c r="B16" s="53" t="s">
        <v>89</v>
      </c>
      <c r="C16" s="56"/>
      <c r="D16" s="60">
        <v>8.1720279162076803</v>
      </c>
      <c r="E16" s="60">
        <v>8.8013816377725504</v>
      </c>
      <c r="F16" s="60">
        <v>9.5758235956349296</v>
      </c>
      <c r="G16" s="60">
        <v>8.8036785491651308</v>
      </c>
      <c r="H16" s="60">
        <v>8.2562480006019996</v>
      </c>
      <c r="I16" s="57"/>
      <c r="J16" s="58"/>
      <c r="K16" s="59"/>
      <c r="L16" s="60">
        <f>'Final determination totex'!I21+'Final determination totex'!I22</f>
        <v>15.6704322666188</v>
      </c>
      <c r="M16" s="60">
        <f>'Final determination totex'!J21+'Final determination totex'!J22</f>
        <v>17.373677698344199</v>
      </c>
      <c r="N16" s="60">
        <f>'Final determination totex'!K21+'Final determination totex'!K22</f>
        <v>19.3147979963639</v>
      </c>
      <c r="O16" s="60">
        <f>'Final determination totex'!L21+'Final determination totex'!L22</f>
        <v>17.4769150108689</v>
      </c>
      <c r="P16" s="60">
        <f>'Final determination totex'!M21+'Final determination totex'!M22</f>
        <v>16.323606909423599</v>
      </c>
      <c r="Q16" s="57"/>
      <c r="R16" s="59"/>
    </row>
    <row r="17" spans="1:18" ht="14.5" thickBot="1" x14ac:dyDescent="0.35">
      <c r="A17" s="55"/>
      <c r="B17" s="53" t="s">
        <v>90</v>
      </c>
      <c r="C17" s="56"/>
      <c r="D17" s="60">
        <v>0</v>
      </c>
      <c r="E17" s="60">
        <v>0</v>
      </c>
      <c r="F17" s="60">
        <v>0</v>
      </c>
      <c r="G17" s="60">
        <v>0</v>
      </c>
      <c r="H17" s="60">
        <v>0</v>
      </c>
      <c r="I17" s="62"/>
      <c r="J17" s="58"/>
      <c r="K17" s="59"/>
      <c r="L17" s="60">
        <f>'Final determination totex'!I16+'Final determination totex'!I17</f>
        <v>0</v>
      </c>
      <c r="M17" s="60">
        <f>'Final determination totex'!J16+'Final determination totex'!J17</f>
        <v>0</v>
      </c>
      <c r="N17" s="60">
        <f>'Final determination totex'!K16+'Final determination totex'!K17</f>
        <v>0</v>
      </c>
      <c r="O17" s="60">
        <f>'Final determination totex'!L16+'Final determination totex'!L17</f>
        <v>0</v>
      </c>
      <c r="P17" s="60">
        <f>'Final determination totex'!M16+'Final determination totex'!M17</f>
        <v>0</v>
      </c>
      <c r="Q17" s="62"/>
      <c r="R17" s="59"/>
    </row>
    <row r="18" spans="1:18" x14ac:dyDescent="0.3">
      <c r="A18" s="55"/>
      <c r="B18" s="61" t="s">
        <v>83</v>
      </c>
      <c r="C18" s="56"/>
      <c r="D18" s="64">
        <v>196.58024473074934</v>
      </c>
      <c r="E18" s="64">
        <v>199.49010746436343</v>
      </c>
      <c r="F18" s="64">
        <v>183.6773378187076</v>
      </c>
      <c r="G18" s="64">
        <v>166.55197452056916</v>
      </c>
      <c r="H18" s="64">
        <v>179.94789270898491</v>
      </c>
      <c r="I18" s="75">
        <v>926.24755724337444</v>
      </c>
      <c r="J18" s="58"/>
      <c r="K18" s="59"/>
      <c r="L18" s="64">
        <f>SUM(L14:L15)-SUM(L16:L17)</f>
        <v>192.1847860004689</v>
      </c>
      <c r="M18" s="64">
        <f>SUM(M14:M15)-SUM(M16:M17)</f>
        <v>199.23754351979099</v>
      </c>
      <c r="N18" s="64">
        <f>SUM(N14:N15)-SUM(N16:N17)</f>
        <v>192.20466693597251</v>
      </c>
      <c r="O18" s="64">
        <f>SUM(O14:O15)-SUM(O16:O17)</f>
        <v>160.61197184751578</v>
      </c>
      <c r="P18" s="64">
        <f>SUM(P14:P15)-SUM(P16:P17)</f>
        <v>171.56304835576859</v>
      </c>
      <c r="Q18" s="75">
        <f>SUM(L18:P18)</f>
        <v>915.80201665951677</v>
      </c>
      <c r="R18" s="59"/>
    </row>
    <row r="19" spans="1:18" x14ac:dyDescent="0.3">
      <c r="A19" s="55"/>
      <c r="B19" s="61" t="s">
        <v>84</v>
      </c>
      <c r="C19" s="56"/>
      <c r="D19" s="64">
        <v>73.647966089338993</v>
      </c>
      <c r="E19" s="64">
        <v>72.220158292513005</v>
      </c>
      <c r="F19" s="64">
        <v>71.247787314774499</v>
      </c>
      <c r="G19" s="64">
        <v>71.505363128309298</v>
      </c>
      <c r="H19" s="64">
        <v>69.962582044472896</v>
      </c>
      <c r="I19" s="76">
        <v>358.58385686940869</v>
      </c>
      <c r="J19" s="58"/>
      <c r="K19" s="59"/>
      <c r="L19" s="64">
        <f>L14-L17</f>
        <v>74.210495794915701</v>
      </c>
      <c r="M19" s="64">
        <f>M14-M17</f>
        <v>72.756349456358194</v>
      </c>
      <c r="N19" s="64">
        <f>N14-N17</f>
        <v>71.703593438292401</v>
      </c>
      <c r="O19" s="64">
        <f>O14-O17</f>
        <v>71.891341300261701</v>
      </c>
      <c r="P19" s="64">
        <f>P14-P17</f>
        <v>70.321080968357194</v>
      </c>
      <c r="Q19" s="76">
        <f t="shared" ref="Q19:Q20" si="1">SUM(L19:P19)</f>
        <v>360.88286095818518</v>
      </c>
      <c r="R19" s="59"/>
    </row>
    <row r="20" spans="1:18" ht="14.5" thickBot="1" x14ac:dyDescent="0.35">
      <c r="A20" s="55"/>
      <c r="B20" s="61" t="s">
        <v>85</v>
      </c>
      <c r="C20" s="56"/>
      <c r="D20" s="64">
        <v>122.93227864141035</v>
      </c>
      <c r="E20" s="64">
        <v>127.26994917185043</v>
      </c>
      <c r="F20" s="64">
        <v>112.4295505039331</v>
      </c>
      <c r="G20" s="64">
        <v>95.046611392259862</v>
      </c>
      <c r="H20" s="64">
        <v>109.98531066451201</v>
      </c>
      <c r="I20" s="77">
        <v>567.66370037396575</v>
      </c>
      <c r="J20" s="58"/>
      <c r="K20" s="59"/>
      <c r="L20" s="64">
        <f>L18-L19</f>
        <v>117.9742902055532</v>
      </c>
      <c r="M20" s="64">
        <f>M18-M19</f>
        <v>126.4811940634328</v>
      </c>
      <c r="N20" s="64">
        <f>N18-N19</f>
        <v>120.50107349768011</v>
      </c>
      <c r="O20" s="64">
        <f>O18-O19</f>
        <v>88.720630547254075</v>
      </c>
      <c r="P20" s="64">
        <f>P18-P19</f>
        <v>101.24196738741139</v>
      </c>
      <c r="Q20" s="77">
        <f t="shared" si="1"/>
        <v>554.91915570133153</v>
      </c>
      <c r="R20" s="59"/>
    </row>
    <row r="21" spans="1:18" x14ac:dyDescent="0.3">
      <c r="A21" s="55"/>
      <c r="B21" s="53"/>
      <c r="C21" s="56"/>
      <c r="I21" s="67"/>
      <c r="J21" s="58"/>
      <c r="K21" s="59"/>
      <c r="Q21" s="67"/>
      <c r="R21" s="59"/>
    </row>
    <row r="22" spans="1:18" x14ac:dyDescent="0.3">
      <c r="B22" s="47" t="s">
        <v>91</v>
      </c>
      <c r="C22" s="56"/>
      <c r="D22" s="60"/>
      <c r="E22" s="60"/>
      <c r="F22" s="60"/>
      <c r="G22" s="60"/>
      <c r="H22" s="60"/>
      <c r="I22" s="57"/>
      <c r="J22" s="58"/>
      <c r="K22" s="59"/>
      <c r="L22" s="60"/>
      <c r="M22" s="60"/>
      <c r="N22" s="60"/>
      <c r="O22" s="60"/>
      <c r="P22" s="60"/>
      <c r="Q22" s="57"/>
      <c r="R22" s="59"/>
    </row>
    <row r="23" spans="1:18" x14ac:dyDescent="0.3">
      <c r="A23" s="68"/>
      <c r="B23" s="69" t="s">
        <v>92</v>
      </c>
      <c r="C23" s="56"/>
      <c r="D23" s="60">
        <v>126.342678437544</v>
      </c>
      <c r="E23" s="60">
        <v>123.778090894484</v>
      </c>
      <c r="F23" s="60">
        <v>122.292797894081</v>
      </c>
      <c r="G23" s="60">
        <v>120.060724925014</v>
      </c>
      <c r="H23" s="60">
        <v>117.367540585383</v>
      </c>
      <c r="I23" s="57"/>
      <c r="J23" s="58"/>
      <c r="K23" s="59"/>
      <c r="L23" s="60">
        <f>'Final determination totex'!I26</f>
        <v>132.753961036893</v>
      </c>
      <c r="M23" s="60">
        <f>'Final determination totex'!J26</f>
        <v>130.046218982108</v>
      </c>
      <c r="N23" s="60">
        <f>'Final determination totex'!K26</f>
        <v>128.23006799380499</v>
      </c>
      <c r="O23" s="60">
        <f>'Final determination totex'!L26</f>
        <v>125.21378971759501</v>
      </c>
      <c r="P23" s="60">
        <f>'Final determination totex'!M26</f>
        <v>122.426993920398</v>
      </c>
      <c r="Q23" s="57"/>
      <c r="R23" s="59"/>
    </row>
    <row r="24" spans="1:18" x14ac:dyDescent="0.3">
      <c r="A24" s="68"/>
      <c r="B24" s="69" t="s">
        <v>93</v>
      </c>
      <c r="C24" s="56"/>
      <c r="D24" s="60">
        <v>220.81539649042301</v>
      </c>
      <c r="E24" s="60">
        <v>318.088769062925</v>
      </c>
      <c r="F24" s="60">
        <v>327.01981658483197</v>
      </c>
      <c r="G24" s="60">
        <v>262.4403424436</v>
      </c>
      <c r="H24" s="60">
        <v>205.62260352401901</v>
      </c>
      <c r="I24" s="57"/>
      <c r="J24" s="58"/>
      <c r="K24" s="59"/>
      <c r="L24" s="60">
        <f>'Final determination totex'!I31</f>
        <v>224.205828826367</v>
      </c>
      <c r="M24" s="60">
        <f>'Final determination totex'!J31</f>
        <v>319.77078641494398</v>
      </c>
      <c r="N24" s="60">
        <f>'Final determination totex'!K31</f>
        <v>332.72590461452</v>
      </c>
      <c r="O24" s="60">
        <f>'Final determination totex'!L31</f>
        <v>272.629792417776</v>
      </c>
      <c r="P24" s="60">
        <f>'Final determination totex'!M31</f>
        <v>212.85576442409501</v>
      </c>
      <c r="Q24" s="57"/>
      <c r="R24" s="59"/>
    </row>
    <row r="25" spans="1:18" x14ac:dyDescent="0.3">
      <c r="A25" s="68"/>
      <c r="B25" s="69" t="s">
        <v>94</v>
      </c>
      <c r="C25" s="56"/>
      <c r="D25" s="60">
        <v>11.333622796998901</v>
      </c>
      <c r="E25" s="60">
        <v>14.632080863634799</v>
      </c>
      <c r="F25" s="60">
        <v>14.2834314955462</v>
      </c>
      <c r="G25" s="60">
        <v>14.6421542001125</v>
      </c>
      <c r="H25" s="60">
        <v>13.52401385109</v>
      </c>
      <c r="I25" s="57"/>
      <c r="J25" s="58"/>
      <c r="K25" s="59"/>
      <c r="L25" s="60">
        <f>'Final determination totex'!I32+'Final determination totex'!I33</f>
        <v>19.1064906891053</v>
      </c>
      <c r="M25" s="60">
        <f>'Final determination totex'!J32+'Final determination totex'!J33</f>
        <v>18.523410238973</v>
      </c>
      <c r="N25" s="60">
        <f>'Final determination totex'!K32+'Final determination totex'!K33</f>
        <v>18.265907705158298</v>
      </c>
      <c r="O25" s="60">
        <f>'Final determination totex'!L32+'Final determination totex'!L33</f>
        <v>18.005445372104301</v>
      </c>
      <c r="P25" s="60">
        <f>'Final determination totex'!M32+'Final determination totex'!M33</f>
        <v>17.465775310814301</v>
      </c>
      <c r="Q25" s="57"/>
      <c r="R25" s="59"/>
    </row>
    <row r="26" spans="1:18" ht="14.5" thickBot="1" x14ac:dyDescent="0.35">
      <c r="A26" s="68"/>
      <c r="B26" s="69" t="s">
        <v>95</v>
      </c>
      <c r="C26" s="56"/>
      <c r="D26" s="60">
        <v>0</v>
      </c>
      <c r="E26" s="60">
        <v>0</v>
      </c>
      <c r="F26" s="60">
        <v>0</v>
      </c>
      <c r="G26" s="60">
        <v>0</v>
      </c>
      <c r="H26" s="60">
        <v>0</v>
      </c>
      <c r="I26" s="62"/>
      <c r="J26" s="58"/>
      <c r="K26" s="59"/>
      <c r="L26" s="60">
        <f>'Final determination totex'!I27+'Final determination totex'!I28</f>
        <v>0</v>
      </c>
      <c r="M26" s="60">
        <f>'Final determination totex'!J27+'Final determination totex'!J28</f>
        <v>0</v>
      </c>
      <c r="N26" s="60">
        <f>'Final determination totex'!K27+'Final determination totex'!K28</f>
        <v>0</v>
      </c>
      <c r="O26" s="60">
        <f>'Final determination totex'!L27+'Final determination totex'!L28</f>
        <v>0</v>
      </c>
      <c r="P26" s="60">
        <f>'Final determination totex'!M27+'Final determination totex'!M28</f>
        <v>0</v>
      </c>
      <c r="Q26" s="62"/>
      <c r="R26" s="59"/>
    </row>
    <row r="27" spans="1:18" x14ac:dyDescent="0.3">
      <c r="A27" s="68"/>
      <c r="B27" s="61" t="s">
        <v>83</v>
      </c>
      <c r="C27" s="56"/>
      <c r="D27" s="64">
        <v>335.8244521309681</v>
      </c>
      <c r="E27" s="64">
        <v>427.23477909377419</v>
      </c>
      <c r="F27" s="64">
        <v>435.02918298336675</v>
      </c>
      <c r="G27" s="64">
        <v>367.85891316850154</v>
      </c>
      <c r="H27" s="64">
        <v>309.46613025831203</v>
      </c>
      <c r="I27" s="75">
        <v>1875.4134576349227</v>
      </c>
      <c r="J27" s="58"/>
      <c r="K27" s="59"/>
      <c r="L27" s="64">
        <f>SUM(L23:L24)-SUM(L25:L26)</f>
        <v>337.8532991741547</v>
      </c>
      <c r="M27" s="64">
        <f>SUM(M23:M24)-SUM(M25:M26)</f>
        <v>431.29359515807897</v>
      </c>
      <c r="N27" s="64">
        <f>SUM(N23:N24)-SUM(N25:N26)</f>
        <v>442.69006490316667</v>
      </c>
      <c r="O27" s="64">
        <f>SUM(O23:O24)-SUM(O25:O26)</f>
        <v>379.83813676326668</v>
      </c>
      <c r="P27" s="64">
        <f>SUM(P23:P24)-SUM(P25:P26)</f>
        <v>317.8169830336787</v>
      </c>
      <c r="Q27" s="75">
        <f>SUM(L27:P27)</f>
        <v>1909.4920790323456</v>
      </c>
      <c r="R27" s="59"/>
    </row>
    <row r="28" spans="1:18" x14ac:dyDescent="0.3">
      <c r="A28" s="68"/>
      <c r="B28" s="61" t="s">
        <v>84</v>
      </c>
      <c r="C28" s="56"/>
      <c r="D28" s="64">
        <v>126.342678437544</v>
      </c>
      <c r="E28" s="64">
        <v>123.778090894484</v>
      </c>
      <c r="F28" s="64">
        <v>122.292797894081</v>
      </c>
      <c r="G28" s="64">
        <v>120.060724925014</v>
      </c>
      <c r="H28" s="64">
        <v>117.367540585383</v>
      </c>
      <c r="I28" s="76">
        <v>609.84183273650603</v>
      </c>
      <c r="J28" s="58"/>
      <c r="K28" s="59"/>
      <c r="L28" s="64">
        <f>L23-L26</f>
        <v>132.753961036893</v>
      </c>
      <c r="M28" s="64">
        <f>M23-M26</f>
        <v>130.046218982108</v>
      </c>
      <c r="N28" s="64">
        <f>N23-N26</f>
        <v>128.23006799380499</v>
      </c>
      <c r="O28" s="64">
        <f>O23-O26</f>
        <v>125.21378971759501</v>
      </c>
      <c r="P28" s="64">
        <f>P23-P26</f>
        <v>122.426993920398</v>
      </c>
      <c r="Q28" s="76">
        <f t="shared" ref="Q28:Q29" si="2">SUM(L28:P28)</f>
        <v>638.67103165079902</v>
      </c>
      <c r="R28" s="59"/>
    </row>
    <row r="29" spans="1:18" ht="14.5" thickBot="1" x14ac:dyDescent="0.35">
      <c r="A29" s="68"/>
      <c r="B29" s="61" t="s">
        <v>85</v>
      </c>
      <c r="C29" s="56"/>
      <c r="D29" s="64">
        <v>209.48177369342409</v>
      </c>
      <c r="E29" s="64">
        <v>303.45668819929017</v>
      </c>
      <c r="F29" s="64">
        <v>312.73638508928576</v>
      </c>
      <c r="G29" s="64">
        <v>247.79818824348754</v>
      </c>
      <c r="H29" s="64">
        <v>192.09858967292905</v>
      </c>
      <c r="I29" s="77">
        <v>1265.5716248984168</v>
      </c>
      <c r="J29" s="58"/>
      <c r="K29" s="59"/>
      <c r="L29" s="64">
        <f>L27-L28</f>
        <v>205.0993381372617</v>
      </c>
      <c r="M29" s="64">
        <f>M27-M28</f>
        <v>301.247376175971</v>
      </c>
      <c r="N29" s="64">
        <f>N27-N28</f>
        <v>314.45999690936168</v>
      </c>
      <c r="O29" s="64">
        <f>O27-O28</f>
        <v>254.62434704567167</v>
      </c>
      <c r="P29" s="64">
        <f>P27-P28</f>
        <v>195.38998911328071</v>
      </c>
      <c r="Q29" s="77">
        <f t="shared" si="2"/>
        <v>1270.8210473815468</v>
      </c>
      <c r="R29" s="59"/>
    </row>
    <row r="30" spans="1:18" x14ac:dyDescent="0.3">
      <c r="A30" s="68"/>
      <c r="B30" s="69"/>
      <c r="C30" s="56"/>
      <c r="I30" s="67"/>
      <c r="J30" s="58"/>
      <c r="K30" s="59"/>
      <c r="Q30" s="67"/>
      <c r="R30" s="59"/>
    </row>
    <row r="31" spans="1:18" x14ac:dyDescent="0.3">
      <c r="A31" s="53"/>
      <c r="B31" s="47" t="s">
        <v>96</v>
      </c>
      <c r="C31" s="56"/>
      <c r="D31" s="60"/>
      <c r="E31" s="60"/>
      <c r="F31" s="60"/>
      <c r="G31" s="60"/>
      <c r="H31" s="60"/>
      <c r="I31" s="57"/>
      <c r="J31" s="58"/>
      <c r="K31" s="59"/>
      <c r="L31" s="60"/>
      <c r="M31" s="60"/>
      <c r="N31" s="60"/>
      <c r="O31" s="60"/>
      <c r="P31" s="60"/>
      <c r="Q31" s="57"/>
      <c r="R31" s="59"/>
    </row>
    <row r="32" spans="1:18" x14ac:dyDescent="0.3">
      <c r="A32" s="68"/>
      <c r="B32" s="69" t="s">
        <v>97</v>
      </c>
      <c r="C32" s="56"/>
      <c r="D32" s="60">
        <v>21.689069899943501</v>
      </c>
      <c r="E32" s="60">
        <v>21.215600303221699</v>
      </c>
      <c r="F32" s="60">
        <v>21.209356748099999</v>
      </c>
      <c r="G32" s="60">
        <v>20.956492765674898</v>
      </c>
      <c r="H32" s="60">
        <v>20.340461993676399</v>
      </c>
      <c r="I32" s="57"/>
      <c r="J32" s="58"/>
      <c r="K32" s="59"/>
      <c r="L32" s="60">
        <f>'Final determination totex'!I37</f>
        <v>20.340347440952101</v>
      </c>
      <c r="M32" s="60">
        <f>'Final determination totex'!J37</f>
        <v>19.896640187887702</v>
      </c>
      <c r="N32" s="60">
        <f>'Final determination totex'!K37</f>
        <v>19.8868669003752</v>
      </c>
      <c r="O32" s="60">
        <f>'Final determination totex'!L37</f>
        <v>19.641999630849501</v>
      </c>
      <c r="P32" s="60">
        <f>'Final determination totex'!M37</f>
        <v>19.061936240087299</v>
      </c>
      <c r="Q32" s="57"/>
      <c r="R32" s="59"/>
    </row>
    <row r="33" spans="1:18" x14ac:dyDescent="0.3">
      <c r="A33" s="55"/>
      <c r="B33" s="53" t="s">
        <v>98</v>
      </c>
      <c r="C33" s="56"/>
      <c r="D33" s="60">
        <v>16.058423772773999</v>
      </c>
      <c r="E33" s="60">
        <v>21.130271716559701</v>
      </c>
      <c r="F33" s="60">
        <v>39.649696799767199</v>
      </c>
      <c r="G33" s="60">
        <v>17.268632873845601</v>
      </c>
      <c r="H33" s="60">
        <v>11.690016372689399</v>
      </c>
      <c r="I33" s="57"/>
      <c r="J33" s="58"/>
      <c r="K33" s="59"/>
      <c r="L33" s="60">
        <f>'Final determination totex'!I40</f>
        <v>15.0545978429582</v>
      </c>
      <c r="M33" s="60">
        <f>'Final determination totex'!J40</f>
        <v>19.7899725669734</v>
      </c>
      <c r="N33" s="60">
        <f>'Final determination totex'!K40</f>
        <v>36.985527295168801</v>
      </c>
      <c r="O33" s="60">
        <f>'Final determination totex'!L40</f>
        <v>16.102818847816501</v>
      </c>
      <c r="P33" s="60">
        <f>'Final determination totex'!M40</f>
        <v>10.984452313262301</v>
      </c>
      <c r="Q33" s="57"/>
      <c r="R33" s="59"/>
    </row>
    <row r="34" spans="1:18" x14ac:dyDescent="0.3">
      <c r="A34" s="55"/>
      <c r="B34" s="53" t="s">
        <v>99</v>
      </c>
      <c r="C34" s="56"/>
      <c r="D34" s="60"/>
      <c r="E34" s="60"/>
      <c r="F34" s="60"/>
      <c r="G34" s="60"/>
      <c r="H34" s="60"/>
      <c r="I34" s="57"/>
      <c r="J34" s="58"/>
      <c r="K34" s="59"/>
      <c r="L34" s="60"/>
      <c r="M34" s="60"/>
      <c r="N34" s="60"/>
      <c r="O34" s="60"/>
      <c r="P34" s="60"/>
      <c r="Q34" s="57"/>
      <c r="R34" s="59"/>
    </row>
    <row r="35" spans="1:18" ht="14.5" thickBot="1" x14ac:dyDescent="0.35">
      <c r="A35" s="55"/>
      <c r="B35" s="53" t="s">
        <v>100</v>
      </c>
      <c r="C35" s="56"/>
      <c r="D35" s="60"/>
      <c r="E35" s="60"/>
      <c r="F35" s="60"/>
      <c r="G35" s="60"/>
      <c r="H35" s="60"/>
      <c r="I35" s="62"/>
      <c r="J35" s="58"/>
      <c r="K35" s="59"/>
      <c r="L35" s="60"/>
      <c r="M35" s="60"/>
      <c r="N35" s="60"/>
      <c r="O35" s="60"/>
      <c r="P35" s="60"/>
      <c r="Q35" s="62"/>
      <c r="R35" s="59"/>
    </row>
    <row r="36" spans="1:18" x14ac:dyDescent="0.3">
      <c r="A36" s="55"/>
      <c r="B36" s="61" t="s">
        <v>83</v>
      </c>
      <c r="C36" s="56"/>
      <c r="D36" s="64">
        <v>37.747493672717496</v>
      </c>
      <c r="E36" s="64">
        <v>42.345872019781396</v>
      </c>
      <c r="F36" s="64">
        <v>60.859053547867198</v>
      </c>
      <c r="G36" s="64">
        <v>38.225125639520499</v>
      </c>
      <c r="H36" s="64">
        <v>32.030478366365799</v>
      </c>
      <c r="I36" s="75">
        <v>211.20802324625237</v>
      </c>
      <c r="J36" s="58"/>
      <c r="K36" s="59"/>
      <c r="L36" s="64">
        <f>SUM(L32:L33)-SUM(L34:L35)</f>
        <v>35.394945283910303</v>
      </c>
      <c r="M36" s="64">
        <f>SUM(M32:M33)-SUM(M34:M35)</f>
        <v>39.686612754861102</v>
      </c>
      <c r="N36" s="64">
        <f>SUM(N32:N33)-SUM(N34:N35)</f>
        <v>56.872394195544004</v>
      </c>
      <c r="O36" s="64">
        <f>SUM(O32:O33)-SUM(O34:O35)</f>
        <v>35.744818478666005</v>
      </c>
      <c r="P36" s="64">
        <f>SUM(P32:P33)-SUM(P34:P35)</f>
        <v>30.046388553349601</v>
      </c>
      <c r="Q36" s="75">
        <f>SUM(L36:P36)</f>
        <v>197.745159266331</v>
      </c>
      <c r="R36" s="59"/>
    </row>
    <row r="37" spans="1:18" x14ac:dyDescent="0.3">
      <c r="B37" s="61" t="s">
        <v>84</v>
      </c>
      <c r="C37" s="56"/>
      <c r="D37" s="64">
        <v>21.689069899943501</v>
      </c>
      <c r="E37" s="64">
        <v>21.215600303221699</v>
      </c>
      <c r="F37" s="64">
        <v>21.209356748099999</v>
      </c>
      <c r="G37" s="64">
        <v>20.956492765674898</v>
      </c>
      <c r="H37" s="64">
        <v>20.340461993676399</v>
      </c>
      <c r="I37" s="76">
        <v>105.4109817106165</v>
      </c>
      <c r="J37" s="58"/>
      <c r="K37" s="59"/>
      <c r="L37" s="64">
        <f>L32-L35</f>
        <v>20.340347440952101</v>
      </c>
      <c r="M37" s="64">
        <f>M32-M35</f>
        <v>19.896640187887702</v>
      </c>
      <c r="N37" s="64">
        <f>N32-N35</f>
        <v>19.8868669003752</v>
      </c>
      <c r="O37" s="64">
        <f>O32-O35</f>
        <v>19.641999630849501</v>
      </c>
      <c r="P37" s="64">
        <f>P32-P35</f>
        <v>19.061936240087299</v>
      </c>
      <c r="Q37" s="76">
        <f t="shared" ref="Q37:Q38" si="3">SUM(L37:P37)</f>
        <v>98.827790400151798</v>
      </c>
      <c r="R37" s="59"/>
    </row>
    <row r="38" spans="1:18" ht="14.5" thickBot="1" x14ac:dyDescent="0.35">
      <c r="B38" s="61" t="s">
        <v>85</v>
      </c>
      <c r="C38" s="56"/>
      <c r="D38" s="64">
        <v>16.058423772773995</v>
      </c>
      <c r="E38" s="64">
        <v>21.130271716559697</v>
      </c>
      <c r="F38" s="64">
        <v>39.649696799767199</v>
      </c>
      <c r="G38" s="64">
        <v>17.268632873845601</v>
      </c>
      <c r="H38" s="64">
        <v>11.690016372689399</v>
      </c>
      <c r="I38" s="77">
        <v>105.7970415356359</v>
      </c>
      <c r="K38" s="59"/>
      <c r="L38" s="64">
        <f>L36-L37</f>
        <v>15.054597842958202</v>
      </c>
      <c r="M38" s="64">
        <f>M36-M37</f>
        <v>19.7899725669734</v>
      </c>
      <c r="N38" s="64">
        <f>N36-N37</f>
        <v>36.985527295168808</v>
      </c>
      <c r="O38" s="64">
        <f>O36-O37</f>
        <v>16.102818847816504</v>
      </c>
      <c r="P38" s="64">
        <f>P36-P37</f>
        <v>10.984452313262302</v>
      </c>
      <c r="Q38" s="77">
        <f t="shared" si="3"/>
        <v>98.917368866179231</v>
      </c>
      <c r="R38" s="5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52"/>
  <sheetViews>
    <sheetView zoomScale="90" zoomScaleNormal="90" workbookViewId="0"/>
  </sheetViews>
  <sheetFormatPr defaultRowHeight="14" x14ac:dyDescent="0.3"/>
  <cols>
    <col min="1" max="1" width="33.58203125" customWidth="1"/>
    <col min="2" max="7" width="9" style="22"/>
    <col min="8" max="8" width="3.25" customWidth="1"/>
  </cols>
  <sheetData>
    <row r="1" spans="1:15" s="1" customFormat="1" ht="20" x14ac:dyDescent="0.3">
      <c r="A1" s="11" t="s">
        <v>0</v>
      </c>
      <c r="B1" s="132" t="s">
        <v>123</v>
      </c>
      <c r="C1" s="131"/>
      <c r="D1" s="131"/>
      <c r="E1" s="131"/>
      <c r="F1" s="131"/>
      <c r="G1" s="131"/>
      <c r="I1" s="132" t="s">
        <v>158</v>
      </c>
      <c r="J1" s="131"/>
      <c r="K1" s="131"/>
      <c r="L1" s="131"/>
      <c r="M1" s="131"/>
      <c r="N1" s="131"/>
    </row>
    <row r="2" spans="1:15" s="1" customFormat="1" ht="14.5" thickBot="1" x14ac:dyDescent="0.35">
      <c r="A2" s="12"/>
      <c r="B2" s="13"/>
      <c r="C2" s="13"/>
      <c r="D2" s="13"/>
      <c r="E2" s="13"/>
      <c r="F2" s="13"/>
      <c r="G2" s="13"/>
      <c r="I2" s="13"/>
      <c r="J2" s="13"/>
      <c r="K2" s="13"/>
      <c r="L2" s="13"/>
      <c r="M2" s="13"/>
      <c r="N2" s="13"/>
    </row>
    <row r="3" spans="1:15" s="1" customFormat="1" ht="14.5" thickBot="1" x14ac:dyDescent="0.35">
      <c r="A3" s="23"/>
      <c r="B3" s="15" t="s">
        <v>3</v>
      </c>
      <c r="C3" s="15" t="s">
        <v>4</v>
      </c>
      <c r="D3" s="15" t="s">
        <v>5</v>
      </c>
      <c r="E3" s="15" t="s">
        <v>6</v>
      </c>
      <c r="F3" s="16" t="s">
        <v>7</v>
      </c>
      <c r="G3" s="16" t="s">
        <v>101</v>
      </c>
      <c r="I3" s="15" t="s">
        <v>3</v>
      </c>
      <c r="J3" s="15" t="s">
        <v>4</v>
      </c>
      <c r="K3" s="15" t="s">
        <v>5</v>
      </c>
      <c r="L3" s="15" t="s">
        <v>6</v>
      </c>
      <c r="M3" s="16" t="s">
        <v>7</v>
      </c>
      <c r="N3" s="16" t="s">
        <v>101</v>
      </c>
    </row>
    <row r="4" spans="1:15" s="28" customFormat="1" ht="15" thickBot="1" x14ac:dyDescent="0.35">
      <c r="A4" s="33"/>
      <c r="B4" s="42"/>
      <c r="C4" s="34"/>
      <c r="D4" s="34"/>
      <c r="E4" s="34"/>
      <c r="F4" s="34"/>
      <c r="G4" s="34"/>
      <c r="H4"/>
      <c r="I4" s="34"/>
      <c r="J4" s="34"/>
      <c r="K4" s="34"/>
      <c r="L4" s="34"/>
      <c r="M4" s="34"/>
      <c r="N4" s="34"/>
    </row>
    <row r="5" spans="1:15" s="1" customFormat="1" ht="14.5" thickBot="1" x14ac:dyDescent="0.35">
      <c r="A5" s="24" t="s">
        <v>102</v>
      </c>
      <c r="C5" s="13"/>
      <c r="D5" s="13"/>
      <c r="E5" s="13"/>
      <c r="F5" s="13"/>
      <c r="G5" s="13"/>
      <c r="H5" s="13"/>
      <c r="I5" s="13"/>
      <c r="J5" s="13"/>
      <c r="K5" s="13"/>
      <c r="L5" s="13"/>
      <c r="M5" s="13"/>
      <c r="N5" s="13"/>
    </row>
    <row r="6" spans="1:15" s="1" customFormat="1" ht="14.5" thickBot="1" x14ac:dyDescent="0.35">
      <c r="A6" s="25" t="s">
        <v>103</v>
      </c>
      <c r="B6" s="26">
        <f>Calculation!D10</f>
        <v>17.706957325776401</v>
      </c>
      <c r="C6" s="26">
        <f>Calculation!E10</f>
        <v>17.496347323854302</v>
      </c>
      <c r="D6" s="26">
        <f>Calculation!F10</f>
        <v>17.365370954499799</v>
      </c>
      <c r="E6" s="26">
        <f>Calculation!G10</f>
        <v>17.170478116900298</v>
      </c>
      <c r="F6" s="26">
        <f>Calculation!H10</f>
        <v>16.909573189146101</v>
      </c>
      <c r="G6" s="27">
        <f>SUM(B6:F6)</f>
        <v>86.648726910176904</v>
      </c>
      <c r="I6" s="26">
        <f>Calculation!L10</f>
        <v>15.907215644376684</v>
      </c>
      <c r="J6" s="26">
        <f>Calculation!M10</f>
        <v>15.710491053763516</v>
      </c>
      <c r="K6" s="26">
        <f>Calculation!N10</f>
        <v>16.058556961191545</v>
      </c>
      <c r="L6" s="26">
        <f>Calculation!O10</f>
        <v>15.894064227415122</v>
      </c>
      <c r="M6" s="26">
        <f>Calculation!P10</f>
        <v>15.681152282969231</v>
      </c>
      <c r="N6" s="27">
        <f>SUM(I6:M6)</f>
        <v>79.251480169716103</v>
      </c>
    </row>
    <row r="7" spans="1:15" s="28" customFormat="1" ht="14.5" x14ac:dyDescent="0.3">
      <c r="A7" s="25" t="s">
        <v>27</v>
      </c>
      <c r="B7" s="26">
        <f>Calculation!D9</f>
        <v>37.298390177857996</v>
      </c>
      <c r="C7" s="26">
        <f>Calculation!E9</f>
        <v>34.822613002380301</v>
      </c>
      <c r="D7" s="26">
        <f>Calculation!F9</f>
        <v>31.908885648310196</v>
      </c>
      <c r="E7" s="26">
        <f>Calculation!G9</f>
        <v>32.528744513449197</v>
      </c>
      <c r="F7" s="26">
        <f>Calculation!H9</f>
        <v>32.610271460759101</v>
      </c>
      <c r="G7" s="27">
        <f>SUM(B7:F7)</f>
        <v>169.16890480275677</v>
      </c>
      <c r="I7" s="26">
        <f>Calculation!L9</f>
        <v>29.482353855125027</v>
      </c>
      <c r="J7" s="26">
        <f>Calculation!M9</f>
        <v>33.597482134031473</v>
      </c>
      <c r="K7" s="26">
        <f>Calculation!N9</f>
        <v>39.826918603272787</v>
      </c>
      <c r="L7" s="26">
        <f>Calculation!O9</f>
        <v>27.001280593547413</v>
      </c>
      <c r="M7" s="26">
        <f>Calculation!P9</f>
        <v>26.556577865964101</v>
      </c>
      <c r="N7" s="27">
        <f>SUM(I7:M7)</f>
        <v>156.4646130519408</v>
      </c>
      <c r="O7" s="29"/>
    </row>
    <row r="8" spans="1:15" s="28" customFormat="1" ht="15" thickBot="1" x14ac:dyDescent="0.35">
      <c r="A8" s="30" t="s">
        <v>107</v>
      </c>
      <c r="B8" s="31">
        <f t="shared" ref="B8:G8" si="0">B6/B7</f>
        <v>0.47473784368012878</v>
      </c>
      <c r="C8" s="31">
        <f t="shared" si="0"/>
        <v>0.50244211491706092</v>
      </c>
      <c r="D8" s="31">
        <f t="shared" si="0"/>
        <v>0.54421740533014884</v>
      </c>
      <c r="E8" s="31">
        <f t="shared" si="0"/>
        <v>0.52785554357319464</v>
      </c>
      <c r="F8" s="31">
        <f t="shared" si="0"/>
        <v>0.51853518635972984</v>
      </c>
      <c r="G8" s="32">
        <f t="shared" si="0"/>
        <v>0.51220244649101065</v>
      </c>
      <c r="I8" s="31">
        <f t="shared" ref="I8:N8" si="1">I6/I7</f>
        <v>0.53955039419661111</v>
      </c>
      <c r="J8" s="31">
        <f t="shared" si="1"/>
        <v>0.46760917949414094</v>
      </c>
      <c r="K8" s="31">
        <f t="shared" si="1"/>
        <v>0.4032086218156965</v>
      </c>
      <c r="L8" s="31">
        <f t="shared" si="1"/>
        <v>0.58864112656987755</v>
      </c>
      <c r="M8" s="31">
        <f t="shared" si="1"/>
        <v>0.59048091068491093</v>
      </c>
      <c r="N8" s="32">
        <f t="shared" si="1"/>
        <v>0.50651376451113184</v>
      </c>
    </row>
    <row r="9" spans="1:15" s="28" customFormat="1" ht="15" thickBot="1" x14ac:dyDescent="0.35">
      <c r="A9" s="33"/>
      <c r="B9" s="34"/>
      <c r="C9" s="34"/>
      <c r="D9" s="34"/>
      <c r="E9" s="34"/>
      <c r="F9" s="34"/>
      <c r="G9" s="34"/>
      <c r="I9" s="34"/>
      <c r="J9" s="34"/>
      <c r="K9" s="34"/>
      <c r="L9" s="34"/>
      <c r="M9" s="34"/>
      <c r="N9" s="34"/>
      <c r="O9" s="1"/>
    </row>
    <row r="10" spans="1:15" s="29" customFormat="1" ht="14.5" x14ac:dyDescent="0.3">
      <c r="A10" s="124" t="s">
        <v>164</v>
      </c>
      <c r="B10" s="125">
        <v>0.47473784368012878</v>
      </c>
      <c r="C10" s="125">
        <v>0.50244211491706092</v>
      </c>
      <c r="D10" s="125">
        <v>0.54421740533014884</v>
      </c>
      <c r="E10" s="125">
        <v>0.52785554357319475</v>
      </c>
      <c r="F10" s="125">
        <v>0.51853518635972973</v>
      </c>
      <c r="G10" s="126">
        <v>0.51220244649101065</v>
      </c>
      <c r="I10" s="35">
        <f>I8*I11</f>
        <v>0.53955039419661111</v>
      </c>
      <c r="J10" s="35">
        <f>J8*J11</f>
        <v>0.46760917949414094</v>
      </c>
      <c r="K10" s="35">
        <f>K8*K11</f>
        <v>0.4032086218156965</v>
      </c>
      <c r="L10" s="35">
        <f>L8*L11</f>
        <v>0.58864112656987766</v>
      </c>
      <c r="M10" s="36">
        <f>M8*M11</f>
        <v>0.59048091068491082</v>
      </c>
      <c r="N10" s="36">
        <f>SUMPRODUCT(I7:M7,I10:M10)/N7</f>
        <v>0.50651376451113173</v>
      </c>
      <c r="O10" s="1"/>
    </row>
    <row r="11" spans="1:15" s="29" customFormat="1" ht="15" thickBot="1" x14ac:dyDescent="0.35">
      <c r="A11" s="37" t="s">
        <v>108</v>
      </c>
      <c r="B11" s="38">
        <f t="shared" ref="B11:G11" si="2">B10/B8</f>
        <v>1</v>
      </c>
      <c r="C11" s="38">
        <f t="shared" si="2"/>
        <v>1</v>
      </c>
      <c r="D11" s="38">
        <f t="shared" si="2"/>
        <v>1</v>
      </c>
      <c r="E11" s="38">
        <f t="shared" si="2"/>
        <v>1.0000000000000002</v>
      </c>
      <c r="F11" s="39">
        <f t="shared" si="2"/>
        <v>0.99999999999999978</v>
      </c>
      <c r="G11" s="39">
        <f t="shared" si="2"/>
        <v>1</v>
      </c>
      <c r="I11" s="40">
        <f>B11</f>
        <v>1</v>
      </c>
      <c r="J11" s="40">
        <f>C11</f>
        <v>1</v>
      </c>
      <c r="K11" s="40">
        <f>D11</f>
        <v>1</v>
      </c>
      <c r="L11" s="40">
        <f>E11</f>
        <v>1.0000000000000002</v>
      </c>
      <c r="M11" s="41">
        <f>F11</f>
        <v>0.99999999999999978</v>
      </c>
      <c r="N11" s="41">
        <f>N10/N8</f>
        <v>0.99999999999999978</v>
      </c>
    </row>
    <row r="12" spans="1:15" s="28" customFormat="1" ht="15" thickBot="1" x14ac:dyDescent="0.35">
      <c r="A12" s="33"/>
      <c r="B12" s="34"/>
      <c r="C12" s="34"/>
      <c r="D12" s="34"/>
      <c r="E12" s="34"/>
      <c r="F12" s="34"/>
      <c r="G12" s="34"/>
    </row>
    <row r="13" spans="1:15" s="28" customFormat="1" ht="15" thickBot="1" x14ac:dyDescent="0.35">
      <c r="A13" s="37" t="s">
        <v>167</v>
      </c>
      <c r="B13" s="34"/>
      <c r="C13" s="34"/>
      <c r="D13" s="34"/>
      <c r="E13" s="34"/>
      <c r="F13" s="34"/>
      <c r="G13" s="34"/>
      <c r="I13" s="26">
        <f>(I10-I8)*I7</f>
        <v>0</v>
      </c>
      <c r="J13" s="26">
        <f t="shared" ref="J13:M13" si="3">(J10-J8)*J7</f>
        <v>0</v>
      </c>
      <c r="K13" s="26">
        <f t="shared" si="3"/>
        <v>0</v>
      </c>
      <c r="L13" s="26">
        <f t="shared" si="3"/>
        <v>2.9977443409320751E-15</v>
      </c>
      <c r="M13" s="26">
        <f t="shared" si="3"/>
        <v>-2.9483724202044149E-15</v>
      </c>
      <c r="N13" s="26">
        <f>SUM(I13:M13)</f>
        <v>4.937192072766019E-17</v>
      </c>
    </row>
    <row r="14" spans="1:15" s="28" customFormat="1" ht="15" thickBot="1" x14ac:dyDescent="0.35">
      <c r="A14" s="33"/>
      <c r="B14" s="42"/>
      <c r="C14" s="34"/>
      <c r="D14" s="34"/>
      <c r="E14" s="34"/>
      <c r="F14" s="34"/>
      <c r="G14" s="34"/>
      <c r="H14"/>
      <c r="I14" s="34"/>
      <c r="J14" s="34"/>
      <c r="K14" s="34"/>
      <c r="L14" s="34"/>
      <c r="M14" s="34"/>
      <c r="N14" s="34"/>
    </row>
    <row r="15" spans="1:15" s="1" customFormat="1" ht="14.5" thickBot="1" x14ac:dyDescent="0.35">
      <c r="A15" s="24" t="s">
        <v>104</v>
      </c>
      <c r="B15" s="13"/>
      <c r="C15" s="13"/>
      <c r="D15" s="13"/>
      <c r="E15" s="13"/>
      <c r="F15" s="13"/>
      <c r="G15" s="13"/>
    </row>
    <row r="16" spans="1:15" s="1" customFormat="1" ht="15" thickBot="1" x14ac:dyDescent="0.35">
      <c r="A16" s="25" t="s">
        <v>103</v>
      </c>
      <c r="B16" s="26">
        <f>Calculation!D19</f>
        <v>73.647966089338993</v>
      </c>
      <c r="C16" s="26">
        <f>Calculation!E19</f>
        <v>72.220158292513005</v>
      </c>
      <c r="D16" s="26">
        <f>Calculation!F19</f>
        <v>71.247787314774499</v>
      </c>
      <c r="E16" s="26">
        <f>Calculation!G19</f>
        <v>71.505363128309298</v>
      </c>
      <c r="F16" s="26">
        <f>Calculation!H19</f>
        <v>69.962582044472896</v>
      </c>
      <c r="G16" s="27">
        <f>SUM(B16:F16)</f>
        <v>358.58385686940869</v>
      </c>
      <c r="I16" s="26">
        <f>Calculation!L19</f>
        <v>74.210495794915701</v>
      </c>
      <c r="J16" s="26">
        <f>Calculation!M19</f>
        <v>72.756349456358194</v>
      </c>
      <c r="K16" s="26">
        <f>Calculation!N19</f>
        <v>71.703593438292401</v>
      </c>
      <c r="L16" s="26">
        <f>Calculation!O19</f>
        <v>71.891341300261701</v>
      </c>
      <c r="M16" s="26">
        <f>Calculation!P19</f>
        <v>70.321080968357194</v>
      </c>
      <c r="N16" s="27">
        <f>SUM(I16:M16)</f>
        <v>360.88286095818518</v>
      </c>
      <c r="O16" s="29"/>
    </row>
    <row r="17" spans="1:15" s="28" customFormat="1" ht="14.5" x14ac:dyDescent="0.3">
      <c r="A17" s="25" t="s">
        <v>27</v>
      </c>
      <c r="B17" s="26">
        <f>Calculation!D18</f>
        <v>196.58024473074934</v>
      </c>
      <c r="C17" s="26">
        <f>Calculation!E18</f>
        <v>199.49010746436343</v>
      </c>
      <c r="D17" s="26">
        <f>Calculation!F18</f>
        <v>183.6773378187076</v>
      </c>
      <c r="E17" s="26">
        <f>Calculation!G18</f>
        <v>166.55197452056916</v>
      </c>
      <c r="F17" s="26">
        <f>Calculation!H18</f>
        <v>179.94789270898491</v>
      </c>
      <c r="G17" s="27">
        <f>SUM(B17:F17)</f>
        <v>926.24755724337444</v>
      </c>
      <c r="I17" s="26">
        <f>Calculation!L18</f>
        <v>192.1847860004689</v>
      </c>
      <c r="J17" s="26">
        <f>Calculation!M18</f>
        <v>199.23754351979099</v>
      </c>
      <c r="K17" s="26">
        <f>Calculation!N18</f>
        <v>192.20466693597251</v>
      </c>
      <c r="L17" s="26">
        <f>Calculation!O18</f>
        <v>160.61197184751578</v>
      </c>
      <c r="M17" s="26">
        <f>Calculation!P18</f>
        <v>171.56304835576859</v>
      </c>
      <c r="N17" s="27">
        <f>SUM(I17:M17)</f>
        <v>915.80201665951677</v>
      </c>
      <c r="O17"/>
    </row>
    <row r="18" spans="1:15" s="28" customFormat="1" ht="15" thickBot="1" x14ac:dyDescent="0.35">
      <c r="A18" s="30" t="s">
        <v>107</v>
      </c>
      <c r="B18" s="31">
        <f t="shared" ref="B18:G18" si="4">B16/B17</f>
        <v>0.37464581545420611</v>
      </c>
      <c r="C18" s="31">
        <f t="shared" si="4"/>
        <v>0.36202375752098026</v>
      </c>
      <c r="D18" s="31">
        <f t="shared" si="4"/>
        <v>0.38789645016031959</v>
      </c>
      <c r="E18" s="31">
        <f t="shared" si="4"/>
        <v>0.42932762180780026</v>
      </c>
      <c r="F18" s="31">
        <f t="shared" si="4"/>
        <v>0.38879356124285208</v>
      </c>
      <c r="G18" s="32">
        <f t="shared" si="4"/>
        <v>0.38713608912135533</v>
      </c>
      <c r="I18" s="31">
        <f t="shared" ref="I18:N18" si="5">I16/I17</f>
        <v>0.38614136602225441</v>
      </c>
      <c r="J18" s="31">
        <f t="shared" si="5"/>
        <v>0.36517389328849581</v>
      </c>
      <c r="K18" s="31">
        <f t="shared" si="5"/>
        <v>0.37305854525467064</v>
      </c>
      <c r="L18" s="31">
        <f t="shared" si="5"/>
        <v>0.44760885800290773</v>
      </c>
      <c r="M18" s="31">
        <f t="shared" si="5"/>
        <v>0.40988477205495361</v>
      </c>
      <c r="N18" s="32">
        <f t="shared" si="5"/>
        <v>0.39406209463759756</v>
      </c>
    </row>
    <row r="19" spans="1:15" s="1" customFormat="1" ht="14.5" thickBot="1" x14ac:dyDescent="0.35">
      <c r="A19" s="43"/>
      <c r="B19" s="13"/>
      <c r="C19" s="13"/>
      <c r="D19" s="13"/>
      <c r="E19" s="13"/>
      <c r="F19" s="13"/>
      <c r="G19" s="34"/>
      <c r="I19" s="34"/>
      <c r="J19" s="34"/>
      <c r="K19" s="34"/>
      <c r="L19" s="34"/>
      <c r="M19" s="34"/>
      <c r="N19" s="34"/>
      <c r="O19"/>
    </row>
    <row r="20" spans="1:15" s="29" customFormat="1" ht="14.5" x14ac:dyDescent="0.3">
      <c r="A20" s="124" t="s">
        <v>164</v>
      </c>
      <c r="B20" s="125">
        <v>0.41518752254207053</v>
      </c>
      <c r="C20" s="125">
        <v>0.46909711676309523</v>
      </c>
      <c r="D20" s="125">
        <v>0.48973261227583903</v>
      </c>
      <c r="E20" s="125">
        <v>0.46853643015622476</v>
      </c>
      <c r="F20" s="125">
        <v>0.41782752205721163</v>
      </c>
      <c r="G20" s="126">
        <v>0.45168651502096779</v>
      </c>
      <c r="I20" s="35">
        <f>I18*I21</f>
        <v>0.4279270460165786</v>
      </c>
      <c r="J20" s="35">
        <f>J18*J21</f>
        <v>0.47317894723762755</v>
      </c>
      <c r="K20" s="35">
        <f>K18*K21</f>
        <v>0.47099924689664924</v>
      </c>
      <c r="L20" s="35">
        <f>L18*L21</f>
        <v>0.48848721997410643</v>
      </c>
      <c r="M20" s="36">
        <f>M18*M21</f>
        <v>0.44049376252332395</v>
      </c>
      <c r="N20" s="36">
        <f>SUMPRODUCT(I17:M17,I20:M20)/N17</f>
        <v>0.45978680203254524</v>
      </c>
      <c r="O20"/>
    </row>
    <row r="21" spans="1:15" s="29" customFormat="1" ht="15" thickBot="1" x14ac:dyDescent="0.35">
      <c r="A21" s="37" t="s">
        <v>108</v>
      </c>
      <c r="B21" s="38">
        <f t="shared" ref="B21:G21" si="6">B20/B18</f>
        <v>1.1082134256289857</v>
      </c>
      <c r="C21" s="38">
        <f t="shared" si="6"/>
        <v>1.2957633498290779</v>
      </c>
      <c r="D21" s="38">
        <f t="shared" si="6"/>
        <v>1.2625344008006003</v>
      </c>
      <c r="E21" s="38">
        <f t="shared" si="6"/>
        <v>1.0913260790985801</v>
      </c>
      <c r="F21" s="39">
        <f t="shared" si="6"/>
        <v>1.0746770618359702</v>
      </c>
      <c r="G21" s="39">
        <f t="shared" si="6"/>
        <v>1.1667383323681246</v>
      </c>
      <c r="I21" s="40">
        <f>B21</f>
        <v>1.1082134256289857</v>
      </c>
      <c r="J21" s="40">
        <f>C21</f>
        <v>1.2957633498290779</v>
      </c>
      <c r="K21" s="40">
        <f>D21</f>
        <v>1.2625344008006003</v>
      </c>
      <c r="L21" s="40">
        <f>E21</f>
        <v>1.0913260790985801</v>
      </c>
      <c r="M21" s="41">
        <f>F21</f>
        <v>1.0746770618359702</v>
      </c>
      <c r="N21" s="41">
        <f>N20/N18</f>
        <v>1.1667876923188767</v>
      </c>
    </row>
    <row r="22" spans="1:15" s="28" customFormat="1" ht="15" thickBot="1" x14ac:dyDescent="0.35">
      <c r="A22" s="33"/>
      <c r="B22" s="34"/>
      <c r="C22" s="34"/>
      <c r="D22" s="34"/>
      <c r="E22" s="34"/>
      <c r="F22" s="34"/>
      <c r="G22" s="34"/>
    </row>
    <row r="23" spans="1:15" s="28" customFormat="1" ht="15" thickBot="1" x14ac:dyDescent="0.35">
      <c r="A23" s="37" t="s">
        <v>167</v>
      </c>
      <c r="B23" s="34"/>
      <c r="C23" s="34"/>
      <c r="D23" s="34"/>
      <c r="E23" s="34"/>
      <c r="F23" s="34"/>
      <c r="G23" s="34"/>
      <c r="I23" s="26">
        <f>(I20-I18)*I17</f>
        <v>8.0305719675932714</v>
      </c>
      <c r="J23" s="26">
        <f t="shared" ref="J23:M23" si="7">(J20-J18)*J17</f>
        <v>21.518661636547506</v>
      </c>
      <c r="K23" s="26">
        <f t="shared" si="7"/>
        <v>18.824659938571951</v>
      </c>
      <c r="L23" s="26">
        <f t="shared" si="7"/>
        <v>6.5655543220907262</v>
      </c>
      <c r="M23" s="26">
        <f t="shared" si="7"/>
        <v>5.2513717118462813</v>
      </c>
      <c r="N23" s="26">
        <f>SUM(I23:M23)</f>
        <v>60.190819576649737</v>
      </c>
    </row>
    <row r="24" spans="1:15" s="28" customFormat="1" ht="15" thickBot="1" x14ac:dyDescent="0.35">
      <c r="A24" s="33"/>
      <c r="B24" s="42"/>
      <c r="C24" s="34"/>
      <c r="D24" s="34"/>
      <c r="E24" s="34"/>
      <c r="F24" s="34"/>
      <c r="G24" s="34"/>
      <c r="H24"/>
      <c r="I24" s="34"/>
      <c r="J24" s="34"/>
      <c r="K24" s="34"/>
      <c r="L24" s="34"/>
      <c r="M24" s="34"/>
      <c r="N24" s="34"/>
    </row>
    <row r="25" spans="1:15" ht="14.5" thickBot="1" x14ac:dyDescent="0.35">
      <c r="A25" s="24" t="s">
        <v>105</v>
      </c>
      <c r="B25" s="13"/>
      <c r="C25" s="13"/>
      <c r="D25" s="13"/>
      <c r="E25" s="13"/>
      <c r="F25" s="13"/>
      <c r="G25" s="13"/>
      <c r="I25" s="22"/>
      <c r="J25" s="22"/>
      <c r="K25" s="22"/>
    </row>
    <row r="26" spans="1:15" ht="14.5" thickBot="1" x14ac:dyDescent="0.35">
      <c r="A26" s="25" t="s">
        <v>103</v>
      </c>
      <c r="B26" s="26">
        <f>Calculation!D28</f>
        <v>126.342678437544</v>
      </c>
      <c r="C26" s="26">
        <f>Calculation!E28</f>
        <v>123.778090894484</v>
      </c>
      <c r="D26" s="26">
        <f>Calculation!F28</f>
        <v>122.292797894081</v>
      </c>
      <c r="E26" s="26">
        <f>Calculation!G28</f>
        <v>120.060724925014</v>
      </c>
      <c r="F26" s="26">
        <f>Calculation!H28</f>
        <v>117.367540585383</v>
      </c>
      <c r="G26" s="27">
        <f>SUM(B26:F26)</f>
        <v>609.84183273650603</v>
      </c>
      <c r="I26" s="26">
        <f>Calculation!L28</f>
        <v>132.753961036893</v>
      </c>
      <c r="J26" s="26">
        <f>Calculation!M28</f>
        <v>130.046218982108</v>
      </c>
      <c r="K26" s="26">
        <f>Calculation!N28</f>
        <v>128.23006799380499</v>
      </c>
      <c r="L26" s="26">
        <f>Calculation!O28</f>
        <v>125.21378971759501</v>
      </c>
      <c r="M26" s="26">
        <f>Calculation!P28</f>
        <v>122.426993920398</v>
      </c>
      <c r="N26" s="27">
        <f>SUM(I26:M26)</f>
        <v>638.67103165079902</v>
      </c>
    </row>
    <row r="27" spans="1:15" x14ac:dyDescent="0.3">
      <c r="A27" s="25" t="s">
        <v>27</v>
      </c>
      <c r="B27" s="26">
        <f>Calculation!D27</f>
        <v>335.8244521309681</v>
      </c>
      <c r="C27" s="26">
        <f>Calculation!E27</f>
        <v>427.23477909377419</v>
      </c>
      <c r="D27" s="26">
        <f>Calculation!F27</f>
        <v>435.02918298336675</v>
      </c>
      <c r="E27" s="26">
        <f>Calculation!G27</f>
        <v>367.85891316850154</v>
      </c>
      <c r="F27" s="26">
        <f>Calculation!H27</f>
        <v>309.46613025831203</v>
      </c>
      <c r="G27" s="27">
        <f>SUM(B27:F27)</f>
        <v>1875.4134576349227</v>
      </c>
      <c r="I27" s="26">
        <f>Calculation!L27</f>
        <v>337.8532991741547</v>
      </c>
      <c r="J27" s="26">
        <f>Calculation!M27</f>
        <v>431.29359515807897</v>
      </c>
      <c r="K27" s="26">
        <f>Calculation!N27</f>
        <v>442.69006490316667</v>
      </c>
      <c r="L27" s="26">
        <f>Calculation!O27</f>
        <v>379.83813676326668</v>
      </c>
      <c r="M27" s="26">
        <f>Calculation!P27</f>
        <v>317.8169830336787</v>
      </c>
      <c r="N27" s="27">
        <f>SUM(I27:M27)</f>
        <v>1909.4920790323456</v>
      </c>
    </row>
    <row r="28" spans="1:15" s="28" customFormat="1" ht="15" thickBot="1" x14ac:dyDescent="0.35">
      <c r="A28" s="30" t="s">
        <v>107</v>
      </c>
      <c r="B28" s="31">
        <f t="shared" ref="B28:G28" si="8">B26/B27</f>
        <v>0.37621643580697822</v>
      </c>
      <c r="C28" s="31">
        <f t="shared" si="8"/>
        <v>0.28971913559339657</v>
      </c>
      <c r="D28" s="31">
        <f t="shared" si="8"/>
        <v>0.28111400953704946</v>
      </c>
      <c r="E28" s="31">
        <f t="shared" si="8"/>
        <v>0.32637709901029083</v>
      </c>
      <c r="F28" s="31">
        <f t="shared" si="8"/>
        <v>0.37925811295541795</v>
      </c>
      <c r="G28" s="32">
        <f t="shared" si="8"/>
        <v>0.32517727237895339</v>
      </c>
      <c r="I28" s="31">
        <f t="shared" ref="I28:N28" si="9">I26/I27</f>
        <v>0.39293374183823421</v>
      </c>
      <c r="J28" s="31">
        <f t="shared" si="9"/>
        <v>0.30152596848660151</v>
      </c>
      <c r="K28" s="31">
        <f t="shared" si="9"/>
        <v>0.28966104767192785</v>
      </c>
      <c r="L28" s="31">
        <f t="shared" si="9"/>
        <v>0.32965038946480046</v>
      </c>
      <c r="M28" s="31">
        <f t="shared" si="9"/>
        <v>0.38521224621726574</v>
      </c>
      <c r="N28" s="32">
        <f t="shared" si="9"/>
        <v>0.33447168420538931</v>
      </c>
    </row>
    <row r="29" spans="1:15" ht="14.5" thickBot="1" x14ac:dyDescent="0.35">
      <c r="A29" s="33"/>
      <c r="B29" s="34"/>
      <c r="C29" s="34"/>
      <c r="D29" s="34"/>
      <c r="E29" s="34"/>
      <c r="F29" s="34"/>
      <c r="G29" s="34"/>
      <c r="I29" s="34"/>
      <c r="J29" s="34"/>
      <c r="K29" s="34"/>
      <c r="L29" s="34"/>
      <c r="M29" s="34"/>
      <c r="N29" s="34"/>
    </row>
    <row r="30" spans="1:15" x14ac:dyDescent="0.3">
      <c r="A30" s="124" t="s">
        <v>164</v>
      </c>
      <c r="B30" s="125">
        <v>0.44848600865454902</v>
      </c>
      <c r="C30" s="125">
        <v>0.34682704837989498</v>
      </c>
      <c r="D30" s="125">
        <v>0.32703202155025557</v>
      </c>
      <c r="E30" s="125">
        <v>0.37925384967124942</v>
      </c>
      <c r="F30" s="125">
        <v>0.42759775394615901</v>
      </c>
      <c r="G30" s="126">
        <v>0.38012767102699918</v>
      </c>
      <c r="I30" s="35">
        <f>I28*I31</f>
        <v>0.46841463787919374</v>
      </c>
      <c r="J30" s="35">
        <f>J28*J31</f>
        <v>0.36096118209763428</v>
      </c>
      <c r="K30" s="35">
        <f>K28*K31</f>
        <v>0.33697515872836914</v>
      </c>
      <c r="L30" s="35">
        <f>L28*L31</f>
        <v>0.38305744989237217</v>
      </c>
      <c r="M30" s="36">
        <f>M28*M31</f>
        <v>0.43431079164394853</v>
      </c>
      <c r="N30" s="36">
        <f>SUMPRODUCT(I27:M27,I30:M30)/N27</f>
        <v>0.39101623586445661</v>
      </c>
    </row>
    <row r="31" spans="1:15" s="29" customFormat="1" ht="15" thickBot="1" x14ac:dyDescent="0.35">
      <c r="A31" s="37" t="s">
        <v>108</v>
      </c>
      <c r="B31" s="38">
        <f t="shared" ref="B31:G31" si="10">B30/B28</f>
        <v>1.1920957352449362</v>
      </c>
      <c r="C31" s="38">
        <f t="shared" si="10"/>
        <v>1.1971147424195201</v>
      </c>
      <c r="D31" s="38">
        <f t="shared" si="10"/>
        <v>1.1633430226007799</v>
      </c>
      <c r="E31" s="38">
        <f t="shared" si="10"/>
        <v>1.1620112159256963</v>
      </c>
      <c r="F31" s="39">
        <f t="shared" si="10"/>
        <v>1.127458423009196</v>
      </c>
      <c r="G31" s="39">
        <f t="shared" si="10"/>
        <v>1.1689859756988428</v>
      </c>
      <c r="I31" s="40">
        <f>B31</f>
        <v>1.1920957352449362</v>
      </c>
      <c r="J31" s="40">
        <f>C31</f>
        <v>1.1971147424195201</v>
      </c>
      <c r="K31" s="40">
        <f>D31</f>
        <v>1.1633430226007799</v>
      </c>
      <c r="L31" s="40">
        <f>E31</f>
        <v>1.1620112159256963</v>
      </c>
      <c r="M31" s="41">
        <f>F31</f>
        <v>1.127458423009196</v>
      </c>
      <c r="N31" s="41">
        <f>N30/N28</f>
        <v>1.1690563187535628</v>
      </c>
    </row>
    <row r="32" spans="1:15" ht="14.5" thickBot="1" x14ac:dyDescent="0.35">
      <c r="A32" s="33"/>
      <c r="B32" s="34"/>
      <c r="C32" s="34"/>
      <c r="D32" s="34"/>
      <c r="E32" s="34"/>
      <c r="F32" s="34"/>
      <c r="G32" s="34"/>
    </row>
    <row r="33" spans="1:14" s="28" customFormat="1" ht="15" thickBot="1" x14ac:dyDescent="0.35">
      <c r="A33" s="37" t="s">
        <v>167</v>
      </c>
      <c r="B33" s="34"/>
      <c r="C33" s="34"/>
      <c r="D33" s="34"/>
      <c r="E33" s="34"/>
      <c r="F33" s="34"/>
      <c r="G33" s="34"/>
      <c r="I33" s="26">
        <f>(I30-I28)*I27</f>
        <v>25.50146975205957</v>
      </c>
      <c r="J33" s="26">
        <f t="shared" ref="J33:M33" si="11">(J30-J28)*J27</f>
        <v>25.634026957290711</v>
      </c>
      <c r="K33" s="26">
        <f t="shared" si="11"/>
        <v>20.94548689441163</v>
      </c>
      <c r="L33" s="26">
        <f t="shared" si="11"/>
        <v>20.286038322812029</v>
      </c>
      <c r="M33" s="26">
        <f t="shared" si="11"/>
        <v>15.604351578850348</v>
      </c>
      <c r="N33" s="26">
        <f>SUM(I33:M33)</f>
        <v>107.97137350542428</v>
      </c>
    </row>
    <row r="34" spans="1:14" s="28" customFormat="1" ht="15" thickBot="1" x14ac:dyDescent="0.35">
      <c r="A34" s="33"/>
      <c r="B34" s="42"/>
      <c r="C34" s="34"/>
      <c r="D34" s="34"/>
      <c r="E34" s="34"/>
      <c r="F34" s="34"/>
      <c r="G34" s="34"/>
      <c r="H34"/>
      <c r="I34" s="34"/>
      <c r="J34" s="34"/>
      <c r="K34" s="34"/>
      <c r="L34" s="34"/>
      <c r="M34" s="34"/>
      <c r="N34" s="34"/>
    </row>
    <row r="35" spans="1:14" ht="14.5" thickBot="1" x14ac:dyDescent="0.35">
      <c r="A35" s="24" t="s">
        <v>106</v>
      </c>
      <c r="B35" s="13"/>
      <c r="C35" s="13"/>
      <c r="D35" s="13"/>
      <c r="E35" s="13"/>
      <c r="F35" s="13"/>
      <c r="G35" s="13"/>
    </row>
    <row r="36" spans="1:14" ht="14.5" thickBot="1" x14ac:dyDescent="0.35">
      <c r="A36" s="25" t="s">
        <v>103</v>
      </c>
      <c r="B36" s="26">
        <f>Calculation!D37</f>
        <v>21.689069899943501</v>
      </c>
      <c r="C36" s="26">
        <f>Calculation!E37</f>
        <v>21.215600303221699</v>
      </c>
      <c r="D36" s="26">
        <f>Calculation!F37</f>
        <v>21.209356748099999</v>
      </c>
      <c r="E36" s="26">
        <f>Calculation!G37</f>
        <v>20.956492765674898</v>
      </c>
      <c r="F36" s="26">
        <f>Calculation!H37</f>
        <v>20.340461993676399</v>
      </c>
      <c r="G36" s="27">
        <f>SUM(B36:F36)</f>
        <v>105.4109817106165</v>
      </c>
      <c r="I36" s="26">
        <f>Calculation!L37</f>
        <v>20.340347440952101</v>
      </c>
      <c r="J36" s="26">
        <f>Calculation!M37</f>
        <v>19.896640187887702</v>
      </c>
      <c r="K36" s="26">
        <f>Calculation!N37</f>
        <v>19.8868669003752</v>
      </c>
      <c r="L36" s="26">
        <f>Calculation!O37</f>
        <v>19.641999630849501</v>
      </c>
      <c r="M36" s="26">
        <f>Calculation!P37</f>
        <v>19.061936240087299</v>
      </c>
      <c r="N36" s="27">
        <f>SUM(I36:M36)</f>
        <v>98.827790400151798</v>
      </c>
    </row>
    <row r="37" spans="1:14" x14ac:dyDescent="0.3">
      <c r="A37" s="25" t="s">
        <v>27</v>
      </c>
      <c r="B37" s="26">
        <f>Calculation!D36</f>
        <v>37.747493672717496</v>
      </c>
      <c r="C37" s="26">
        <f>Calculation!E36</f>
        <v>42.345872019781396</v>
      </c>
      <c r="D37" s="26">
        <f>Calculation!F36</f>
        <v>60.859053547867198</v>
      </c>
      <c r="E37" s="26">
        <f>Calculation!G36</f>
        <v>38.225125639520499</v>
      </c>
      <c r="F37" s="26">
        <f>Calculation!H36</f>
        <v>32.030478366365799</v>
      </c>
      <c r="G37" s="27">
        <f>SUM(B37:F37)</f>
        <v>211.20802324625237</v>
      </c>
      <c r="I37" s="26">
        <f>Calculation!L36</f>
        <v>35.394945283910303</v>
      </c>
      <c r="J37" s="26">
        <f>Calculation!M36</f>
        <v>39.686612754861102</v>
      </c>
      <c r="K37" s="26">
        <f>Calculation!N36</f>
        <v>56.872394195544004</v>
      </c>
      <c r="L37" s="26">
        <f>Calculation!O36</f>
        <v>35.744818478666005</v>
      </c>
      <c r="M37" s="26">
        <f>Calculation!P36</f>
        <v>30.046388553349601</v>
      </c>
      <c r="N37" s="27">
        <f>SUM(I37:M37)</f>
        <v>197.745159266331</v>
      </c>
    </row>
    <row r="38" spans="1:14" s="28" customFormat="1" ht="15" thickBot="1" x14ac:dyDescent="0.35">
      <c r="A38" s="30" t="s">
        <v>107</v>
      </c>
      <c r="B38" s="31">
        <f t="shared" ref="B38:G38" si="12">B36/B37</f>
        <v>0.57458304617505152</v>
      </c>
      <c r="C38" s="31">
        <f t="shared" si="12"/>
        <v>0.50100751953604994</v>
      </c>
      <c r="D38" s="31">
        <f t="shared" si="12"/>
        <v>0.34849961528597057</v>
      </c>
      <c r="E38" s="31">
        <f t="shared" si="12"/>
        <v>0.54823868895301242</v>
      </c>
      <c r="F38" s="31">
        <f t="shared" si="12"/>
        <v>0.63503459926578187</v>
      </c>
      <c r="G38" s="32">
        <f t="shared" si="12"/>
        <v>0.49908606733047906</v>
      </c>
      <c r="I38" s="31">
        <f t="shared" ref="I38:N38" si="13">I36/I37</f>
        <v>0.57466814195636962</v>
      </c>
      <c r="J38" s="31">
        <f t="shared" si="13"/>
        <v>0.50134387408637227</v>
      </c>
      <c r="K38" s="31">
        <f t="shared" si="13"/>
        <v>0.34967521908781102</v>
      </c>
      <c r="L38" s="31">
        <f t="shared" si="13"/>
        <v>0.54950620724434962</v>
      </c>
      <c r="M38" s="31">
        <f t="shared" si="13"/>
        <v>0.63441688528527851</v>
      </c>
      <c r="N38" s="32">
        <f t="shared" si="13"/>
        <v>0.49977350023039818</v>
      </c>
    </row>
    <row r="39" spans="1:14" ht="14.5" thickBot="1" x14ac:dyDescent="0.35">
      <c r="A39" s="43"/>
      <c r="B39" s="13"/>
      <c r="C39" s="13"/>
      <c r="D39" s="13"/>
      <c r="E39" s="13"/>
      <c r="F39" s="13"/>
      <c r="G39" s="34"/>
      <c r="I39" s="34"/>
      <c r="J39" s="34"/>
      <c r="K39" s="34"/>
      <c r="L39" s="34"/>
      <c r="M39" s="34"/>
      <c r="N39" s="34"/>
    </row>
    <row r="40" spans="1:14" x14ac:dyDescent="0.3">
      <c r="A40" s="124" t="s">
        <v>164</v>
      </c>
      <c r="B40" s="125">
        <v>0.57458304617505229</v>
      </c>
      <c r="C40" s="125">
        <v>0.50100751953604994</v>
      </c>
      <c r="D40" s="125">
        <v>0.3484996152859709</v>
      </c>
      <c r="E40" s="125">
        <v>0.54823868895301298</v>
      </c>
      <c r="F40" s="125">
        <v>0.63503459926578165</v>
      </c>
      <c r="G40" s="126">
        <v>0.49908606733047939</v>
      </c>
      <c r="I40" s="35">
        <f>I38*I41</f>
        <v>0.57466814195637039</v>
      </c>
      <c r="J40" s="35">
        <f>J38*J41</f>
        <v>0.50134387408637227</v>
      </c>
      <c r="K40" s="35">
        <f>K38*K41</f>
        <v>0.34967521908781135</v>
      </c>
      <c r="L40" s="35">
        <f>L38*L41</f>
        <v>0.54950620724435018</v>
      </c>
      <c r="M40" s="36">
        <f>M38*M41</f>
        <v>0.63441688528527829</v>
      </c>
      <c r="N40" s="36">
        <f>SUMPRODUCT(I37:M37,I40:M40)/N37</f>
        <v>0.49977350023039852</v>
      </c>
    </row>
    <row r="41" spans="1:14" s="29" customFormat="1" ht="15" thickBot="1" x14ac:dyDescent="0.35">
      <c r="A41" s="37" t="s">
        <v>108</v>
      </c>
      <c r="B41" s="38">
        <f t="shared" ref="B41:G41" si="14">B40/B38</f>
        <v>1.0000000000000013</v>
      </c>
      <c r="C41" s="38">
        <f t="shared" si="14"/>
        <v>1</v>
      </c>
      <c r="D41" s="38">
        <f t="shared" si="14"/>
        <v>1.0000000000000009</v>
      </c>
      <c r="E41" s="38">
        <f t="shared" si="14"/>
        <v>1.0000000000000011</v>
      </c>
      <c r="F41" s="39">
        <f t="shared" si="14"/>
        <v>0.99999999999999967</v>
      </c>
      <c r="G41" s="39">
        <f t="shared" si="14"/>
        <v>1.0000000000000007</v>
      </c>
      <c r="I41" s="40">
        <f>B41</f>
        <v>1.0000000000000013</v>
      </c>
      <c r="J41" s="40">
        <f>C41</f>
        <v>1</v>
      </c>
      <c r="K41" s="40">
        <f>D41</f>
        <v>1.0000000000000009</v>
      </c>
      <c r="L41" s="40">
        <f>E41</f>
        <v>1.0000000000000011</v>
      </c>
      <c r="M41" s="41">
        <f>F41</f>
        <v>0.99999999999999967</v>
      </c>
      <c r="N41" s="41">
        <f>N40/N38</f>
        <v>1.0000000000000007</v>
      </c>
    </row>
    <row r="42" spans="1:14" ht="14.5" thickBot="1" x14ac:dyDescent="0.35">
      <c r="A42" s="43"/>
      <c r="B42" s="13"/>
      <c r="C42" s="13"/>
      <c r="D42" s="13"/>
      <c r="E42" s="13"/>
      <c r="F42" s="13"/>
      <c r="G42" s="13"/>
    </row>
    <row r="43" spans="1:14" s="28" customFormat="1" ht="15" thickBot="1" x14ac:dyDescent="0.35">
      <c r="A43" s="37" t="s">
        <v>167</v>
      </c>
      <c r="B43" s="34"/>
      <c r="C43" s="34"/>
      <c r="D43" s="34"/>
      <c r="E43" s="34"/>
      <c r="F43" s="34"/>
      <c r="G43" s="34"/>
      <c r="I43" s="26">
        <f>(I40-I38)*I37</f>
        <v>2.750739824668137E-14</v>
      </c>
      <c r="J43" s="26">
        <f t="shared" ref="J43:M43" si="15">(J40-J38)*J37</f>
        <v>0</v>
      </c>
      <c r="K43" s="26">
        <f t="shared" si="15"/>
        <v>1.8942312450435317E-14</v>
      </c>
      <c r="L43" s="26">
        <f t="shared" si="15"/>
        <v>1.9842360243030878E-14</v>
      </c>
      <c r="M43" s="26">
        <f t="shared" si="15"/>
        <v>-6.6716384757524952E-15</v>
      </c>
      <c r="N43" s="26">
        <f>SUM(I43:M43)</f>
        <v>5.9620432464395069E-14</v>
      </c>
    </row>
    <row r="44" spans="1:14" ht="14.5" thickBot="1" x14ac:dyDescent="0.35"/>
    <row r="45" spans="1:14" ht="14.5" thickBot="1" x14ac:dyDescent="0.35">
      <c r="A45" s="24" t="s">
        <v>101</v>
      </c>
      <c r="B45" s="13"/>
      <c r="C45" s="13"/>
      <c r="D45" s="13"/>
      <c r="E45" s="13"/>
      <c r="F45" s="13"/>
      <c r="G45" s="13"/>
    </row>
    <row r="46" spans="1:14" ht="14.5" thickBot="1" x14ac:dyDescent="0.35">
      <c r="A46" s="25" t="s">
        <v>103</v>
      </c>
      <c r="B46" s="26">
        <f t="shared" ref="B46:F47" si="16">SUM(B36,B26,B6,B16)</f>
        <v>239.38667175260287</v>
      </c>
      <c r="C46" s="26">
        <f t="shared" si="16"/>
        <v>234.71019681407302</v>
      </c>
      <c r="D46" s="26">
        <f t="shared" si="16"/>
        <v>232.11531291145531</v>
      </c>
      <c r="E46" s="26">
        <f t="shared" si="16"/>
        <v>229.69305893589848</v>
      </c>
      <c r="F46" s="26">
        <f t="shared" si="16"/>
        <v>224.58015781267838</v>
      </c>
      <c r="G46" s="27">
        <f>SUM(B46:F46)</f>
        <v>1160.4853982267082</v>
      </c>
      <c r="I46" s="26">
        <f t="shared" ref="I46:M47" si="17">SUM(I36,I26,I6,I16)</f>
        <v>243.21201991713752</v>
      </c>
      <c r="J46" s="26">
        <f t="shared" si="17"/>
        <v>238.4096996801174</v>
      </c>
      <c r="K46" s="26">
        <f t="shared" si="17"/>
        <v>235.87908529366416</v>
      </c>
      <c r="L46" s="26">
        <f t="shared" si="17"/>
        <v>232.64119487612135</v>
      </c>
      <c r="M46" s="26">
        <f t="shared" si="17"/>
        <v>227.49116341181173</v>
      </c>
      <c r="N46" s="27">
        <f>SUM(I46:M46)</f>
        <v>1177.6331631788521</v>
      </c>
    </row>
    <row r="47" spans="1:14" x14ac:dyDescent="0.3">
      <c r="A47" s="25" t="s">
        <v>27</v>
      </c>
      <c r="B47" s="26">
        <f t="shared" si="16"/>
        <v>607.45058071229289</v>
      </c>
      <c r="C47" s="26">
        <f t="shared" si="16"/>
        <v>703.89337158029934</v>
      </c>
      <c r="D47" s="26">
        <f t="shared" si="16"/>
        <v>711.47445999825163</v>
      </c>
      <c r="E47" s="26">
        <f t="shared" si="16"/>
        <v>605.16475784204044</v>
      </c>
      <c r="F47" s="26">
        <f t="shared" si="16"/>
        <v>554.05477279442187</v>
      </c>
      <c r="G47" s="27">
        <f>SUM(B47:F47)</f>
        <v>3182.0379429273062</v>
      </c>
      <c r="I47" s="26">
        <f t="shared" si="17"/>
        <v>594.91538431365893</v>
      </c>
      <c r="J47" s="26">
        <f t="shared" si="17"/>
        <v>703.81523356676246</v>
      </c>
      <c r="K47" s="26">
        <f t="shared" si="17"/>
        <v>731.5940446379559</v>
      </c>
      <c r="L47" s="26">
        <f t="shared" si="17"/>
        <v>603.19620768299581</v>
      </c>
      <c r="M47" s="26">
        <f t="shared" si="17"/>
        <v>545.98299780876096</v>
      </c>
      <c r="N47" s="27">
        <f>SUM(I47:M47)</f>
        <v>3179.5038680101343</v>
      </c>
    </row>
    <row r="48" spans="1:14" s="28" customFormat="1" ht="15" thickBot="1" x14ac:dyDescent="0.35">
      <c r="A48" s="30" t="s">
        <v>107</v>
      </c>
      <c r="B48" s="31">
        <f t="shared" ref="B48:G48" si="18">B46/B47</f>
        <v>0.39408419277811785</v>
      </c>
      <c r="C48" s="31">
        <f t="shared" si="18"/>
        <v>0.33344566988481372</v>
      </c>
      <c r="D48" s="31">
        <f t="shared" si="18"/>
        <v>0.32624546060588838</v>
      </c>
      <c r="E48" s="31">
        <f t="shared" si="18"/>
        <v>0.37955458568830397</v>
      </c>
      <c r="F48" s="31">
        <f t="shared" si="18"/>
        <v>0.40533927120596663</v>
      </c>
      <c r="G48" s="32">
        <f t="shared" si="18"/>
        <v>0.36469879336483435</v>
      </c>
      <c r="I48" s="31">
        <f t="shared" ref="I48:N48" si="19">I46/I47</f>
        <v>0.40881783583009201</v>
      </c>
      <c r="J48" s="31">
        <f t="shared" si="19"/>
        <v>0.33873904443914304</v>
      </c>
      <c r="K48" s="31">
        <f t="shared" si="19"/>
        <v>0.32241799536571364</v>
      </c>
      <c r="L48" s="31">
        <f t="shared" si="19"/>
        <v>0.385680798242657</v>
      </c>
      <c r="M48" s="31">
        <f t="shared" si="19"/>
        <v>0.41666345714943681</v>
      </c>
      <c r="N48" s="32">
        <f t="shared" si="19"/>
        <v>0.37038267983484602</v>
      </c>
    </row>
    <row r="49" spans="1:14" ht="14.5" thickBot="1" x14ac:dyDescent="0.35"/>
    <row r="50" spans="1:14" s="28" customFormat="1" ht="15" thickBot="1" x14ac:dyDescent="0.35">
      <c r="A50" s="37" t="s">
        <v>168</v>
      </c>
      <c r="B50" s="34"/>
      <c r="C50" s="34"/>
      <c r="D50" s="34"/>
      <c r="E50" s="34"/>
      <c r="F50" s="34"/>
      <c r="G50" s="34"/>
      <c r="I50" s="26">
        <f>I13+I23+I33+I43</f>
        <v>33.532041719652867</v>
      </c>
      <c r="J50" s="26">
        <f t="shared" ref="J50:N50" si="20">J13+J23+J33+J43</f>
        <v>47.152688593838221</v>
      </c>
      <c r="K50" s="26">
        <f t="shared" si="20"/>
        <v>39.770146832983606</v>
      </c>
      <c r="L50" s="26">
        <f t="shared" si="20"/>
        <v>26.85159264490278</v>
      </c>
      <c r="M50" s="26">
        <f t="shared" si="20"/>
        <v>20.85572329069662</v>
      </c>
      <c r="N50" s="26">
        <f t="shared" si="20"/>
        <v>168.16219308207408</v>
      </c>
    </row>
    <row r="52" spans="1:14" x14ac:dyDescent="0.3">
      <c r="N52" s="129"/>
    </row>
  </sheetData>
  <mergeCells count="2">
    <mergeCell ref="B1:G1"/>
    <mergeCell ref="I1:N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1"/>
  <sheetViews>
    <sheetView workbookViewId="0"/>
  </sheetViews>
  <sheetFormatPr defaultRowHeight="14" x14ac:dyDescent="0.3"/>
  <cols>
    <col min="1" max="1" width="8.08203125" customWidth="1"/>
    <col min="2" max="2" width="10.1640625" customWidth="1"/>
    <col min="3" max="3" width="27.25" customWidth="1"/>
    <col min="4" max="4" width="2.25" customWidth="1"/>
    <col min="5" max="5" width="14.58203125" customWidth="1"/>
    <col min="6" max="10" width="7.33203125" customWidth="1"/>
    <col min="11" max="11" width="5.33203125" customWidth="1"/>
  </cols>
  <sheetData>
    <row r="1" spans="1:11" x14ac:dyDescent="0.3">
      <c r="A1" s="108"/>
      <c r="B1" s="108"/>
      <c r="C1" s="108" t="s">
        <v>185</v>
      </c>
      <c r="D1" s="108"/>
      <c r="E1" s="108"/>
      <c r="F1" s="108"/>
      <c r="G1" s="108"/>
      <c r="H1" s="108"/>
      <c r="I1" s="108"/>
      <c r="J1" s="108"/>
    </row>
    <row r="2" spans="1:11" ht="42" x14ac:dyDescent="0.3">
      <c r="A2" s="109" t="s">
        <v>30</v>
      </c>
      <c r="B2" s="109" t="s">
        <v>31</v>
      </c>
      <c r="C2" s="109" t="s">
        <v>32</v>
      </c>
      <c r="D2" s="109" t="s">
        <v>33</v>
      </c>
      <c r="E2" s="109" t="s">
        <v>34</v>
      </c>
      <c r="F2" s="109" t="s">
        <v>3</v>
      </c>
      <c r="G2" s="109" t="s">
        <v>4</v>
      </c>
      <c r="H2" s="109" t="s">
        <v>5</v>
      </c>
      <c r="I2" s="109" t="s">
        <v>6</v>
      </c>
      <c r="J2" s="109" t="s">
        <v>7</v>
      </c>
      <c r="K2" s="109" t="s">
        <v>109</v>
      </c>
    </row>
    <row r="4" spans="1:11" x14ac:dyDescent="0.3">
      <c r="B4" s="70" t="s">
        <v>124</v>
      </c>
      <c r="C4" s="110" t="s">
        <v>11</v>
      </c>
      <c r="D4" s="111" t="s">
        <v>110</v>
      </c>
      <c r="E4" s="111" t="s">
        <v>35</v>
      </c>
      <c r="F4" s="127">
        <f>'PAYG summary tables'!I8</f>
        <v>0.56125039419661116</v>
      </c>
      <c r="G4" s="127">
        <f>'PAYG summary tables'!J8</f>
        <v>0.48930917949414093</v>
      </c>
      <c r="H4" s="127">
        <f>'PAYG summary tables'!K8</f>
        <v>0.4249086218156965</v>
      </c>
      <c r="I4" s="127">
        <f>'PAYG summary tables'!L8</f>
        <v>0.61034112656987771</v>
      </c>
      <c r="J4" s="127">
        <f>'PAYG summary tables'!M8</f>
        <v>0.61218091068491087</v>
      </c>
      <c r="K4" s="128"/>
    </row>
    <row r="5" spans="1:11" x14ac:dyDescent="0.3">
      <c r="B5" s="70" t="s">
        <v>125</v>
      </c>
      <c r="C5" s="110" t="s">
        <v>16</v>
      </c>
      <c r="D5" s="111" t="s">
        <v>110</v>
      </c>
      <c r="E5" s="111" t="s">
        <v>35</v>
      </c>
      <c r="F5" s="127">
        <f>'PAYG summary tables'!I15</f>
        <v>0.4496270460165786</v>
      </c>
      <c r="G5" s="127">
        <f>'PAYG summary tables'!J15</f>
        <v>0.49487894723762754</v>
      </c>
      <c r="H5" s="127">
        <f>'PAYG summary tables'!K15</f>
        <v>0.49269924689664923</v>
      </c>
      <c r="I5" s="127">
        <f>'PAYG summary tables'!L15</f>
        <v>0.51018721997410643</v>
      </c>
      <c r="J5" s="127">
        <f>'PAYG summary tables'!M15</f>
        <v>0.46219376252332395</v>
      </c>
      <c r="K5" s="128"/>
    </row>
    <row r="6" spans="1:11" x14ac:dyDescent="0.3">
      <c r="B6" s="70" t="s">
        <v>126</v>
      </c>
      <c r="C6" s="110" t="s">
        <v>21</v>
      </c>
      <c r="D6" s="111" t="s">
        <v>110</v>
      </c>
      <c r="E6" s="111" t="s">
        <v>35</v>
      </c>
      <c r="F6" s="127">
        <f>'PAYG summary tables'!I22</f>
        <v>0.49011463787919374</v>
      </c>
      <c r="G6" s="127">
        <f>'PAYG summary tables'!J22</f>
        <v>0.38266118209763428</v>
      </c>
      <c r="H6" s="127">
        <f>'PAYG summary tables'!K22</f>
        <v>0.35867515872836914</v>
      </c>
      <c r="I6" s="127">
        <f>'PAYG summary tables'!L22</f>
        <v>0.40475744989237217</v>
      </c>
      <c r="J6" s="127">
        <f>'PAYG summary tables'!M22</f>
        <v>0.45601079164394853</v>
      </c>
      <c r="K6" s="128"/>
    </row>
    <row r="7" spans="1:11" x14ac:dyDescent="0.3">
      <c r="B7" s="70" t="s">
        <v>127</v>
      </c>
      <c r="C7" s="110" t="s">
        <v>128</v>
      </c>
      <c r="D7" s="111" t="s">
        <v>110</v>
      </c>
      <c r="E7" s="111" t="s">
        <v>35</v>
      </c>
      <c r="F7" s="127">
        <f>'PAYG summary tables'!I29</f>
        <v>0.59636814195637045</v>
      </c>
      <c r="G7" s="127">
        <f>'PAYG summary tables'!J29</f>
        <v>0.52304387408637232</v>
      </c>
      <c r="H7" s="127">
        <f>'PAYG summary tables'!K29</f>
        <v>0.37137521908781135</v>
      </c>
      <c r="I7" s="127">
        <f>'PAYG summary tables'!L29</f>
        <v>0.57120620724435023</v>
      </c>
      <c r="J7" s="127">
        <f>'PAYG summary tables'!M29</f>
        <v>0.65611688528527834</v>
      </c>
      <c r="K7" s="128"/>
    </row>
    <row r="8" spans="1:11" x14ac:dyDescent="0.3">
      <c r="B8" s="70" t="s">
        <v>129</v>
      </c>
      <c r="C8" s="110" t="s">
        <v>130</v>
      </c>
      <c r="D8" s="111" t="s">
        <v>110</v>
      </c>
      <c r="E8" s="111" t="s">
        <v>35</v>
      </c>
      <c r="F8" s="127">
        <v>0</v>
      </c>
      <c r="G8" s="127">
        <v>0</v>
      </c>
      <c r="H8" s="127">
        <v>0</v>
      </c>
      <c r="I8" s="127">
        <v>0</v>
      </c>
      <c r="J8" s="127">
        <v>0</v>
      </c>
      <c r="K8" s="128"/>
    </row>
    <row r="9" spans="1:11" x14ac:dyDescent="0.3">
      <c r="B9" s="70" t="s">
        <v>186</v>
      </c>
      <c r="C9" s="110" t="s">
        <v>187</v>
      </c>
      <c r="D9" s="111" t="s">
        <v>169</v>
      </c>
      <c r="E9" s="111" t="s">
        <v>35</v>
      </c>
      <c r="F9" s="130">
        <f>PAYG!I50</f>
        <v>33.532041719652867</v>
      </c>
      <c r="G9" s="130">
        <f>PAYG!J50</f>
        <v>47.152688593838221</v>
      </c>
      <c r="H9" s="130">
        <f>PAYG!K50</f>
        <v>39.770146832983606</v>
      </c>
      <c r="I9" s="130">
        <f>PAYG!L50</f>
        <v>26.85159264490278</v>
      </c>
      <c r="J9" s="130">
        <f>PAYG!M50</f>
        <v>20.85572329069662</v>
      </c>
      <c r="K9" s="73"/>
    </row>
    <row r="10" spans="1:11" x14ac:dyDescent="0.3">
      <c r="B10" s="112" t="s">
        <v>131</v>
      </c>
      <c r="C10" s="112" t="s">
        <v>132</v>
      </c>
      <c r="D10" s="113" t="s">
        <v>111</v>
      </c>
      <c r="E10" s="114" t="s">
        <v>35</v>
      </c>
      <c r="F10" s="115" t="str">
        <f ca="1">CONCATENATE("[…]", TEXT(NOW(),"dd/mm/yyy hh:mm:ss"))</f>
        <v>[…]12/12/2019 14:06:13</v>
      </c>
      <c r="G10" s="115" t="str">
        <f t="shared" ref="G10:J10" ca="1" si="0">CONCATENATE("[…]", TEXT(NOW(),"dd/mm/yyy hh:mm:ss"))</f>
        <v>[…]12/12/2019 14:06:13</v>
      </c>
      <c r="H10" s="115" t="str">
        <f t="shared" ca="1" si="0"/>
        <v>[…]12/12/2019 14:06:13</v>
      </c>
      <c r="I10" s="115" t="str">
        <f t="shared" ca="1" si="0"/>
        <v>[…]12/12/2019 14:06:13</v>
      </c>
      <c r="J10" s="115" t="str">
        <f t="shared" ca="1" si="0"/>
        <v>[…]12/12/2019 14:06:13</v>
      </c>
    </row>
    <row r="11" spans="1:11" x14ac:dyDescent="0.3">
      <c r="B11" s="112" t="s">
        <v>133</v>
      </c>
      <c r="C11" s="112" t="s">
        <v>134</v>
      </c>
      <c r="D11" s="113" t="s">
        <v>111</v>
      </c>
      <c r="E11" s="114" t="s">
        <v>35</v>
      </c>
      <c r="F11" s="115" t="str">
        <f ca="1" xml:space="preserve"> MID(CELL("filename"), FIND("[", CELL("filename"), 1) + 1, FIND("]", CELL("filename"), 1) - FIND("[", CELL("filename"), 1) - 1)</f>
        <v>PAYG model_SRN_FD.xlsx</v>
      </c>
      <c r="G11" s="115" t="str">
        <f t="shared" ref="G11:J11" ca="1" si="1" xml:space="preserve"> MID(CELL("filename"), FIND("[", CELL("filename"), 1) + 1, FIND("]", CELL("filename"), 1) - FIND("[", CELL("filename"), 1) - 1)</f>
        <v>PAYG model_SRN_FD.xlsx</v>
      </c>
      <c r="H11" s="115" t="str">
        <f t="shared" ca="1" si="1"/>
        <v>PAYG model_SRN_FD.xlsx</v>
      </c>
      <c r="I11" s="115" t="str">
        <f t="shared" ca="1" si="1"/>
        <v>PAYG model_SRN_FD.xlsx</v>
      </c>
      <c r="J11" s="115" t="str">
        <f t="shared" ca="1" si="1"/>
        <v>PAYG model_SRN_FD.xlsx</v>
      </c>
    </row>
  </sheetData>
  <sheetProtection sort="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PAYG summary tables</vt:lpstr>
      <vt:lpstr>Working--&gt;</vt:lpstr>
      <vt:lpstr>F_Inputs</vt:lpstr>
      <vt:lpstr>Final determination totex</vt:lpstr>
      <vt:lpstr>Calculation</vt:lpstr>
      <vt:lpstr>PAYG</vt:lpstr>
      <vt:lpstr>F_Outputs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2019-12-12T12:02:42Z</dcterms:created>
  <dcterms:modified xsi:type="dcterms:W3CDTF">2019-12-12T14:06:35Z</dcterms:modified>
  <cp:category/>
  <cp:contentStatus/>
</cp:coreProperties>
</file>