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240" windowHeight="11670" tabRatio="664"/>
  </bookViews>
  <sheets>
    <sheet name="Contents" sheetId="11" r:id="rId1"/>
    <sheet name="PAYG summary tables" sheetId="12" r:id="rId2"/>
    <sheet name="Working--&gt;" sheetId="13" r:id="rId3"/>
    <sheet name="F_Inputs" sheetId="19" r:id="rId4"/>
    <sheet name="Final determination Totex" sheetId="17" r:id="rId5"/>
    <sheet name="Calculation" sheetId="9" r:id="rId6"/>
    <sheet name="PAYG" sheetId="18" r:id="rId7"/>
    <sheet name="F_Outputs" sheetId="6" r:id="rId8"/>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6" l="1"/>
  <c r="I9" i="6"/>
  <c r="H9" i="6"/>
  <c r="G9" i="6"/>
  <c r="F9" i="6"/>
  <c r="C36" i="18" l="1"/>
  <c r="D36" i="18"/>
  <c r="E36" i="18"/>
  <c r="F36" i="18"/>
  <c r="G36" i="18"/>
  <c r="C37" i="18"/>
  <c r="D37" i="18"/>
  <c r="E37" i="18"/>
  <c r="F37" i="18"/>
  <c r="G37" i="18"/>
  <c r="B37" i="18"/>
  <c r="B36" i="18"/>
  <c r="G26" i="18"/>
  <c r="G27" i="18"/>
  <c r="C26" i="18"/>
  <c r="D26" i="18"/>
  <c r="E26" i="18"/>
  <c r="F26" i="18"/>
  <c r="C27" i="18"/>
  <c r="D27" i="18"/>
  <c r="E27" i="18"/>
  <c r="F27" i="18"/>
  <c r="B27" i="18"/>
  <c r="B26" i="18"/>
  <c r="C16" i="18"/>
  <c r="D16" i="18"/>
  <c r="E16" i="18"/>
  <c r="F16" i="18"/>
  <c r="G16" i="18"/>
  <c r="C17" i="18"/>
  <c r="D17" i="18"/>
  <c r="E17" i="18"/>
  <c r="F17" i="18"/>
  <c r="G17" i="18"/>
  <c r="B17" i="18"/>
  <c r="B16" i="18"/>
  <c r="G6" i="18"/>
  <c r="G7" i="18"/>
  <c r="G47" i="18" s="1"/>
  <c r="C6" i="18"/>
  <c r="C46" i="18" s="1"/>
  <c r="D6" i="18"/>
  <c r="E6" i="18"/>
  <c r="F6" i="18"/>
  <c r="C7" i="18"/>
  <c r="C47" i="18" s="1"/>
  <c r="D7" i="18"/>
  <c r="E7" i="18"/>
  <c r="F7" i="18"/>
  <c r="B7" i="18"/>
  <c r="B47" i="18" s="1"/>
  <c r="B6" i="18"/>
  <c r="E46" i="18" l="1"/>
  <c r="E47" i="18"/>
  <c r="B46" i="18"/>
  <c r="D47" i="18"/>
  <c r="D46" i="18"/>
  <c r="F47" i="18"/>
  <c r="G46" i="18"/>
  <c r="F46" i="18"/>
  <c r="G48" i="18" l="1"/>
  <c r="F48" i="18"/>
  <c r="E48" i="18"/>
  <c r="D48" i="18"/>
  <c r="C48" i="18"/>
  <c r="B48" i="18"/>
  <c r="G38" i="18"/>
  <c r="G41" i="18" s="1"/>
  <c r="F38" i="18"/>
  <c r="F41" i="18" s="1"/>
  <c r="E38" i="18"/>
  <c r="E41" i="18" s="1"/>
  <c r="D38" i="18"/>
  <c r="D41" i="18" s="1"/>
  <c r="C38" i="18"/>
  <c r="C41" i="18" s="1"/>
  <c r="B38" i="18"/>
  <c r="B41" i="18" s="1"/>
  <c r="G28" i="18"/>
  <c r="G31" i="18" s="1"/>
  <c r="F28" i="18"/>
  <c r="F31" i="18" s="1"/>
  <c r="E28" i="18"/>
  <c r="E31" i="18" s="1"/>
  <c r="D28" i="18"/>
  <c r="D31" i="18" s="1"/>
  <c r="C28" i="18"/>
  <c r="C31" i="18" s="1"/>
  <c r="B28" i="18"/>
  <c r="B31" i="18" s="1"/>
  <c r="G18" i="18"/>
  <c r="G21" i="18" s="1"/>
  <c r="F18" i="18"/>
  <c r="F21" i="18" s="1"/>
  <c r="E18" i="18"/>
  <c r="E21" i="18" s="1"/>
  <c r="D18" i="18"/>
  <c r="D21" i="18" s="1"/>
  <c r="C18" i="18"/>
  <c r="C21" i="18" s="1"/>
  <c r="B18" i="18"/>
  <c r="B21" i="18" s="1"/>
  <c r="G8" i="18"/>
  <c r="G11" i="18" s="1"/>
  <c r="C8" i="18"/>
  <c r="C11" i="18" s="1"/>
  <c r="D8" i="18"/>
  <c r="D11" i="18" s="1"/>
  <c r="E8" i="18"/>
  <c r="E11" i="18" s="1"/>
  <c r="F8" i="18"/>
  <c r="F11" i="18" s="1"/>
  <c r="B8" i="18"/>
  <c r="B11" i="18" s="1"/>
  <c r="C36" i="12" l="1"/>
  <c r="D36" i="12"/>
  <c r="E36" i="12"/>
  <c r="F36" i="12"/>
  <c r="B36" i="12"/>
  <c r="C37" i="12"/>
  <c r="D37" i="12"/>
  <c r="E37" i="12"/>
  <c r="F37" i="12"/>
  <c r="B37" i="12"/>
  <c r="C34" i="12" l="1"/>
  <c r="D34" i="12"/>
  <c r="E34" i="12"/>
  <c r="F34" i="12"/>
  <c r="C35" i="12"/>
  <c r="D35" i="12"/>
  <c r="E35" i="12"/>
  <c r="F35" i="12"/>
  <c r="B35" i="12"/>
  <c r="B34" i="12"/>
  <c r="C25" i="12"/>
  <c r="D25" i="12"/>
  <c r="E25" i="12"/>
  <c r="F25" i="12"/>
  <c r="B25" i="12"/>
  <c r="B29" i="12" s="1"/>
  <c r="C18" i="12"/>
  <c r="D18" i="12"/>
  <c r="E18" i="12"/>
  <c r="F18" i="12"/>
  <c r="B18" i="12"/>
  <c r="B22" i="12" s="1"/>
  <c r="C11" i="12"/>
  <c r="D11" i="12"/>
  <c r="E11" i="12"/>
  <c r="F11" i="12"/>
  <c r="B11" i="12"/>
  <c r="B15" i="12" s="1"/>
  <c r="C4" i="12"/>
  <c r="D4" i="12"/>
  <c r="E4" i="12"/>
  <c r="F4" i="12"/>
  <c r="B4" i="12"/>
  <c r="B8" i="12" s="1"/>
  <c r="J40" i="17" l="1"/>
  <c r="L33" i="9" s="1"/>
  <c r="K40" i="17"/>
  <c r="M33" i="9" s="1"/>
  <c r="L40" i="17"/>
  <c r="N33" i="9" s="1"/>
  <c r="M40" i="17"/>
  <c r="I40" i="17"/>
  <c r="K33" i="9" s="1"/>
  <c r="J37" i="17"/>
  <c r="L32" i="9" s="1"/>
  <c r="K37" i="17"/>
  <c r="M32" i="9" s="1"/>
  <c r="L37" i="17"/>
  <c r="M37" i="17"/>
  <c r="O32" i="9" s="1"/>
  <c r="I37" i="17"/>
  <c r="K32" i="9" s="1"/>
  <c r="J31" i="17"/>
  <c r="L24" i="9" s="1"/>
  <c r="K31" i="17"/>
  <c r="M24" i="9" s="1"/>
  <c r="L31" i="17"/>
  <c r="N24" i="9" s="1"/>
  <c r="M31" i="17"/>
  <c r="O24" i="9" s="1"/>
  <c r="J32" i="17"/>
  <c r="K32" i="17"/>
  <c r="L32" i="17"/>
  <c r="M32" i="17"/>
  <c r="J33" i="17"/>
  <c r="K33" i="17"/>
  <c r="L33" i="17"/>
  <c r="M33" i="17"/>
  <c r="I33" i="17"/>
  <c r="I32" i="17"/>
  <c r="I31" i="17"/>
  <c r="J26" i="17"/>
  <c r="L23" i="9" s="1"/>
  <c r="K26" i="17"/>
  <c r="M23" i="9" s="1"/>
  <c r="L26" i="17"/>
  <c r="M26" i="17"/>
  <c r="O23" i="9" s="1"/>
  <c r="J27" i="17"/>
  <c r="K27" i="17"/>
  <c r="L27" i="17"/>
  <c r="M27" i="17"/>
  <c r="J28" i="17"/>
  <c r="K28" i="17"/>
  <c r="L28" i="17"/>
  <c r="M28" i="17"/>
  <c r="I28" i="17"/>
  <c r="I27" i="17"/>
  <c r="I26" i="17"/>
  <c r="J20" i="17"/>
  <c r="L15" i="9" s="1"/>
  <c r="K20" i="17"/>
  <c r="M15" i="9" s="1"/>
  <c r="L20" i="17"/>
  <c r="N15" i="9" s="1"/>
  <c r="M20" i="17"/>
  <c r="O15" i="9" s="1"/>
  <c r="J21" i="17"/>
  <c r="K21" i="17"/>
  <c r="L21" i="17"/>
  <c r="M21" i="17"/>
  <c r="J22" i="17"/>
  <c r="K22" i="17"/>
  <c r="L22" i="17"/>
  <c r="M22" i="17"/>
  <c r="J15" i="17"/>
  <c r="L14" i="9" s="1"/>
  <c r="K15" i="17"/>
  <c r="M14" i="9" s="1"/>
  <c r="L15" i="17"/>
  <c r="N14" i="9" s="1"/>
  <c r="M15" i="17"/>
  <c r="O14" i="9" s="1"/>
  <c r="J16" i="17"/>
  <c r="K16" i="17"/>
  <c r="L16" i="17"/>
  <c r="M16" i="17"/>
  <c r="J17" i="17"/>
  <c r="K17" i="17"/>
  <c r="L17" i="17"/>
  <c r="M17" i="17"/>
  <c r="J9" i="17"/>
  <c r="L6" i="9" s="1"/>
  <c r="K9" i="17"/>
  <c r="M6" i="9" s="1"/>
  <c r="L9" i="17"/>
  <c r="N6" i="9" s="1"/>
  <c r="M9" i="17"/>
  <c r="O6" i="9" s="1"/>
  <c r="J10" i="17"/>
  <c r="K10" i="17"/>
  <c r="L10" i="17"/>
  <c r="M10" i="17"/>
  <c r="J11" i="17"/>
  <c r="K11" i="17"/>
  <c r="L11" i="17"/>
  <c r="M11" i="17"/>
  <c r="J4" i="17"/>
  <c r="L5" i="9" s="1"/>
  <c r="K4" i="17"/>
  <c r="M5" i="9" s="1"/>
  <c r="L4" i="17"/>
  <c r="N5" i="9" s="1"/>
  <c r="M4" i="17"/>
  <c r="O5" i="9" s="1"/>
  <c r="J5" i="17"/>
  <c r="K5" i="17"/>
  <c r="L5" i="17"/>
  <c r="M5" i="17"/>
  <c r="J6" i="17"/>
  <c r="K6" i="17"/>
  <c r="L6" i="17"/>
  <c r="M6" i="17"/>
  <c r="I22" i="17"/>
  <c r="I21" i="17"/>
  <c r="I20" i="17"/>
  <c r="I17" i="17"/>
  <c r="I16" i="17"/>
  <c r="I15" i="17"/>
  <c r="I11" i="17"/>
  <c r="I10" i="17"/>
  <c r="I9" i="17"/>
  <c r="K6" i="9" s="1"/>
  <c r="I6" i="17"/>
  <c r="I5" i="17"/>
  <c r="I4" i="17"/>
  <c r="M38" i="17"/>
  <c r="K38" i="17"/>
  <c r="K15" i="9"/>
  <c r="L12" i="17"/>
  <c r="J12" i="17"/>
  <c r="K26" i="9" l="1"/>
  <c r="N7" i="9"/>
  <c r="O7" i="9"/>
  <c r="M7" i="9"/>
  <c r="L7" i="9"/>
  <c r="L7" i="17"/>
  <c r="L41" i="17"/>
  <c r="J34" i="17"/>
  <c r="J29" i="17"/>
  <c r="I34" i="17"/>
  <c r="K7" i="17"/>
  <c r="K23" i="17"/>
  <c r="J38" i="17"/>
  <c r="K41" i="17"/>
  <c r="K8" i="9"/>
  <c r="I12" i="17"/>
  <c r="K7" i="9"/>
  <c r="O8" i="9"/>
  <c r="O10" i="9" s="1"/>
  <c r="I29" i="17"/>
  <c r="N8" i="9"/>
  <c r="N10" i="9" s="1"/>
  <c r="L6" i="18" s="1"/>
  <c r="M8" i="9"/>
  <c r="L8" i="9"/>
  <c r="K17" i="9"/>
  <c r="O17" i="9"/>
  <c r="O19" i="9" s="1"/>
  <c r="M16" i="18" s="1"/>
  <c r="N17" i="9"/>
  <c r="N19" i="9" s="1"/>
  <c r="L16" i="18" s="1"/>
  <c r="M17" i="9"/>
  <c r="M19" i="9" s="1"/>
  <c r="K16" i="18" s="1"/>
  <c r="L17" i="9"/>
  <c r="O16" i="9"/>
  <c r="O18" i="9" s="1"/>
  <c r="M17" i="18" s="1"/>
  <c r="M35" i="12" s="1"/>
  <c r="N16" i="9"/>
  <c r="N18" i="9" s="1"/>
  <c r="L17" i="18" s="1"/>
  <c r="L35" i="12" s="1"/>
  <c r="M16" i="9"/>
  <c r="L16" i="9"/>
  <c r="O26" i="9"/>
  <c r="N26" i="9"/>
  <c r="M26" i="9"/>
  <c r="L26" i="9"/>
  <c r="L28" i="9" s="1"/>
  <c r="J26" i="18" s="1"/>
  <c r="L29" i="17"/>
  <c r="N23" i="9"/>
  <c r="O25" i="9"/>
  <c r="N25" i="9"/>
  <c r="M25" i="9"/>
  <c r="M27" i="9" s="1"/>
  <c r="L25" i="9"/>
  <c r="N32" i="9"/>
  <c r="N37" i="9" s="1"/>
  <c r="L36" i="18" s="1"/>
  <c r="M41" i="17"/>
  <c r="O33" i="9"/>
  <c r="K18" i="17"/>
  <c r="M34" i="17"/>
  <c r="M29" i="17"/>
  <c r="I18" i="17"/>
  <c r="I7" i="17"/>
  <c r="M7" i="17"/>
  <c r="I23" i="17"/>
  <c r="M23" i="17"/>
  <c r="K29" i="17"/>
  <c r="L23" i="17"/>
  <c r="I38" i="17"/>
  <c r="M18" i="17"/>
  <c r="K25" i="9"/>
  <c r="O37" i="9"/>
  <c r="M36" i="18" s="1"/>
  <c r="K36" i="9"/>
  <c r="I37" i="18" s="1"/>
  <c r="I37" i="12" s="1"/>
  <c r="K37" i="9"/>
  <c r="I36" i="18" s="1"/>
  <c r="L34" i="17"/>
  <c r="L38" i="17"/>
  <c r="I41" i="17"/>
  <c r="M28" i="9"/>
  <c r="K26" i="18" s="1"/>
  <c r="K5" i="9"/>
  <c r="K10" i="9" s="1"/>
  <c r="I6" i="18" s="1"/>
  <c r="K23" i="9"/>
  <c r="K34" i="17"/>
  <c r="J41" i="17"/>
  <c r="K14" i="9"/>
  <c r="K24" i="9"/>
  <c r="M37" i="9"/>
  <c r="K36" i="18" s="1"/>
  <c r="J7" i="17"/>
  <c r="M12" i="17"/>
  <c r="K12" i="17"/>
  <c r="J18" i="17"/>
  <c r="L18" i="17"/>
  <c r="J23" i="17"/>
  <c r="K16" i="9"/>
  <c r="L36" i="9"/>
  <c r="J37" i="18" s="1"/>
  <c r="J37" i="12" s="1"/>
  <c r="N36" i="9" l="1"/>
  <c r="L9" i="9"/>
  <c r="L10" i="9"/>
  <c r="J6" i="18" s="1"/>
  <c r="M9" i="9"/>
  <c r="O9" i="9"/>
  <c r="M7" i="18" s="1"/>
  <c r="M34" i="12" s="1"/>
  <c r="N9" i="9"/>
  <c r="N11" i="9" s="1"/>
  <c r="M10" i="9"/>
  <c r="K6" i="18" s="1"/>
  <c r="N38" i="9"/>
  <c r="L37" i="18"/>
  <c r="L37" i="12" s="1"/>
  <c r="M29" i="9"/>
  <c r="K27" i="18"/>
  <c r="K36" i="12" s="1"/>
  <c r="L27" i="9"/>
  <c r="J27" i="18" s="1"/>
  <c r="J36" i="12" s="1"/>
  <c r="O20" i="9"/>
  <c r="M6" i="18"/>
  <c r="M36" i="9"/>
  <c r="O36" i="9"/>
  <c r="O27" i="9"/>
  <c r="M27" i="18" s="1"/>
  <c r="M36" i="12" s="1"/>
  <c r="K38" i="9"/>
  <c r="N27" i="9"/>
  <c r="L27" i="18" s="1"/>
  <c r="L36" i="12" s="1"/>
  <c r="N28" i="9"/>
  <c r="L26" i="18" s="1"/>
  <c r="K19" i="9"/>
  <c r="I16" i="18" s="1"/>
  <c r="K18" i="9"/>
  <c r="I17" i="18" s="1"/>
  <c r="I35" i="12" s="1"/>
  <c r="K9" i="9"/>
  <c r="L29" i="9"/>
  <c r="O28" i="9"/>
  <c r="K27" i="9"/>
  <c r="I27" i="18" s="1"/>
  <c r="I36" i="12" s="1"/>
  <c r="N20" i="9"/>
  <c r="K28" i="9"/>
  <c r="I26" i="18" s="1"/>
  <c r="L37" i="9"/>
  <c r="L18" i="9"/>
  <c r="J17" i="18" s="1"/>
  <c r="J35" i="12" s="1"/>
  <c r="L19" i="9"/>
  <c r="J16" i="18" s="1"/>
  <c r="M18" i="9"/>
  <c r="L11" i="9" l="1"/>
  <c r="J7" i="18"/>
  <c r="J34" i="12" s="1"/>
  <c r="M11" i="9"/>
  <c r="K7" i="18"/>
  <c r="K34" i="12" s="1"/>
  <c r="I46" i="18"/>
  <c r="O11" i="9"/>
  <c r="J38" i="12"/>
  <c r="N36" i="12"/>
  <c r="P10" i="9"/>
  <c r="M38" i="9"/>
  <c r="K37" i="18"/>
  <c r="K37" i="12" s="1"/>
  <c r="K11" i="9"/>
  <c r="I7" i="18"/>
  <c r="I34" i="12" s="1"/>
  <c r="O29" i="9"/>
  <c r="M26" i="18"/>
  <c r="O38" i="9"/>
  <c r="M37" i="18"/>
  <c r="M37" i="12" s="1"/>
  <c r="M38" i="12" s="1"/>
  <c r="P37" i="9"/>
  <c r="J36" i="18"/>
  <c r="M20" i="9"/>
  <c r="K17" i="18"/>
  <c r="K35" i="12" s="1"/>
  <c r="N35" i="12" s="1"/>
  <c r="L7" i="18"/>
  <c r="L34" i="12" s="1"/>
  <c r="L38" i="12" s="1"/>
  <c r="L38" i="9"/>
  <c r="P36" i="9"/>
  <c r="P27" i="9"/>
  <c r="L20" i="9"/>
  <c r="K20" i="9"/>
  <c r="P9" i="9"/>
  <c r="K29" i="9"/>
  <c r="N29" i="9"/>
  <c r="P18" i="9"/>
  <c r="P28" i="9"/>
  <c r="P19" i="9"/>
  <c r="J11" i="6"/>
  <c r="I11" i="6"/>
  <c r="H11" i="6"/>
  <c r="G11" i="6"/>
  <c r="F11" i="6"/>
  <c r="J10" i="6"/>
  <c r="I10" i="6"/>
  <c r="H10" i="6"/>
  <c r="G10" i="6"/>
  <c r="F10" i="6"/>
  <c r="P11" i="9" l="1"/>
  <c r="P20" i="9"/>
  <c r="P38" i="9"/>
  <c r="I38" i="12"/>
  <c r="N34" i="12"/>
  <c r="K38" i="12"/>
  <c r="N37" i="12"/>
  <c r="P29" i="9"/>
  <c r="K41" i="18"/>
  <c r="M31" i="18"/>
  <c r="K31" i="18"/>
  <c r="M21" i="18"/>
  <c r="J21" i="18"/>
  <c r="N38" i="12" l="1"/>
  <c r="J31" i="18"/>
  <c r="I11" i="18"/>
  <c r="K21" i="18"/>
  <c r="L21" i="18"/>
  <c r="I31" i="18"/>
  <c r="L41" i="18"/>
  <c r="L11" i="18"/>
  <c r="J11" i="18"/>
  <c r="I21" i="18"/>
  <c r="L31" i="18"/>
  <c r="J41" i="18"/>
  <c r="M41" i="18"/>
  <c r="M38" i="18"/>
  <c r="M40" i="18" l="1"/>
  <c r="L38" i="18"/>
  <c r="L40" i="18" s="1"/>
  <c r="N6" i="18"/>
  <c r="I47" i="18"/>
  <c r="I8" i="18"/>
  <c r="I10" i="18" s="1"/>
  <c r="M11" i="18"/>
  <c r="K8" i="18"/>
  <c r="L46" i="18"/>
  <c r="L8" i="18"/>
  <c r="L10" i="18" s="1"/>
  <c r="J38" i="18"/>
  <c r="J40" i="18" s="1"/>
  <c r="I28" i="18"/>
  <c r="I30" i="18" s="1"/>
  <c r="N26" i="18"/>
  <c r="N7" i="18"/>
  <c r="I41" i="18"/>
  <c r="J46" i="18"/>
  <c r="K38" i="18"/>
  <c r="K40" i="18" s="1"/>
  <c r="M46" i="18"/>
  <c r="M8" i="18"/>
  <c r="K18" i="18"/>
  <c r="K20" i="18" s="1"/>
  <c r="I38" i="18"/>
  <c r="N36" i="18"/>
  <c r="K11" i="18"/>
  <c r="M18" i="18"/>
  <c r="M20" i="18" s="1"/>
  <c r="K25" i="12" l="1"/>
  <c r="K29" i="12" s="1"/>
  <c r="K44" i="12" s="1"/>
  <c r="K43" i="18"/>
  <c r="J25" i="12"/>
  <c r="J29" i="12" s="1"/>
  <c r="G7" i="6" s="1"/>
  <c r="J43" i="18"/>
  <c r="L25" i="12"/>
  <c r="L29" i="12" s="1"/>
  <c r="L44" i="12" s="1"/>
  <c r="L43" i="18"/>
  <c r="M25" i="12"/>
  <c r="M29" i="12" s="1"/>
  <c r="M44" i="12" s="1"/>
  <c r="M43" i="18"/>
  <c r="I18" i="12"/>
  <c r="I22" i="12" s="1"/>
  <c r="I43" i="12" s="1"/>
  <c r="I33" i="18"/>
  <c r="M11" i="12"/>
  <c r="M15" i="12" s="1"/>
  <c r="M42" i="12" s="1"/>
  <c r="M23" i="18"/>
  <c r="K11" i="12"/>
  <c r="K15" i="12" s="1"/>
  <c r="H5" i="6" s="1"/>
  <c r="K23" i="18"/>
  <c r="L4" i="12"/>
  <c r="L8" i="12" s="1"/>
  <c r="I4" i="6" s="1"/>
  <c r="L13" i="18"/>
  <c r="I4" i="12"/>
  <c r="I8" i="12" s="1"/>
  <c r="I41" i="12" s="1"/>
  <c r="I13" i="18"/>
  <c r="J5" i="6"/>
  <c r="K42" i="12"/>
  <c r="M10" i="18"/>
  <c r="M47" i="18"/>
  <c r="M48" i="18" s="1"/>
  <c r="I40" i="18"/>
  <c r="N8" i="18"/>
  <c r="K46" i="18"/>
  <c r="D15" i="12"/>
  <c r="L28" i="18"/>
  <c r="L30" i="18" s="1"/>
  <c r="M28" i="18"/>
  <c r="M30" i="18" s="1"/>
  <c r="J8" i="18"/>
  <c r="J10" i="18" s="1"/>
  <c r="N37" i="18"/>
  <c r="I18" i="18"/>
  <c r="I20" i="18" s="1"/>
  <c r="N16" i="18"/>
  <c r="J47" i="18"/>
  <c r="J48" i="18" s="1"/>
  <c r="K10" i="18"/>
  <c r="K13" i="18" s="1"/>
  <c r="D8" i="12"/>
  <c r="J7" i="6" l="1"/>
  <c r="H7" i="6"/>
  <c r="I7" i="6"/>
  <c r="F4" i="6"/>
  <c r="F6" i="6"/>
  <c r="L41" i="12"/>
  <c r="I25" i="12"/>
  <c r="I29" i="12" s="1"/>
  <c r="F7" i="6" s="1"/>
  <c r="I43" i="18"/>
  <c r="N43" i="18" s="1"/>
  <c r="J44" i="12"/>
  <c r="M18" i="12"/>
  <c r="M22" i="12" s="1"/>
  <c r="J6" i="6" s="1"/>
  <c r="M33" i="18"/>
  <c r="L18" i="12"/>
  <c r="L22" i="12" s="1"/>
  <c r="I6" i="6" s="1"/>
  <c r="L33" i="18"/>
  <c r="I11" i="12"/>
  <c r="I15" i="12" s="1"/>
  <c r="F5" i="6" s="1"/>
  <c r="I23" i="18"/>
  <c r="J4" i="12"/>
  <c r="J8" i="12" s="1"/>
  <c r="J41" i="12" s="1"/>
  <c r="J13" i="18"/>
  <c r="M4" i="12"/>
  <c r="M8" i="12" s="1"/>
  <c r="J4" i="6" s="1"/>
  <c r="M13" i="18"/>
  <c r="M50" i="18" s="1"/>
  <c r="C38" i="12"/>
  <c r="D38" i="12"/>
  <c r="C22" i="12"/>
  <c r="E22" i="12"/>
  <c r="E43" i="12" s="1"/>
  <c r="N10" i="18"/>
  <c r="N11" i="18" s="1"/>
  <c r="K4" i="12"/>
  <c r="K8" i="12" s="1"/>
  <c r="N40" i="18"/>
  <c r="I48" i="18"/>
  <c r="N46" i="18"/>
  <c r="L47" i="18"/>
  <c r="L48" i="18" s="1"/>
  <c r="L18" i="18"/>
  <c r="L20" i="18" s="1"/>
  <c r="G35" i="12"/>
  <c r="N27" i="18"/>
  <c r="N28" i="18" s="1"/>
  <c r="J28" i="18"/>
  <c r="J30" i="18" s="1"/>
  <c r="J33" i="18" s="1"/>
  <c r="N38" i="18"/>
  <c r="N17" i="18"/>
  <c r="N18" i="18" s="1"/>
  <c r="J18" i="18"/>
  <c r="J20" i="18" s="1"/>
  <c r="K28" i="18"/>
  <c r="K30" i="18" s="1"/>
  <c r="K47" i="18"/>
  <c r="E15" i="12"/>
  <c r="D41" i="12"/>
  <c r="D42" i="12"/>
  <c r="G34" i="12"/>
  <c r="D22" i="12"/>
  <c r="C15" i="12"/>
  <c r="E29" i="12"/>
  <c r="C29" i="12"/>
  <c r="F29" i="12"/>
  <c r="F8" i="12"/>
  <c r="D29" i="12"/>
  <c r="C8" i="12"/>
  <c r="E8" i="12"/>
  <c r="F38" i="12"/>
  <c r="E38" i="12"/>
  <c r="B38" i="12"/>
  <c r="B41" i="12"/>
  <c r="G37" i="12"/>
  <c r="G36" i="12"/>
  <c r="G4" i="6" l="1"/>
  <c r="M43" i="12"/>
  <c r="N13" i="18"/>
  <c r="I44" i="12"/>
  <c r="N44" i="12" s="1"/>
  <c r="I50" i="18"/>
  <c r="I42" i="12"/>
  <c r="M41" i="12"/>
  <c r="K18" i="12"/>
  <c r="K22" i="12" s="1"/>
  <c r="K43" i="12" s="1"/>
  <c r="K33" i="18"/>
  <c r="K50" i="18" s="1"/>
  <c r="L43" i="12"/>
  <c r="L11" i="12"/>
  <c r="L15" i="12" s="1"/>
  <c r="L42" i="12" s="1"/>
  <c r="L23" i="18"/>
  <c r="L50" i="18" s="1"/>
  <c r="N20" i="18"/>
  <c r="N21" i="18" s="1"/>
  <c r="J11" i="12"/>
  <c r="J15" i="12" s="1"/>
  <c r="J42" i="12" s="1"/>
  <c r="J23" i="18"/>
  <c r="J50" i="18" s="1"/>
  <c r="N30" i="18"/>
  <c r="N31" i="18" s="1"/>
  <c r="J18" i="12"/>
  <c r="J22" i="12" s="1"/>
  <c r="H4" i="6"/>
  <c r="K41" i="12"/>
  <c r="H6" i="6"/>
  <c r="N41" i="18"/>
  <c r="B42" i="12"/>
  <c r="K48" i="18"/>
  <c r="N47" i="18"/>
  <c r="N48" i="18" s="1"/>
  <c r="B44" i="12"/>
  <c r="C41" i="12"/>
  <c r="C44" i="12"/>
  <c r="E42" i="12"/>
  <c r="D43" i="12"/>
  <c r="D44" i="12"/>
  <c r="C43" i="12"/>
  <c r="B43" i="12"/>
  <c r="E41" i="12"/>
  <c r="F41" i="12"/>
  <c r="E44" i="12"/>
  <c r="F44" i="12"/>
  <c r="C42" i="12"/>
  <c r="F15" i="12"/>
  <c r="F22" i="12"/>
  <c r="G38" i="12"/>
  <c r="L45" i="12" l="1"/>
  <c r="L48" i="12" s="1"/>
  <c r="M45" i="12"/>
  <c r="M48" i="12" s="1"/>
  <c r="I5" i="6"/>
  <c r="K45" i="12"/>
  <c r="K48" i="12" s="1"/>
  <c r="N41" i="12"/>
  <c r="N42" i="12"/>
  <c r="I45" i="12"/>
  <c r="I48" i="12" s="1"/>
  <c r="N23" i="18"/>
  <c r="N33" i="18"/>
  <c r="G5" i="6"/>
  <c r="G6" i="6"/>
  <c r="J43" i="12"/>
  <c r="J45" i="12" s="1"/>
  <c r="J48" i="12" s="1"/>
  <c r="E45" i="12"/>
  <c r="E48" i="12" s="1"/>
  <c r="B45" i="12"/>
  <c r="B48" i="12" s="1"/>
  <c r="D45" i="12"/>
  <c r="D48" i="12" s="1"/>
  <c r="G44" i="12"/>
  <c r="C45" i="12"/>
  <c r="C48" i="12" s="1"/>
  <c r="G41" i="12"/>
  <c r="F43" i="12"/>
  <c r="G43" i="12" s="1"/>
  <c r="F42" i="12"/>
  <c r="G42" i="12" s="1"/>
  <c r="N43" i="12" l="1"/>
  <c r="N45" i="12"/>
  <c r="N48" i="12" s="1"/>
  <c r="N50" i="18"/>
  <c r="F45" i="12"/>
  <c r="F48" i="12" s="1"/>
  <c r="G45" i="12"/>
  <c r="G48" i="12" s="1"/>
</calcChain>
</file>

<file path=xl/sharedStrings.xml><?xml version="1.0" encoding="utf-8"?>
<sst xmlns="http://schemas.openxmlformats.org/spreadsheetml/2006/main" count="479" uniqueCount="194">
  <si>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</si>
  <si>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</si>
  <si>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</si>
  <si>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</si>
  <si>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Draft determination</t>
  </si>
  <si>
    <t>(a) Opex as percentage of totex</t>
  </si>
  <si>
    <t>(b) Total opex</t>
  </si>
  <si>
    <t>(c) Totex</t>
  </si>
  <si>
    <t>(d) Draft determination natural rate</t>
  </si>
  <si>
    <t>(e) PAYG as a percentage of opex rate</t>
  </si>
  <si>
    <t>(a) = (b) / (c)</t>
  </si>
  <si>
    <t>(e) = (d) / (a)</t>
  </si>
  <si>
    <t>Final determination</t>
  </si>
  <si>
    <t xml:space="preserve">(f) Opex as percentage of totex </t>
  </si>
  <si>
    <t>(g) Total opex</t>
  </si>
  <si>
    <t>(h) Totex</t>
  </si>
  <si>
    <t xml:space="preserve">(i) PAYG as a percentage of opex rate </t>
  </si>
  <si>
    <t xml:space="preserve">(j) Final determination natural rate </t>
  </si>
  <si>
    <t xml:space="preserve">(f) = (g) / (h) </t>
  </si>
  <si>
    <t>(i) = (e)</t>
  </si>
  <si>
    <t xml:space="preserve">(j) = (f) * (i)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</si>
  <si>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</si>
  <si>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</si>
  <si>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</si>
  <si>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</si>
  <si>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</si>
  <si>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</si>
  <si>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</si>
  <si>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</si>
  <si>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</si>
  <si>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PAYG Rates</t>
  </si>
  <si>
    <t>Ofwat - DD</t>
  </si>
  <si>
    <t>Ofwat - FD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</si>
  <si>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</si>
  <si>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</si>
  <si>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</si>
  <si>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</si>
  <si>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</si>
  <si>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</si>
  <si>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</si>
  <si>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</si>
  <si>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</si>
  <si>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Other interventions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</si>
  <si>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</si>
  <si>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</si>
  <si>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</si>
  <si>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</si>
  <si>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</si>
  <si>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Other interventions ~ water network plus</t>
  </si>
  <si>
    <t>Total PAYG rate ~ water network plus</t>
  </si>
  <si>
    <t>PAYG Rate ~ wastewater network plus</t>
  </si>
  <si>
    <t>"Natural" PAYG rate ~ wastewater network plus</t>
  </si>
  <si>
    <t>Adjustments to PAYG rate to address transition from RPI to CPI ~ wastewater network plus</t>
  </si>
  <si>
    <t>Other adjustments to PAYG rate ~ wastewater network plus</t>
  </si>
  <si>
    <t>Other interventions ~ wastewater network plus</t>
  </si>
  <si>
    <t>Total PAYG rate ~ wastewater network plus</t>
  </si>
  <si>
    <t>PAYG Rate ~ bioresources</t>
  </si>
  <si>
    <t>"Natural" PAYG rate ~ bioresources</t>
  </si>
  <si>
    <t>Adjustments to PAYG rate to address transition from RPI to CPI ~ bioresources</t>
  </si>
  <si>
    <t>Other adjustments to PAYG rate ~ bioresources</t>
  </si>
  <si>
    <t>Other interventions ~ bioresources</t>
  </si>
  <si>
    <t>Total PAYG rate - bioresources</t>
  </si>
  <si>
    <t>Totex</t>
  </si>
  <si>
    <t>2020-2025</t>
  </si>
  <si>
    <t>Water resources</t>
  </si>
  <si>
    <t>Water network plus</t>
  </si>
  <si>
    <t>Wastewater network plus</t>
  </si>
  <si>
    <t>Bioresources</t>
  </si>
  <si>
    <t>Total totex</t>
  </si>
  <si>
    <t>PAYG revenue</t>
  </si>
  <si>
    <t>Total PAYG revenue</t>
  </si>
  <si>
    <t>Average PAYG - %</t>
  </si>
  <si>
    <t>Pr19FMTotex_for_PAYG</t>
  </si>
  <si>
    <t>Acronym</t>
  </si>
  <si>
    <t>Reference</t>
  </si>
  <si>
    <t>Item description</t>
  </si>
  <si>
    <t>Unit</t>
  </si>
  <si>
    <t>Model</t>
  </si>
  <si>
    <t>Price Review 2019</t>
  </si>
  <si>
    <t>Latest</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</si>
  <si>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</si>
  <si>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</si>
  <si>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</si>
  <si>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</si>
  <si>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</si>
  <si>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</si>
  <si>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</si>
  <si>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</si>
  <si>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</si>
  <si>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</si>
  <si>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</si>
  <si>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</si>
  <si>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</si>
  <si>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</si>
  <si>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</si>
  <si>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</si>
  <si>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</si>
  <si>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WN - Grants and contributions - capital expenditure - price control - real</t>
  </si>
  <si>
    <t>PR19GC0002</t>
  </si>
  <si>
    <t>WN - Grants and contributions - capital expenditure - non price control - real</t>
  </si>
  <si>
    <t>WN - Grants and contributions - operational expenditure - price control - real</t>
  </si>
  <si>
    <t>PR19GC0004</t>
  </si>
  <si>
    <t>WN - Grants and contributions - operational expenditure - non price control - real</t>
  </si>
  <si>
    <t>WR - Grants and contributions - capital expenditure - price control - real</t>
  </si>
  <si>
    <t>PR19GC0006</t>
  </si>
  <si>
    <t>WR - Grants and contributions - capital expenditure - non price control - real</t>
  </si>
  <si>
    <t>WR - Grants and contributions - operational expenditure - price control - real</t>
  </si>
  <si>
    <t>PR19GC0008</t>
  </si>
  <si>
    <t>WR - Grants and contributions - operational expenditure - non price control - real</t>
  </si>
  <si>
    <t>WWN - Grants and contributions - capital expenditure - price control - real</t>
  </si>
  <si>
    <t>PR19GC0010</t>
  </si>
  <si>
    <t>WWN - Grants and contributions - capital expenditure - non price control - real</t>
  </si>
  <si>
    <t>WWN - Grants and contributions - operational expenditure - price control - real</t>
  </si>
  <si>
    <t>PR19GC0012</t>
  </si>
  <si>
    <t>WWN - Grants and contributions - operational expenditure - non price control - real</t>
  </si>
  <si>
    <t>Water resources Net Opex</t>
  </si>
  <si>
    <t>Water resources Net Capex</t>
  </si>
  <si>
    <t>Water Network</t>
  </si>
  <si>
    <t>Water network Net Opex</t>
  </si>
  <si>
    <t>Water network Net Capex</t>
  </si>
  <si>
    <t>Wastewater Network</t>
  </si>
  <si>
    <t>Wastewater network Net Capex</t>
  </si>
  <si>
    <t>Bioresources Net Opex</t>
  </si>
  <si>
    <t>Bioresources Net Capex</t>
  </si>
  <si>
    <t>Draft determination totex</t>
  </si>
  <si>
    <t>Final determination totex</t>
  </si>
  <si>
    <t>Water totex</t>
  </si>
  <si>
    <t>Total</t>
  </si>
  <si>
    <t>Water resources operating expenditure (amount for totex CR) (post override) - real</t>
  </si>
  <si>
    <t>Capital Expenditure (excluding Atypical expenditure) - Total gross capital expenditure - Water resources</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</si>
  <si>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</si>
  <si>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</si>
  <si>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</si>
  <si>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</si>
  <si>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</si>
  <si>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</si>
  <si>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</si>
  <si>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</si>
  <si>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</si>
  <si>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</si>
  <si>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Wastewater totex</t>
  </si>
  <si>
    <t>Wastewater network operating expenditure (amount for totex CR) (post override) - WWN - real</t>
  </si>
  <si>
    <t>Total gross capital expenditure - WWN - real</t>
  </si>
  <si>
    <t>Wastewater network plus capex grants and contributions</t>
  </si>
  <si>
    <t>Wastewater network plus opex grants and contributions</t>
  </si>
  <si>
    <t>Bio resources totex</t>
  </si>
  <si>
    <t>Bio resources operating expenditure (amount for totex CR) (post override) - real</t>
  </si>
  <si>
    <t>Total gross capital expenditure - BR - real</t>
  </si>
  <si>
    <t>Bioresources capex grants and contributions</t>
  </si>
  <si>
    <t>Bioresources opex grants and contributions</t>
  </si>
  <si>
    <t>PAYG - Water Resources</t>
  </si>
  <si>
    <t>Total Opex</t>
  </si>
  <si>
    <t>Opex as a percentage of totex</t>
  </si>
  <si>
    <t>Draft determination natural rate</t>
  </si>
  <si>
    <t>PAYG as a percentage of opex rate</t>
  </si>
  <si>
    <t>PAYG - Water Network Plus</t>
  </si>
  <si>
    <t>PAYG - Wastewater Network Plus</t>
  </si>
  <si>
    <t>PAYG - Bioresources</t>
  </si>
  <si>
    <t>2020-25</t>
  </si>
  <si>
    <t>C_WR40019</t>
  </si>
  <si>
    <t>%</t>
  </si>
  <si>
    <t>C_WN40019</t>
  </si>
  <si>
    <t>C_WWN60019</t>
  </si>
  <si>
    <t>C_BR50019</t>
  </si>
  <si>
    <t>Total PAYG rate ~ bio resources</t>
  </si>
  <si>
    <t>C_DMMY60019</t>
  </si>
  <si>
    <t xml:space="preserve">Total PAYG rate ~ dummy </t>
  </si>
  <si>
    <t>PR19QA_RR002_OUT_1</t>
  </si>
  <si>
    <t>Date &amp; Time for Model PR19 RR002 Pay as you go (PAYG)</t>
  </si>
  <si>
    <t>text</t>
  </si>
  <si>
    <t>PR19QA_RR002_OUT_2</t>
  </si>
  <si>
    <t>Name &amp; Path of Model PR19 RR002 Pay as you go (PAYG)</t>
  </si>
  <si>
    <t>Calculated capitalised IRE</t>
  </si>
  <si>
    <t>Total calculated capitalised IRE</t>
  </si>
  <si>
    <t>£M</t>
  </si>
  <si>
    <t>SWB</t>
  </si>
  <si>
    <t>PR19 Run 8: Final Determinations</t>
  </si>
  <si>
    <t>PR19GC0061</t>
  </si>
  <si>
    <t>WN - Grants and contributions net of income offset - capital expenditure - price control - real</t>
  </si>
  <si>
    <t>PR19GC0063</t>
  </si>
  <si>
    <t>WN - Grants and contributions net of income offset - operational expenditure - price control - real</t>
  </si>
  <si>
    <t>PR19GC0065</t>
  </si>
  <si>
    <t>WR - Grants and contributions net of income offset - capital expenditure - price control - real</t>
  </si>
  <si>
    <t>PR19GC0067</t>
  </si>
  <si>
    <t>WR - Grants and contributions net of income offset - operational expenditure - price control - real</t>
  </si>
  <si>
    <t>PR19GC0069</t>
  </si>
  <si>
    <t>WWN - Grants and contributions net of income offset - capital expenditure - price control - real</t>
  </si>
  <si>
    <t>PR19GC0071</t>
  </si>
  <si>
    <t>WWN - Grants and contributions net of income offset - operational expenditure - price control - real</t>
  </si>
  <si>
    <t>C_DUMMYCAPEXFM_PR19FM008</t>
  </si>
  <si>
    <t>Dummy - profiled total capex</t>
  </si>
  <si>
    <t>PAYG_OUT</t>
  </si>
  <si>
    <t>PR19_RR002_001</t>
  </si>
  <si>
    <t>IRE expected from totex – real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</si>
</sst>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0_-;\-* #,##0.000_-;_-* &quot;-&quot;??_-;_-@_-"/>
    <numFmt numFmtId="165" formatCode="#,##0.0000_);\(#,##0.0000\);&quot;-  &quot;;&quot; &quot;@&quot; &quot;"/>
    <numFmt numFmtId="166" formatCode="#,##0.00_);\(#,##0.00\);&quot;-  &quot;;&quot; &quot;@&quot; &quot;"/>
    <numFmt numFmtId="167" formatCode="#,##0.000_);\(#,##0.000\);&quot;-  &quot;;&quot; &quot;@&quot; &quot;"/>
    <numFmt numFmtId="168" formatCode="0.0"/>
    <numFmt numFmtId="169" formatCode="#,##0.000"/>
  </numFmts>
  <fonts count="33"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sz val="9"/>
      <name val="Arial"/>
      <family val="2"/>
    </font>
    <font>
      <sz val="11"/>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1"/>
      <color rgb="FF0000FF"/>
      <name val="Arial"/>
      <family val="2"/>
    </font>
    <font>
      <sz val="12"/>
      <color rgb="FF0078C9"/>
      <name val="Franklin Gothic Demi"/>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14">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003892"/>
        <bgColor indexed="64"/>
      </patternFill>
    </fill>
    <fill>
      <patternFill patternType="solid">
        <fgColor theme="4" tint="0.79998168889431442"/>
        <bgColor indexed="64"/>
      </patternFill>
    </fill>
    <fill>
      <patternFill patternType="solid">
        <fgColor theme="5" tint="0.59999389629810485"/>
        <bgColor indexed="64"/>
      </patternFill>
    </fill>
  </fills>
  <borders count="46">
    <border>
      <left/>
      <right/>
      <top/>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medium">
        <color rgb="FF857362"/>
      </left>
      <right/>
      <top style="thin">
        <color rgb="FF857362"/>
      </top>
      <bottom style="medium">
        <color rgb="FF857362"/>
      </bottom>
      <diagonal/>
    </border>
    <border>
      <left style="medium">
        <color rgb="FF857362"/>
      </left>
      <right style="thin">
        <color rgb="FF857362"/>
      </right>
      <top style="thin">
        <color rgb="FF857362"/>
      </top>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857362"/>
      </left>
      <right/>
      <top/>
      <bottom style="thin">
        <color rgb="FF8573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857362"/>
      </left>
      <right style="thin">
        <color rgb="FF857362"/>
      </right>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5" borderId="0" applyBorder="0"/>
    <xf numFmtId="0" fontId="9" fillId="9" borderId="10">
      <alignment horizontal="right" vertical="center" wrapText="1"/>
    </xf>
    <xf numFmtId="0" fontId="10" fillId="0" borderId="0"/>
    <xf numFmtId="0" fontId="10" fillId="0" borderId="0"/>
    <xf numFmtId="0" fontId="1" fillId="0" borderId="0"/>
    <xf numFmtId="165" fontId="10" fillId="0" borderId="0" applyFont="0" applyFill="0" applyBorder="0" applyProtection="0">
      <alignment vertical="top"/>
    </xf>
    <xf numFmtId="0" fontId="1" fillId="0" borderId="0"/>
  </cellStyleXfs>
  <cellXfs count="119">
    <xf numFmtId="0" fontId="0" fillId="0" borderId="0" xfId="0"/>
    <xf numFmtId="0" fontId="0" fillId="3" borderId="0" xfId="0" applyFill="1" applyAlignment="1">
      <alignment vertical="top"/>
    </xf>
    <xf numFmtId="0" fontId="14" fillId="0" borderId="0" xfId="0" applyFont="1"/>
    <xf numFmtId="0" fontId="3" fillId="2" borderId="0" xfId="3" applyFont="1" applyFill="1" applyAlignment="1">
      <alignment vertical="center"/>
    </xf>
    <xf numFmtId="0" fontId="4" fillId="3" borderId="0" xfId="3" applyFont="1" applyFill="1" applyAlignment="1">
      <alignment vertical="center"/>
    </xf>
    <xf numFmtId="164" fontId="4" fillId="3" borderId="0" xfId="1" applyNumberFormat="1" applyFont="1" applyFill="1" applyAlignment="1">
      <alignment vertical="center"/>
    </xf>
    <xf numFmtId="0" fontId="5" fillId="4" borderId="4" xfId="3" applyFont="1" applyFill="1" applyBorder="1" applyAlignment="1">
      <alignment horizontal="left" vertical="center"/>
    </xf>
    <xf numFmtId="164" fontId="5" fillId="4" borderId="1" xfId="1" applyNumberFormat="1" applyFont="1" applyFill="1" applyBorder="1" applyAlignment="1">
      <alignment horizontal="center" vertical="center"/>
    </xf>
    <xf numFmtId="164" fontId="5" fillId="4" borderId="2" xfId="1" applyNumberFormat="1" applyFont="1" applyFill="1" applyBorder="1" applyAlignment="1">
      <alignment horizontal="center" vertical="center"/>
    </xf>
    <xf numFmtId="0" fontId="7" fillId="0" borderId="5" xfId="3" applyFont="1" applyBorder="1" applyAlignment="1">
      <alignment horizontal="left" vertical="center"/>
    </xf>
    <xf numFmtId="0" fontId="7" fillId="0" borderId="12" xfId="3" applyFont="1" applyBorder="1" applyAlignment="1">
      <alignment horizontal="left" vertical="center"/>
    </xf>
    <xf numFmtId="0" fontId="4" fillId="3" borderId="0" xfId="3" applyFont="1" applyFill="1" applyAlignment="1">
      <alignment horizontal="left" vertical="center"/>
    </xf>
    <xf numFmtId="164" fontId="0" fillId="0" borderId="0" xfId="1" applyNumberFormat="1" applyFont="1"/>
    <xf numFmtId="0" fontId="11" fillId="4" borderId="4" xfId="3" applyFont="1" applyFill="1" applyBorder="1" applyAlignment="1">
      <alignment horizontal="left" vertical="center"/>
    </xf>
    <xf numFmtId="0" fontId="5" fillId="4" borderId="3" xfId="3" applyFont="1" applyFill="1" applyBorder="1" applyAlignment="1">
      <alignment vertical="center"/>
    </xf>
    <xf numFmtId="0" fontId="8" fillId="0" borderId="5" xfId="3" applyFont="1" applyBorder="1" applyAlignment="1">
      <alignment vertical="center"/>
    </xf>
    <xf numFmtId="164" fontId="7" fillId="6" borderId="18" xfId="1" applyNumberFormat="1" applyFont="1" applyFill="1" applyBorder="1" applyAlignment="1" applyProtection="1">
      <alignment vertical="center"/>
      <protection locked="0"/>
    </xf>
    <xf numFmtId="164" fontId="7" fillId="6" borderId="7" xfId="1" applyNumberFormat="1" applyFont="1" applyFill="1" applyBorder="1" applyAlignment="1" applyProtection="1">
      <alignment vertical="center"/>
      <protection locked="0"/>
    </xf>
    <xf numFmtId="0" fontId="16" fillId="3" borderId="0" xfId="0" applyFont="1" applyFill="1" applyAlignment="1">
      <alignment vertical="top"/>
    </xf>
    <xf numFmtId="0" fontId="17" fillId="3" borderId="0" xfId="0" applyFont="1" applyFill="1" applyAlignment="1">
      <alignment vertical="top"/>
    </xf>
    <xf numFmtId="0" fontId="8" fillId="0" borderId="15" xfId="3" applyFont="1" applyBorder="1" applyAlignment="1">
      <alignment vertical="center"/>
    </xf>
    <xf numFmtId="10" fontId="7" fillId="8" borderId="19" xfId="2" applyNumberFormat="1" applyFont="1" applyFill="1" applyBorder="1" applyAlignment="1">
      <alignment vertical="center"/>
    </xf>
    <xf numFmtId="10" fontId="7" fillId="8" borderId="14" xfId="2" applyNumberFormat="1" applyFont="1" applyFill="1" applyBorder="1" applyAlignment="1">
      <alignment vertical="center"/>
    </xf>
    <xf numFmtId="0" fontId="18" fillId="0" borderId="0" xfId="3" applyFont="1" applyAlignment="1">
      <alignment vertical="center"/>
    </xf>
    <xf numFmtId="10" fontId="19" fillId="3" borderId="0" xfId="2" applyNumberFormat="1" applyFont="1" applyFill="1" applyAlignment="1">
      <alignment vertical="center"/>
    </xf>
    <xf numFmtId="0" fontId="20" fillId="0" borderId="8" xfId="3" applyFont="1" applyBorder="1" applyAlignment="1">
      <alignment vertical="center"/>
    </xf>
    <xf numFmtId="10" fontId="22" fillId="3" borderId="6" xfId="2" applyNumberFormat="1" applyFont="1" applyFill="1" applyBorder="1" applyAlignment="1">
      <alignment vertical="center"/>
    </xf>
    <xf numFmtId="10" fontId="22" fillId="3" borderId="7" xfId="2" applyNumberFormat="1" applyFont="1" applyFill="1" applyBorder="1" applyAlignment="1">
      <alignment vertical="center"/>
    </xf>
    <xf numFmtId="0" fontId="20" fillId="0" borderId="12" xfId="3" applyFont="1" applyBorder="1" applyAlignment="1">
      <alignment vertical="center"/>
    </xf>
    <xf numFmtId="10" fontId="21" fillId="3" borderId="13" xfId="2" applyNumberFormat="1" applyFont="1" applyFill="1" applyBorder="1" applyAlignment="1">
      <alignment vertical="center"/>
    </xf>
    <xf numFmtId="10" fontId="21" fillId="3" borderId="14" xfId="2" applyNumberFormat="1" applyFont="1" applyFill="1" applyBorder="1" applyAlignment="1">
      <alignment vertical="center"/>
    </xf>
    <xf numFmtId="10" fontId="23" fillId="3" borderId="0" xfId="2" applyNumberFormat="1" applyFont="1" applyFill="1" applyBorder="1" applyAlignment="1">
      <alignment vertical="center"/>
    </xf>
    <xf numFmtId="0" fontId="8" fillId="3" borderId="0" xfId="3" applyFont="1" applyFill="1" applyAlignment="1">
      <alignment vertical="center"/>
    </xf>
    <xf numFmtId="0" fontId="2" fillId="0" borderId="0" xfId="0" applyFont="1"/>
    <xf numFmtId="1" fontId="9" fillId="0" borderId="20" xfId="0" applyNumberFormat="1" applyFont="1" applyBorder="1" applyAlignment="1">
      <alignment horizontal="center" vertical="top"/>
    </xf>
    <xf numFmtId="0" fontId="9" fillId="0" borderId="0" xfId="0" applyFont="1" applyAlignment="1">
      <alignment horizontal="center"/>
    </xf>
    <xf numFmtId="0" fontId="24" fillId="0" borderId="0" xfId="7" applyFont="1" applyAlignment="1" applyProtection="1"/>
    <xf numFmtId="0" fontId="24" fillId="11" borderId="0" xfId="7" applyFont="1" applyFill="1" applyAlignment="1"/>
    <xf numFmtId="0" fontId="9" fillId="0" borderId="20" xfId="0" applyFont="1" applyBorder="1" applyAlignment="1">
      <alignment horizontal="center"/>
    </xf>
    <xf numFmtId="0" fontId="25" fillId="11" borderId="0" xfId="7" applyFont="1" applyFill="1" applyAlignment="1"/>
    <xf numFmtId="0" fontId="24" fillId="0" borderId="0" xfId="7" applyFont="1" applyAlignment="1"/>
    <xf numFmtId="0" fontId="10" fillId="0" borderId="0" xfId="7" applyAlignment="1"/>
    <xf numFmtId="0" fontId="9" fillId="0" borderId="0" xfId="0" applyFont="1" applyBorder="1" applyAlignment="1">
      <alignment horizontal="center"/>
    </xf>
    <xf numFmtId="0" fontId="9" fillId="0" borderId="0" xfId="7" applyFont="1" applyAlignment="1" applyProtection="1"/>
    <xf numFmtId="0" fontId="9" fillId="11" borderId="0" xfId="7" applyFont="1" applyFill="1" applyAlignment="1"/>
    <xf numFmtId="0" fontId="26" fillId="11" borderId="0" xfId="7" applyFont="1" applyFill="1" applyAlignment="1"/>
    <xf numFmtId="166" fontId="26" fillId="0" borderId="0" xfId="10" applyNumberFormat="1" applyFont="1" applyAlignment="1">
      <alignment horizontal="center" vertical="top"/>
    </xf>
    <xf numFmtId="167" fontId="10" fillId="0" borderId="0" xfId="0" applyNumberFormat="1" applyFont="1" applyAlignment="1">
      <alignment vertical="top"/>
    </xf>
    <xf numFmtId="166" fontId="10" fillId="0" borderId="0" xfId="10" applyNumberFormat="1" applyFont="1" applyAlignment="1">
      <alignment horizontal="center" vertical="top"/>
    </xf>
    <xf numFmtId="166" fontId="25" fillId="0" borderId="0" xfId="10" applyNumberFormat="1" applyFont="1" applyAlignment="1">
      <alignment horizontal="center" vertical="top"/>
    </xf>
    <xf numFmtId="0" fontId="10" fillId="0" borderId="0" xfId="7" applyAlignment="1" applyProtection="1"/>
    <xf numFmtId="0" fontId="10" fillId="0" borderId="0" xfId="0" applyFont="1" applyAlignment="1">
      <alignment vertical="top"/>
    </xf>
    <xf numFmtId="0" fontId="10" fillId="0" borderId="0" xfId="11" applyFont="1" applyFill="1" applyBorder="1" applyAlignment="1">
      <alignment vertical="top"/>
    </xf>
    <xf numFmtId="0" fontId="27" fillId="0" borderId="0" xfId="0" applyFont="1"/>
    <xf numFmtId="168" fontId="0" fillId="0" borderId="0" xfId="0" applyNumberFormat="1"/>
    <xf numFmtId="169" fontId="0" fillId="0" borderId="0" xfId="0" applyNumberFormat="1"/>
    <xf numFmtId="1" fontId="9" fillId="0" borderId="0" xfId="0" applyNumberFormat="1" applyFont="1" applyBorder="1" applyAlignment="1">
      <alignment horizontal="center" vertical="top"/>
    </xf>
    <xf numFmtId="166" fontId="10" fillId="0" borderId="21" xfId="10" applyNumberFormat="1" applyFont="1" applyBorder="1" applyAlignment="1">
      <alignment horizontal="center" vertical="top"/>
    </xf>
    <xf numFmtId="166" fontId="10" fillId="0" borderId="22" xfId="10" applyNumberFormat="1" applyFont="1" applyBorder="1" applyAlignment="1">
      <alignment horizontal="center" vertical="top"/>
    </xf>
    <xf numFmtId="166" fontId="10" fillId="0" borderId="23" xfId="10" applyNumberFormat="1" applyFont="1" applyBorder="1" applyAlignment="1">
      <alignment horizontal="center" vertical="top"/>
    </xf>
    <xf numFmtId="0" fontId="7" fillId="0" borderId="24" xfId="3" applyFont="1" applyBorder="1" applyAlignment="1">
      <alignment horizontal="left" vertical="center"/>
    </xf>
    <xf numFmtId="0" fontId="7" fillId="0" borderId="16" xfId="3" applyFont="1" applyBorder="1" applyAlignment="1">
      <alignment horizontal="left" vertical="center"/>
    </xf>
    <xf numFmtId="10" fontId="6" fillId="13" borderId="40" xfId="2" applyNumberFormat="1" applyFont="1" applyFill="1" applyBorder="1" applyAlignment="1">
      <alignment horizontal="center"/>
    </xf>
    <xf numFmtId="10" fontId="6" fillId="13" borderId="41" xfId="2" applyNumberFormat="1" applyFont="1" applyFill="1" applyBorder="1" applyAlignment="1">
      <alignment horizontal="center"/>
    </xf>
    <xf numFmtId="10" fontId="6" fillId="13" borderId="25" xfId="2" applyNumberFormat="1" applyFont="1" applyFill="1" applyBorder="1" applyAlignment="1">
      <alignment horizontal="center"/>
    </xf>
    <xf numFmtId="43" fontId="12" fillId="10" borderId="26" xfId="1" applyFont="1" applyFill="1" applyBorder="1" applyAlignment="1" applyProtection="1">
      <alignment horizontal="center" vertical="center"/>
      <protection locked="0"/>
    </xf>
    <xf numFmtId="43" fontId="12" fillId="10" borderId="27" xfId="1" applyFont="1" applyFill="1" applyBorder="1" applyAlignment="1" applyProtection="1">
      <alignment horizontal="center" vertical="center"/>
      <protection locked="0"/>
    </xf>
    <xf numFmtId="43" fontId="12" fillId="10" borderId="29" xfId="1" applyFont="1" applyFill="1" applyBorder="1" applyAlignment="1" applyProtection="1">
      <alignment horizontal="center" vertical="center"/>
      <protection locked="0"/>
    </xf>
    <xf numFmtId="43" fontId="12" fillId="12" borderId="31" xfId="1" applyFont="1" applyFill="1" applyBorder="1" applyAlignment="1" applyProtection="1">
      <alignment horizontal="center" vertical="center"/>
      <protection locked="0"/>
    </xf>
    <xf numFmtId="43" fontId="12" fillId="10" borderId="28" xfId="1" applyFont="1" applyFill="1" applyBorder="1" applyAlignment="1" applyProtection="1">
      <alignment horizontal="center" vertical="center"/>
      <protection locked="0"/>
    </xf>
    <xf numFmtId="43" fontId="12" fillId="10" borderId="20" xfId="1" applyFont="1" applyFill="1" applyBorder="1" applyAlignment="1" applyProtection="1">
      <alignment horizontal="center" vertical="center"/>
      <protection locked="0"/>
    </xf>
    <xf numFmtId="43" fontId="12" fillId="10" borderId="30" xfId="1" applyFont="1" applyFill="1" applyBorder="1" applyAlignment="1" applyProtection="1">
      <alignment horizontal="center" vertical="center"/>
      <protection locked="0"/>
    </xf>
    <xf numFmtId="43" fontId="12" fillId="12" borderId="32" xfId="1" applyFont="1" applyFill="1" applyBorder="1" applyAlignment="1" applyProtection="1">
      <alignment horizontal="center" vertical="center"/>
      <protection locked="0"/>
    </xf>
    <xf numFmtId="43" fontId="12" fillId="10" borderId="33" xfId="1" applyFont="1" applyFill="1" applyBorder="1" applyAlignment="1" applyProtection="1">
      <alignment horizontal="center" vertical="center"/>
      <protection locked="0"/>
    </xf>
    <xf numFmtId="43" fontId="12" fillId="10" borderId="34" xfId="1" applyFont="1" applyFill="1" applyBorder="1" applyAlignment="1" applyProtection="1">
      <alignment horizontal="center" vertical="center"/>
      <protection locked="0"/>
    </xf>
    <xf numFmtId="43" fontId="12" fillId="10" borderId="35" xfId="1" applyFont="1" applyFill="1" applyBorder="1" applyAlignment="1" applyProtection="1">
      <alignment horizontal="center" vertical="center"/>
      <protection locked="0"/>
    </xf>
    <xf numFmtId="43" fontId="12" fillId="12" borderId="36" xfId="1" applyFont="1" applyFill="1" applyBorder="1" applyAlignment="1" applyProtection="1">
      <alignment horizontal="center" vertical="center"/>
      <protection locked="0"/>
    </xf>
    <xf numFmtId="0" fontId="0" fillId="0" borderId="0" xfId="0" applyAlignment="1">
      <alignment horizontal="center"/>
    </xf>
    <xf numFmtId="0" fontId="7" fillId="0" borderId="42" xfId="3" applyFont="1" applyBorder="1" applyAlignment="1">
      <alignment horizontal="left" vertical="center"/>
    </xf>
    <xf numFmtId="10" fontId="6" fillId="13" borderId="45" xfId="2" applyNumberFormat="1" applyFont="1" applyFill="1" applyBorder="1" applyAlignment="1">
      <alignment horizontal="center"/>
    </xf>
    <xf numFmtId="164" fontId="28" fillId="4" borderId="2" xfId="1" applyNumberFormat="1" applyFont="1" applyFill="1" applyBorder="1" applyAlignment="1">
      <alignment horizontal="left" vertical="center"/>
    </xf>
    <xf numFmtId="0" fontId="13" fillId="0" borderId="0" xfId="11" applyFont="1" applyFill="1" applyBorder="1" applyAlignment="1">
      <alignment vertical="top"/>
    </xf>
    <xf numFmtId="0" fontId="13" fillId="0" borderId="0" xfId="11" applyFont="1" applyFill="1" applyBorder="1" applyAlignment="1">
      <alignment vertical="top" wrapText="1"/>
    </xf>
    <xf numFmtId="0" fontId="9" fillId="0" borderId="0" xfId="11" applyFont="1" applyFill="1" applyBorder="1" applyAlignment="1">
      <alignment vertical="top"/>
    </xf>
    <xf numFmtId="0" fontId="9" fillId="0" borderId="0" xfId="0" applyFont="1"/>
    <xf numFmtId="0" fontId="4" fillId="0" borderId="0" xfId="0" applyFont="1"/>
    <xf numFmtId="0" fontId="10" fillId="0" borderId="0" xfId="7" applyFont="1" applyFill="1" applyAlignment="1">
      <alignment vertical="top"/>
    </xf>
    <xf numFmtId="166" fontId="10" fillId="0" borderId="0" xfId="10" applyNumberFormat="1" applyFill="1">
      <alignment vertical="top"/>
    </xf>
    <xf numFmtId="14" fontId="0" fillId="0" borderId="0" xfId="0" applyNumberFormat="1" applyAlignment="1">
      <alignment vertical="top"/>
    </xf>
    <xf numFmtId="10" fontId="7" fillId="6" borderId="8" xfId="3" applyNumberFormat="1" applyFont="1" applyFill="1" applyBorder="1" applyAlignment="1" applyProtection="1">
      <alignment horizontal="center" vertical="center"/>
      <protection locked="0"/>
    </xf>
    <xf numFmtId="0" fontId="0" fillId="3" borderId="0" xfId="0" applyFill="1" applyAlignment="1">
      <alignment horizontal="center" vertical="top"/>
    </xf>
    <xf numFmtId="10" fontId="7" fillId="6" borderId="9" xfId="3" applyNumberFormat="1" applyFont="1" applyFill="1" applyBorder="1" applyAlignment="1" applyProtection="1">
      <alignment horizontal="center" vertical="center"/>
      <protection locked="0"/>
    </xf>
    <xf numFmtId="10" fontId="7" fillId="6" borderId="10" xfId="3" applyNumberFormat="1" applyFont="1" applyFill="1" applyBorder="1" applyAlignment="1" applyProtection="1">
      <alignment horizontal="center" vertical="center"/>
      <protection locked="0"/>
    </xf>
    <xf numFmtId="10" fontId="7" fillId="6" borderId="11" xfId="3" applyNumberFormat="1" applyFont="1" applyFill="1" applyBorder="1" applyAlignment="1" applyProtection="1">
      <alignment horizontal="center" vertical="center"/>
      <protection locked="0"/>
    </xf>
    <xf numFmtId="10" fontId="7" fillId="6" borderId="17" xfId="3" applyNumberFormat="1" applyFont="1" applyFill="1" applyBorder="1" applyAlignment="1" applyProtection="1">
      <alignment horizontal="center" vertical="center"/>
      <protection locked="0"/>
    </xf>
    <xf numFmtId="10" fontId="7" fillId="6" borderId="43" xfId="3" applyNumberFormat="1" applyFont="1" applyFill="1" applyBorder="1" applyAlignment="1" applyProtection="1">
      <alignment horizontal="center" vertical="center"/>
      <protection locked="0"/>
    </xf>
    <xf numFmtId="10" fontId="7" fillId="6" borderId="44" xfId="3" applyNumberFormat="1" applyFont="1" applyFill="1" applyBorder="1" applyAlignment="1" applyProtection="1">
      <alignment horizontal="center" vertical="center"/>
      <protection locked="0"/>
    </xf>
    <xf numFmtId="10" fontId="15" fillId="8" borderId="12" xfId="3" applyNumberFormat="1" applyFont="1" applyFill="1" applyBorder="1" applyAlignment="1">
      <alignment horizontal="center" vertical="center"/>
    </xf>
    <xf numFmtId="164" fontId="4" fillId="3" borderId="0" xfId="1" applyNumberFormat="1" applyFont="1" applyFill="1" applyAlignment="1">
      <alignment horizontal="center" vertical="center"/>
    </xf>
    <xf numFmtId="10" fontId="12" fillId="10" borderId="8" xfId="4" applyNumberFormat="1" applyFont="1" applyFill="1" applyBorder="1" applyAlignment="1" applyProtection="1">
      <alignment horizontal="center" vertical="center"/>
      <protection locked="0"/>
    </xf>
    <xf numFmtId="0" fontId="29" fillId="0" borderId="0" xfId="0" applyFont="1" applyAlignment="1">
      <alignment horizontal="left" vertical="center" indent="4"/>
    </xf>
    <xf numFmtId="0" fontId="31" fillId="0" borderId="0" xfId="0" applyFont="1" applyAlignment="1">
      <alignment horizontal="left" vertical="center" indent="4"/>
    </xf>
    <xf numFmtId="0" fontId="29" fillId="0" borderId="0" xfId="0" applyFont="1" applyAlignment="1">
      <alignment vertical="center"/>
    </xf>
    <xf numFmtId="0" fontId="29" fillId="7" borderId="0" xfId="0" applyFont="1" applyFill="1" applyAlignment="1">
      <alignment vertical="center"/>
    </xf>
    <xf numFmtId="0" fontId="0" fillId="7" borderId="0" xfId="0" applyFill="1"/>
    <xf numFmtId="0" fontId="29" fillId="0" borderId="0" xfId="0" applyFont="1" applyAlignment="1">
      <alignment horizontal="left" vertical="top"/>
    </xf>
    <xf numFmtId="0" fontId="29" fillId="7" borderId="0" xfId="0" applyFont="1" applyFill="1" applyAlignment="1">
      <alignment horizontal="left" vertical="top"/>
    </xf>
    <xf numFmtId="0" fontId="32" fillId="0" borderId="0" xfId="0" applyFont="1" applyAlignment="1">
      <alignment horizontal="left" vertical="center" indent="8"/>
    </xf>
    <xf numFmtId="10" fontId="0" fillId="3" borderId="0" xfId="0" applyNumberFormat="1" applyFill="1" applyAlignment="1">
      <alignment vertical="top"/>
    </xf>
    <xf numFmtId="43" fontId="9" fillId="0" borderId="0" xfId="1" applyFont="1"/>
    <xf numFmtId="10" fontId="0" fillId="0" borderId="0" xfId="0" applyNumberFormat="1"/>
    <xf numFmtId="10" fontId="9" fillId="0" borderId="0" xfId="0" applyNumberFormat="1" applyFont="1"/>
    <xf numFmtId="43" fontId="6" fillId="12" borderId="37" xfId="1" applyNumberFormat="1" applyFont="1" applyFill="1" applyBorder="1" applyAlignment="1">
      <alignment horizontal="center"/>
    </xf>
    <xf numFmtId="43" fontId="6" fillId="12" borderId="38" xfId="1" applyNumberFormat="1" applyFont="1" applyFill="1" applyBorder="1" applyAlignment="1">
      <alignment horizontal="center"/>
    </xf>
    <xf numFmtId="43" fontId="6" fillId="12" borderId="39" xfId="1" applyNumberFormat="1" applyFont="1" applyFill="1" applyBorder="1" applyAlignment="1">
      <alignment horizontal="center"/>
    </xf>
    <xf numFmtId="43" fontId="6" fillId="12" borderId="25" xfId="1" applyNumberFormat="1" applyFont="1" applyFill="1" applyBorder="1" applyAlignment="1">
      <alignment horizontal="center"/>
    </xf>
    <xf numFmtId="43" fontId="0" fillId="0" borderId="0" xfId="0" applyNumberFormat="1"/>
    <xf numFmtId="164" fontId="3" fillId="2" borderId="0" xfId="1" applyNumberFormat="1" applyFont="1" applyFill="1" applyAlignment="1">
      <alignment horizontal="center" vertical="center"/>
    </xf>
    <xf numFmtId="164" fontId="3" fillId="2" borderId="0" xfId="1" quotePrefix="1" applyNumberFormat="1" applyFont="1" applyFill="1" applyAlignment="1">
      <alignment horizontal="center"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4" name="Group 3">
          <a:extLst>
            <a:ext uri="{FF2B5EF4-FFF2-40B4-BE49-F238E27FC236}">
              <a16:creationId xmlns="" xmlns:a16="http://schemas.microsoft.com/office/drawing/2014/main" id="{00000000-0008-0000-0000-000004000000}"/>
            </a:ext>
          </a:extLst>
        </xdr:cNvPr>
        <xdr:cNvGrpSpPr/>
      </xdr:nvGrpSpPr>
      <xdr:grpSpPr>
        <a:xfrm>
          <a:off x="1086179" y="422275"/>
          <a:ext cx="2813544" cy="3648075"/>
          <a:chOff x="950026" y="16903"/>
          <a:chExt cx="2220686" cy="3236845"/>
        </a:xfrm>
      </xdr:grpSpPr>
      <xdr:sp macro="" textlink="">
        <xdr:nvSpPr>
          <xdr:cNvPr id="5" name="Rounded Rectangle 4">
            <a:extLst>
              <a:ext uri="{FF2B5EF4-FFF2-40B4-BE49-F238E27FC236}">
                <a16:creationId xmlns="" xmlns:a16="http://schemas.microsoft.com/office/drawing/2014/main"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6" name="Rounded Rectangle 5">
            <a:extLst>
              <a:ext uri="{FF2B5EF4-FFF2-40B4-BE49-F238E27FC236}">
                <a16:creationId xmlns="" xmlns:a16="http://schemas.microsoft.com/office/drawing/2014/main"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7" name="Rounded Rectangle 6">
            <a:extLst>
              <a:ext uri="{FF2B5EF4-FFF2-40B4-BE49-F238E27FC236}">
                <a16:creationId xmlns="" xmlns:a16="http://schemas.microsoft.com/office/drawing/2014/main"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9" name="Straight Arrow Connector 8">
            <a:extLst>
              <a:ext uri="{FF2B5EF4-FFF2-40B4-BE49-F238E27FC236}">
                <a16:creationId xmlns="" xmlns:a16="http://schemas.microsoft.com/office/drawing/2014/main"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 xmlns:a16="http://schemas.microsoft.com/office/drawing/2014/main" id="{00000000-0008-0000-0000-00000B000000}"/>
              </a:ext>
            </a:extLst>
          </xdr:cNvPr>
          <xdr:cNvCxnSpPr>
            <a:stCxn id="6"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Rounded Rectangle 12">
            <a:extLst>
              <a:ext uri="{FF2B5EF4-FFF2-40B4-BE49-F238E27FC236}">
                <a16:creationId xmlns="" xmlns:a16="http://schemas.microsoft.com/office/drawing/2014/main"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14" name="Straight Arrow Connector 13">
            <a:extLst>
              <a:ext uri="{FF2B5EF4-FFF2-40B4-BE49-F238E27FC236}">
                <a16:creationId xmlns="" xmlns:a16="http://schemas.microsoft.com/office/drawing/2014/main" id="{00000000-0008-0000-0000-00000E000000}"/>
              </a:ext>
            </a:extLst>
          </xdr:cNvPr>
          <xdr:cNvCxnSpPr>
            <a:stCxn id="7" idx="2"/>
            <a:endCxn id="13"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66"/>
  <sheetViews>
    <sheetView tabSelected="1" workbookViewId="0"/>
  </sheetViews>
  <sheetFormatPr defaultRowHeight="14" x14ac:dyDescent="0.3"/>
  <sheetData>
    <row r="1" spans="1:1" x14ac:dyDescent="0.3">
      <c r="A1" s="2"/>
    </row>
    <row r="7" spans="1:1" x14ac:dyDescent="0.3">
      <c r="A7" s="2"/>
    </row>
    <row r="12" spans="1:1" x14ac:dyDescent="0.3">
      <c r="A12" s="2"/>
    </row>
    <row r="17" spans="1:2" x14ac:dyDescent="0.3">
      <c r="A17" s="2"/>
    </row>
    <row r="22" spans="1:2" x14ac:dyDescent="0.3">
      <c r="A22" s="2"/>
    </row>
    <row r="26" spans="1:2" x14ac:dyDescent="0.3">
      <c r="A26" s="2"/>
    </row>
    <row r="27" spans="1:2" ht="15.5" x14ac:dyDescent="0.3">
      <c r="A27" s="100" t="s">
        <v>0</v>
      </c>
    </row>
    <row r="28" spans="1:2" ht="15.5" x14ac:dyDescent="0.3">
      <c r="A28" s="100"/>
    </row>
    <row r="29" spans="1:2" ht="15.5" x14ac:dyDescent="0.3">
      <c r="A29" s="100" t="s">
        <v>1</v>
      </c>
    </row>
    <row r="30" spans="1:2" ht="15.5" x14ac:dyDescent="0.3">
      <c r="A30" s="100"/>
    </row>
    <row r="31" spans="1:2" ht="15.5" x14ac:dyDescent="0.3">
      <c r="A31" s="100" t="s">
        <v>2</v>
      </c>
    </row>
    <row r="32" spans="1:2" ht="15.5" x14ac:dyDescent="0.3">
      <c r="A32" s="100"/>
      <c r="B32" t="s">
        <v>3</v>
      </c>
    </row>
    <row r="33" spans="1:3" ht="15.5" x14ac:dyDescent="0.3">
      <c r="A33" s="100"/>
    </row>
    <row r="34" spans="1:3" ht="15.5" x14ac:dyDescent="0.3">
      <c r="A34" s="101" t="s">
        <v>4</v>
      </c>
    </row>
    <row r="35" spans="1:3" ht="15.5" x14ac:dyDescent="0.3">
      <c r="B35" s="102" t="s">
        <v>5</v>
      </c>
    </row>
    <row r="36" spans="1:3" ht="15.5" x14ac:dyDescent="0.3">
      <c r="B36" s="102" t="s">
        <v>6</v>
      </c>
    </row>
    <row r="37" spans="1:3" ht="15.5" x14ac:dyDescent="0.3">
      <c r="B37" s="102" t="s">
        <v>7</v>
      </c>
    </row>
    <row r="38" spans="1:3" ht="15.5" x14ac:dyDescent="0.3">
      <c r="B38" s="102" t="s">
        <v>8</v>
      </c>
    </row>
    <row r="39" spans="1:3" ht="15.5" x14ac:dyDescent="0.3">
      <c r="B39" s="102" t="s">
        <v>9</v>
      </c>
    </row>
    <row r="40" spans="1:3" ht="15.5" x14ac:dyDescent="0.3">
      <c r="A40" s="102"/>
    </row>
    <row r="41" spans="1:3" ht="15.5" x14ac:dyDescent="0.3">
      <c r="B41" s="103" t="s">
        <v>10</v>
      </c>
      <c r="C41" s="104"/>
    </row>
    <row r="42" spans="1:3" ht="15.5" x14ac:dyDescent="0.3">
      <c r="B42" s="103" t="s">
        <v>11</v>
      </c>
      <c r="C42" s="104"/>
    </row>
    <row r="43" spans="1:3" ht="15.5" x14ac:dyDescent="0.3">
      <c r="A43" s="102"/>
    </row>
    <row r="44" spans="1:3" ht="15.5" x14ac:dyDescent="0.3">
      <c r="A44" s="101" t="s">
        <v>12</v>
      </c>
    </row>
    <row r="45" spans="1:3" ht="15.5" x14ac:dyDescent="0.3">
      <c r="A45" s="101"/>
    </row>
    <row r="46" spans="1:3" ht="15.5" x14ac:dyDescent="0.3">
      <c r="B46" s="105" t="s">
        <v>13</v>
      </c>
    </row>
    <row r="47" spans="1:3" ht="15.5" x14ac:dyDescent="0.3">
      <c r="B47" s="105" t="s">
        <v>14</v>
      </c>
    </row>
    <row r="48" spans="1:3" ht="15.5" x14ac:dyDescent="0.3">
      <c r="B48" s="105" t="s">
        <v>15</v>
      </c>
    </row>
    <row r="49" spans="1:3" ht="15.5" x14ac:dyDescent="0.3">
      <c r="B49" s="105" t="s">
        <v>16</v>
      </c>
    </row>
    <row r="50" spans="1:3" ht="15.5" x14ac:dyDescent="0.3">
      <c r="B50" s="105" t="s">
        <v>17</v>
      </c>
    </row>
    <row r="51" spans="1:3" ht="15.5" x14ac:dyDescent="0.3">
      <c r="B51" s="105"/>
    </row>
    <row r="52" spans="1:3" ht="15.5" x14ac:dyDescent="0.3">
      <c r="B52" s="106" t="s">
        <v>18</v>
      </c>
      <c r="C52" s="104"/>
    </row>
    <row r="53" spans="1:3" ht="15.5" x14ac:dyDescent="0.3">
      <c r="B53" s="106" t="s">
        <v>19</v>
      </c>
      <c r="C53" s="104"/>
    </row>
    <row r="54" spans="1:3" ht="15.5" x14ac:dyDescent="0.3">
      <c r="B54" s="106" t="s">
        <v>20</v>
      </c>
      <c r="C54" s="104"/>
    </row>
    <row r="55" spans="1:3" ht="15.5" x14ac:dyDescent="0.3">
      <c r="A55" s="102"/>
    </row>
    <row r="56" spans="1:3" ht="15.5" x14ac:dyDescent="0.3">
      <c r="A56" s="100" t="s">
        <v>21</v>
      </c>
    </row>
    <row r="57" spans="1:3" ht="15.5" x14ac:dyDescent="0.3">
      <c r="A57" s="100"/>
    </row>
    <row r="58" spans="1:3" ht="15.5" x14ac:dyDescent="0.3">
      <c r="A58" s="107" t="s">
        <v>22</v>
      </c>
    </row>
    <row r="59" spans="1:3" ht="15.5" x14ac:dyDescent="0.3">
      <c r="A59" s="107" t="s">
        <v>23</v>
      </c>
    </row>
    <row r="60" spans="1:3" ht="15.5" x14ac:dyDescent="0.3">
      <c r="A60" s="107" t="s">
        <v>24</v>
      </c>
    </row>
    <row r="61" spans="1:3" ht="15.5" x14ac:dyDescent="0.3">
      <c r="A61" s="107" t="s">
        <v>25</v>
      </c>
    </row>
    <row r="62" spans="1:3" ht="15.5" x14ac:dyDescent="0.3">
      <c r="A62" s="107" t="s">
        <v>26</v>
      </c>
    </row>
    <row r="63" spans="1:3" ht="15.5" x14ac:dyDescent="0.3">
      <c r="A63" s="107"/>
    </row>
    <row r="64" spans="1:3" ht="15.5" x14ac:dyDescent="0.3">
      <c r="B64" s="102" t="s">
        <v>27</v>
      </c>
    </row>
    <row r="65" spans="2:2" ht="15.5" x14ac:dyDescent="0.3">
      <c r="B65" s="102" t="s">
        <v>28</v>
      </c>
    </row>
    <row r="66" spans="2:2" ht="15.5" x14ac:dyDescent="0.3">
      <c r="B66" s="102" t="s">
        <v>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62"/>
  <sheetViews>
    <sheetView zoomScale="90" zoomScaleNormal="90" workbookViewId="0"/>
  </sheetViews>
  <sheetFormatPr defaultColWidth="9" defaultRowHeight="14" zeroHeight="1" x14ac:dyDescent="0.3"/>
  <cols>
    <col min="1" max="1" width="51.33203125" customWidth="1"/>
    <col min="2" max="6" width="10.25" customWidth="1"/>
    <col min="7" max="7" width="10.5" customWidth="1"/>
    <col min="8" max="8" width="4" customWidth="1"/>
    <col min="9" max="13" width="10.25" customWidth="1"/>
    <col min="14" max="14" width="10.5" customWidth="1"/>
  </cols>
  <sheetData>
    <row r="1" spans="1:13" s="1" customFormat="1" ht="20" x14ac:dyDescent="0.3">
      <c r="A1" s="3" t="s">
        <v>30</v>
      </c>
      <c r="B1" s="117" t="s">
        <v>31</v>
      </c>
      <c r="C1" s="117"/>
      <c r="D1" s="117"/>
      <c r="E1" s="117"/>
      <c r="F1" s="117"/>
      <c r="I1" s="117" t="s">
        <v>32</v>
      </c>
      <c r="J1" s="117"/>
      <c r="K1" s="117"/>
      <c r="L1" s="117"/>
      <c r="M1" s="117"/>
    </row>
    <row r="2" spans="1:13" s="1" customFormat="1" ht="14.5" thickBot="1" x14ac:dyDescent="0.35">
      <c r="A2" s="4"/>
    </row>
    <row r="3" spans="1:13" s="1" customFormat="1" ht="14.5" thickBot="1" x14ac:dyDescent="0.35">
      <c r="A3" s="6" t="s">
        <v>33</v>
      </c>
      <c r="B3" s="7" t="s">
        <v>34</v>
      </c>
      <c r="C3" s="7" t="s">
        <v>35</v>
      </c>
      <c r="D3" s="7" t="s">
        <v>36</v>
      </c>
      <c r="E3" s="7" t="s">
        <v>37</v>
      </c>
      <c r="F3" s="8" t="s">
        <v>38</v>
      </c>
      <c r="I3" s="7" t="s">
        <v>34</v>
      </c>
      <c r="J3" s="7" t="s">
        <v>35</v>
      </c>
      <c r="K3" s="7" t="s">
        <v>36</v>
      </c>
      <c r="L3" s="7" t="s">
        <v>37</v>
      </c>
      <c r="M3" s="8" t="s">
        <v>38</v>
      </c>
    </row>
    <row r="4" spans="1:13" s="1" customFormat="1" x14ac:dyDescent="0.3">
      <c r="A4" s="9" t="s">
        <v>39</v>
      </c>
      <c r="B4" s="89">
        <f>PAYG!B10</f>
        <v>0.8190826891952615</v>
      </c>
      <c r="C4" s="89">
        <f>PAYG!C10</f>
        <v>0.7659191409973547</v>
      </c>
      <c r="D4" s="89">
        <f>PAYG!D10</f>
        <v>0.81726661986053295</v>
      </c>
      <c r="E4" s="89">
        <f>PAYG!E10</f>
        <v>0.84076309005926986</v>
      </c>
      <c r="F4" s="89">
        <f>PAYG!F10</f>
        <v>0.84393365222376637</v>
      </c>
      <c r="I4" s="89">
        <f>PAYG!I10</f>
        <v>0.78358072185587146</v>
      </c>
      <c r="J4" s="89">
        <f>PAYG!J10</f>
        <v>0.72609548793537082</v>
      </c>
      <c r="K4" s="89">
        <f>PAYG!K10</f>
        <v>0.77787169059984795</v>
      </c>
      <c r="L4" s="89">
        <f>PAYG!L10</f>
        <v>0.80658401515760769</v>
      </c>
      <c r="M4" s="89">
        <f>PAYG!M10</f>
        <v>0.83080030243124037</v>
      </c>
    </row>
    <row r="5" spans="1:13" s="1" customFormat="1" x14ac:dyDescent="0.3">
      <c r="A5" s="9" t="s">
        <v>40</v>
      </c>
      <c r="B5" s="91">
        <v>0</v>
      </c>
      <c r="C5" s="92">
        <v>0</v>
      </c>
      <c r="D5" s="92">
        <v>0</v>
      </c>
      <c r="E5" s="92">
        <v>0</v>
      </c>
      <c r="F5" s="93">
        <v>0</v>
      </c>
      <c r="I5" s="91">
        <v>0</v>
      </c>
      <c r="J5" s="92">
        <v>0</v>
      </c>
      <c r="K5" s="92">
        <v>0</v>
      </c>
      <c r="L5" s="92">
        <v>0</v>
      </c>
      <c r="M5" s="93">
        <v>0</v>
      </c>
    </row>
    <row r="6" spans="1:13" s="1" customFormat="1" x14ac:dyDescent="0.3">
      <c r="A6" s="9" t="s">
        <v>41</v>
      </c>
      <c r="B6" s="91">
        <v>0</v>
      </c>
      <c r="C6" s="92">
        <v>0</v>
      </c>
      <c r="D6" s="92">
        <v>0</v>
      </c>
      <c r="E6" s="92">
        <v>0</v>
      </c>
      <c r="F6" s="93">
        <v>0</v>
      </c>
      <c r="I6" s="91">
        <v>0</v>
      </c>
      <c r="J6" s="92">
        <v>0</v>
      </c>
      <c r="K6" s="92">
        <v>0</v>
      </c>
      <c r="L6" s="92">
        <v>0</v>
      </c>
      <c r="M6" s="93">
        <v>0</v>
      </c>
    </row>
    <row r="7" spans="1:13" s="1" customFormat="1" x14ac:dyDescent="0.3">
      <c r="A7" s="78" t="s">
        <v>42</v>
      </c>
      <c r="B7" s="94">
        <v>0</v>
      </c>
      <c r="C7" s="95">
        <v>0</v>
      </c>
      <c r="D7" s="95">
        <v>0</v>
      </c>
      <c r="E7" s="95">
        <v>0</v>
      </c>
      <c r="F7" s="96">
        <v>0</v>
      </c>
      <c r="I7" s="91">
        <v>0</v>
      </c>
      <c r="J7" s="92">
        <v>0</v>
      </c>
      <c r="K7" s="92">
        <v>0</v>
      </c>
      <c r="L7" s="92">
        <v>0</v>
      </c>
      <c r="M7" s="93">
        <v>0</v>
      </c>
    </row>
    <row r="8" spans="1:13" s="1" customFormat="1" ht="14.5" thickBot="1" x14ac:dyDescent="0.35">
      <c r="A8" s="10" t="s">
        <v>43</v>
      </c>
      <c r="B8" s="97">
        <f>SUM(B4:B7)</f>
        <v>0.8190826891952615</v>
      </c>
      <c r="C8" s="97">
        <f t="shared" ref="C8:F8" si="0">SUM(C4:C7)</f>
        <v>0.7659191409973547</v>
      </c>
      <c r="D8" s="97">
        <f t="shared" si="0"/>
        <v>0.81726661986053295</v>
      </c>
      <c r="E8" s="97">
        <f t="shared" si="0"/>
        <v>0.84076309005926986</v>
      </c>
      <c r="F8" s="97">
        <f t="shared" si="0"/>
        <v>0.84393365222376637</v>
      </c>
      <c r="I8" s="97">
        <f>SUM(I4:I7)</f>
        <v>0.78358072185587146</v>
      </c>
      <c r="J8" s="97">
        <f t="shared" ref="J8:M8" si="1">SUM(J4:J7)</f>
        <v>0.72609548793537082</v>
      </c>
      <c r="K8" s="97">
        <f t="shared" si="1"/>
        <v>0.77787169059984795</v>
      </c>
      <c r="L8" s="97">
        <f t="shared" si="1"/>
        <v>0.80658401515760769</v>
      </c>
      <c r="M8" s="97">
        <f t="shared" si="1"/>
        <v>0.83080030243124037</v>
      </c>
    </row>
    <row r="9" spans="1:13" s="1" customFormat="1" ht="14.5" thickBot="1" x14ac:dyDescent="0.35">
      <c r="A9" s="11"/>
      <c r="B9" s="98"/>
      <c r="C9" s="98"/>
      <c r="D9" s="90"/>
      <c r="E9" s="90"/>
      <c r="F9" s="90"/>
      <c r="I9" s="98"/>
      <c r="J9" s="98"/>
      <c r="K9" s="90"/>
      <c r="L9" s="90"/>
      <c r="M9" s="90"/>
    </row>
    <row r="10" spans="1:13" s="1" customFormat="1" ht="14.5" thickBot="1" x14ac:dyDescent="0.35">
      <c r="A10" s="6" t="s">
        <v>44</v>
      </c>
      <c r="B10" s="7" t="s">
        <v>34</v>
      </c>
      <c r="C10" s="7" t="s">
        <v>35</v>
      </c>
      <c r="D10" s="7" t="s">
        <v>36</v>
      </c>
      <c r="E10" s="7" t="s">
        <v>37</v>
      </c>
      <c r="F10" s="8" t="s">
        <v>38</v>
      </c>
      <c r="I10" s="7" t="s">
        <v>34</v>
      </c>
      <c r="J10" s="7" t="s">
        <v>35</v>
      </c>
      <c r="K10" s="7" t="s">
        <v>36</v>
      </c>
      <c r="L10" s="7" t="s">
        <v>37</v>
      </c>
      <c r="M10" s="8" t="s">
        <v>38</v>
      </c>
    </row>
    <row r="11" spans="1:13" s="1" customFormat="1" x14ac:dyDescent="0.3">
      <c r="A11" s="9" t="s">
        <v>45</v>
      </c>
      <c r="B11" s="89">
        <f>PAYG!B20</f>
        <v>0.69511541783688624</v>
      </c>
      <c r="C11" s="89">
        <f>PAYG!C20</f>
        <v>0.64372800918474804</v>
      </c>
      <c r="D11" s="89">
        <f>PAYG!D20</f>
        <v>0.58008120149992382</v>
      </c>
      <c r="E11" s="89">
        <f>PAYG!E20</f>
        <v>0.58865184377245439</v>
      </c>
      <c r="F11" s="89">
        <f>PAYG!F20</f>
        <v>0.6031582914239676</v>
      </c>
      <c r="I11" s="89">
        <f>PAYG!I20</f>
        <v>0.64989657071102391</v>
      </c>
      <c r="J11" s="89">
        <f>PAYG!J20</f>
        <v>0.60820071670222997</v>
      </c>
      <c r="K11" s="89">
        <f>PAYG!K20</f>
        <v>0.5567970332104103</v>
      </c>
      <c r="L11" s="89">
        <f>PAYG!L20</f>
        <v>0.56119058402122857</v>
      </c>
      <c r="M11" s="89">
        <f>PAYG!M20</f>
        <v>0.57101186182154529</v>
      </c>
    </row>
    <row r="12" spans="1:13" s="1" customFormat="1" x14ac:dyDescent="0.3">
      <c r="A12" s="9" t="s">
        <v>46</v>
      </c>
      <c r="B12" s="91">
        <v>0</v>
      </c>
      <c r="C12" s="92">
        <v>0</v>
      </c>
      <c r="D12" s="92">
        <v>0</v>
      </c>
      <c r="E12" s="92">
        <v>0</v>
      </c>
      <c r="F12" s="93">
        <v>0</v>
      </c>
      <c r="I12" s="91">
        <v>0</v>
      </c>
      <c r="J12" s="92">
        <v>0</v>
      </c>
      <c r="K12" s="92">
        <v>0</v>
      </c>
      <c r="L12" s="92">
        <v>0</v>
      </c>
      <c r="M12" s="93">
        <v>0</v>
      </c>
    </row>
    <row r="13" spans="1:13" s="1" customFormat="1" x14ac:dyDescent="0.3">
      <c r="A13" s="9" t="s">
        <v>47</v>
      </c>
      <c r="B13" s="91">
        <v>0</v>
      </c>
      <c r="C13" s="92">
        <v>0</v>
      </c>
      <c r="D13" s="92">
        <v>0</v>
      </c>
      <c r="E13" s="92">
        <v>0</v>
      </c>
      <c r="F13" s="93">
        <v>0</v>
      </c>
      <c r="I13" s="91">
        <v>0</v>
      </c>
      <c r="J13" s="92">
        <v>0</v>
      </c>
      <c r="K13" s="92">
        <v>0</v>
      </c>
      <c r="L13" s="92">
        <v>0</v>
      </c>
      <c r="M13" s="93">
        <v>0</v>
      </c>
    </row>
    <row r="14" spans="1:13" s="1" customFormat="1" x14ac:dyDescent="0.3">
      <c r="A14" s="78" t="s">
        <v>48</v>
      </c>
      <c r="B14" s="94">
        <v>0</v>
      </c>
      <c r="C14" s="95">
        <v>0</v>
      </c>
      <c r="D14" s="95">
        <v>0</v>
      </c>
      <c r="E14" s="95">
        <v>0</v>
      </c>
      <c r="F14" s="96">
        <v>0</v>
      </c>
      <c r="I14" s="91">
        <v>0</v>
      </c>
      <c r="J14" s="92">
        <v>0</v>
      </c>
      <c r="K14" s="92">
        <v>0</v>
      </c>
      <c r="L14" s="92">
        <v>0</v>
      </c>
      <c r="M14" s="93">
        <v>0</v>
      </c>
    </row>
    <row r="15" spans="1:13" s="1" customFormat="1" ht="14.5" thickBot="1" x14ac:dyDescent="0.35">
      <c r="A15" s="10" t="s">
        <v>49</v>
      </c>
      <c r="B15" s="97">
        <f>SUM(B11:B14)</f>
        <v>0.69511541783688624</v>
      </c>
      <c r="C15" s="97">
        <f t="shared" ref="C15" si="2">SUM(C11:C14)</f>
        <v>0.64372800918474804</v>
      </c>
      <c r="D15" s="97">
        <f t="shared" ref="D15" si="3">SUM(D11:D14)</f>
        <v>0.58008120149992382</v>
      </c>
      <c r="E15" s="97">
        <f t="shared" ref="E15" si="4">SUM(E11:E14)</f>
        <v>0.58865184377245439</v>
      </c>
      <c r="F15" s="97">
        <f t="shared" ref="F15" si="5">SUM(F11:F14)</f>
        <v>0.6031582914239676</v>
      </c>
      <c r="I15" s="97">
        <f>SUM(I11:I14)</f>
        <v>0.64989657071102391</v>
      </c>
      <c r="J15" s="97">
        <f t="shared" ref="J15:M15" si="6">SUM(J11:J14)</f>
        <v>0.60820071670222997</v>
      </c>
      <c r="K15" s="97">
        <f t="shared" si="6"/>
        <v>0.5567970332104103</v>
      </c>
      <c r="L15" s="97">
        <f t="shared" si="6"/>
        <v>0.56119058402122857</v>
      </c>
      <c r="M15" s="97">
        <f t="shared" si="6"/>
        <v>0.57101186182154529</v>
      </c>
    </row>
    <row r="16" spans="1:13" s="1" customFormat="1" ht="14.5" thickBot="1" x14ac:dyDescent="0.35">
      <c r="A16" s="11"/>
      <c r="B16" s="98"/>
      <c r="C16" s="98"/>
      <c r="D16" s="90"/>
      <c r="E16" s="90"/>
      <c r="F16" s="90"/>
      <c r="I16" s="98"/>
      <c r="J16" s="98"/>
      <c r="K16" s="90"/>
      <c r="L16" s="90"/>
      <c r="M16" s="90"/>
    </row>
    <row r="17" spans="1:13" s="1" customFormat="1" ht="14.5" thickBot="1" x14ac:dyDescent="0.35">
      <c r="A17" s="6" t="s">
        <v>50</v>
      </c>
      <c r="B17" s="7" t="s">
        <v>34</v>
      </c>
      <c r="C17" s="7" t="s">
        <v>35</v>
      </c>
      <c r="D17" s="7" t="s">
        <v>36</v>
      </c>
      <c r="E17" s="7" t="s">
        <v>37</v>
      </c>
      <c r="F17" s="8" t="s">
        <v>38</v>
      </c>
      <c r="I17" s="7" t="s">
        <v>34</v>
      </c>
      <c r="J17" s="7" t="s">
        <v>35</v>
      </c>
      <c r="K17" s="7" t="s">
        <v>36</v>
      </c>
      <c r="L17" s="7" t="s">
        <v>37</v>
      </c>
      <c r="M17" s="8" t="s">
        <v>38</v>
      </c>
    </row>
    <row r="18" spans="1:13" s="1" customFormat="1" x14ac:dyDescent="0.3">
      <c r="A18" s="9" t="s">
        <v>51</v>
      </c>
      <c r="B18" s="89">
        <f>PAYG!B30</f>
        <v>0.49474567863028712</v>
      </c>
      <c r="C18" s="89">
        <f>PAYG!C30</f>
        <v>0.50417477339461225</v>
      </c>
      <c r="D18" s="89">
        <f>PAYG!D30</f>
        <v>0.53038206052648795</v>
      </c>
      <c r="E18" s="89">
        <f>PAYG!E30</f>
        <v>0.53368123389293343</v>
      </c>
      <c r="F18" s="89">
        <f>PAYG!F30</f>
        <v>0.56017111808257913</v>
      </c>
      <c r="I18" s="89">
        <f>PAYG!I30</f>
        <v>0.48835942370610319</v>
      </c>
      <c r="J18" s="89">
        <f>PAYG!J30</f>
        <v>0.50049709307551693</v>
      </c>
      <c r="K18" s="89">
        <f>PAYG!K30</f>
        <v>0.53031193715018399</v>
      </c>
      <c r="L18" s="89">
        <f>PAYG!L30</f>
        <v>0.53205697427589504</v>
      </c>
      <c r="M18" s="89">
        <f>PAYG!M30</f>
        <v>0.55505752981788559</v>
      </c>
    </row>
    <row r="19" spans="1:13" s="1" customFormat="1" x14ac:dyDescent="0.3">
      <c r="A19" s="9" t="s">
        <v>52</v>
      </c>
      <c r="B19" s="91">
        <v>0</v>
      </c>
      <c r="C19" s="92">
        <v>0</v>
      </c>
      <c r="D19" s="92">
        <v>0</v>
      </c>
      <c r="E19" s="92">
        <v>0</v>
      </c>
      <c r="F19" s="93">
        <v>0</v>
      </c>
      <c r="I19" s="91">
        <v>0</v>
      </c>
      <c r="J19" s="92">
        <v>0</v>
      </c>
      <c r="K19" s="92">
        <v>0</v>
      </c>
      <c r="L19" s="92">
        <v>0</v>
      </c>
      <c r="M19" s="93">
        <v>0</v>
      </c>
    </row>
    <row r="20" spans="1:13" s="1" customFormat="1" x14ac:dyDescent="0.3">
      <c r="A20" s="9" t="s">
        <v>53</v>
      </c>
      <c r="B20" s="91">
        <v>0</v>
      </c>
      <c r="C20" s="92">
        <v>0</v>
      </c>
      <c r="D20" s="92">
        <v>0</v>
      </c>
      <c r="E20" s="92">
        <v>0</v>
      </c>
      <c r="F20" s="93">
        <v>0</v>
      </c>
      <c r="I20" s="91">
        <v>0</v>
      </c>
      <c r="J20" s="92">
        <v>0</v>
      </c>
      <c r="K20" s="92">
        <v>0</v>
      </c>
      <c r="L20" s="92">
        <v>0</v>
      </c>
      <c r="M20" s="93">
        <v>0</v>
      </c>
    </row>
    <row r="21" spans="1:13" s="1" customFormat="1" x14ac:dyDescent="0.3">
      <c r="A21" s="78" t="s">
        <v>54</v>
      </c>
      <c r="B21" s="94">
        <v>0</v>
      </c>
      <c r="C21" s="95">
        <v>0</v>
      </c>
      <c r="D21" s="95">
        <v>0</v>
      </c>
      <c r="E21" s="95">
        <v>0</v>
      </c>
      <c r="F21" s="96">
        <v>0</v>
      </c>
      <c r="I21" s="91">
        <v>0</v>
      </c>
      <c r="J21" s="92">
        <v>0</v>
      </c>
      <c r="K21" s="92">
        <v>0</v>
      </c>
      <c r="L21" s="92">
        <v>0</v>
      </c>
      <c r="M21" s="93">
        <v>0</v>
      </c>
    </row>
    <row r="22" spans="1:13" s="1" customFormat="1" ht="14.5" thickBot="1" x14ac:dyDescent="0.35">
      <c r="A22" s="10" t="s">
        <v>55</v>
      </c>
      <c r="B22" s="97">
        <f>SUM(B18:B21)</f>
        <v>0.49474567863028712</v>
      </c>
      <c r="C22" s="97">
        <f t="shared" ref="C22" si="7">SUM(C18:C21)</f>
        <v>0.50417477339461225</v>
      </c>
      <c r="D22" s="97">
        <f t="shared" ref="D22" si="8">SUM(D18:D21)</f>
        <v>0.53038206052648795</v>
      </c>
      <c r="E22" s="97">
        <f t="shared" ref="E22" si="9">SUM(E18:E21)</f>
        <v>0.53368123389293343</v>
      </c>
      <c r="F22" s="97">
        <f t="shared" ref="F22" si="10">SUM(F18:F21)</f>
        <v>0.56017111808257913</v>
      </c>
      <c r="I22" s="97">
        <f>SUM(I18:I21)</f>
        <v>0.48835942370610319</v>
      </c>
      <c r="J22" s="97">
        <f t="shared" ref="J22:M22" si="11">SUM(J18:J21)</f>
        <v>0.50049709307551693</v>
      </c>
      <c r="K22" s="97">
        <f t="shared" si="11"/>
        <v>0.53031193715018399</v>
      </c>
      <c r="L22" s="97">
        <f t="shared" si="11"/>
        <v>0.53205697427589504</v>
      </c>
      <c r="M22" s="97">
        <f t="shared" si="11"/>
        <v>0.55505752981788559</v>
      </c>
    </row>
    <row r="23" spans="1:13" s="1" customFormat="1" ht="14.5" thickBot="1" x14ac:dyDescent="0.35">
      <c r="A23" s="11"/>
      <c r="B23" s="98"/>
      <c r="C23" s="98"/>
      <c r="D23" s="90"/>
      <c r="E23" s="90"/>
      <c r="F23" s="90"/>
      <c r="G23" s="108"/>
      <c r="I23" s="98"/>
      <c r="J23" s="98"/>
      <c r="K23" s="90"/>
      <c r="L23" s="90"/>
      <c r="M23" s="90"/>
    </row>
    <row r="24" spans="1:13" s="1" customFormat="1" ht="14.5" thickBot="1" x14ac:dyDescent="0.35">
      <c r="A24" s="6" t="s">
        <v>56</v>
      </c>
      <c r="B24" s="7" t="s">
        <v>34</v>
      </c>
      <c r="C24" s="7" t="s">
        <v>35</v>
      </c>
      <c r="D24" s="7" t="s">
        <v>36</v>
      </c>
      <c r="E24" s="7" t="s">
        <v>37</v>
      </c>
      <c r="F24" s="8" t="s">
        <v>38</v>
      </c>
      <c r="I24" s="7" t="s">
        <v>34</v>
      </c>
      <c r="J24" s="7" t="s">
        <v>35</v>
      </c>
      <c r="K24" s="7" t="s">
        <v>36</v>
      </c>
      <c r="L24" s="7" t="s">
        <v>37</v>
      </c>
      <c r="M24" s="8" t="s">
        <v>38</v>
      </c>
    </row>
    <row r="25" spans="1:13" s="1" customFormat="1" x14ac:dyDescent="0.3">
      <c r="A25" s="9" t="s">
        <v>57</v>
      </c>
      <c r="B25" s="99">
        <f>PAYG!B40</f>
        <v>0.77010556065267077</v>
      </c>
      <c r="C25" s="99">
        <f>PAYG!C40</f>
        <v>0.76378554863756021</v>
      </c>
      <c r="D25" s="99">
        <f>PAYG!D40</f>
        <v>0.74180077938691791</v>
      </c>
      <c r="E25" s="99">
        <f>PAYG!E40</f>
        <v>0.75273066915194609</v>
      </c>
      <c r="F25" s="99">
        <f>PAYG!F40</f>
        <v>0.77253521770677835</v>
      </c>
      <c r="I25" s="99">
        <f>PAYG!I40</f>
        <v>0.76149549432703334</v>
      </c>
      <c r="J25" s="99">
        <f>PAYG!J40</f>
        <v>0.75890879166130421</v>
      </c>
      <c r="K25" s="99">
        <f>PAYG!K40</f>
        <v>0.74642798850094927</v>
      </c>
      <c r="L25" s="99">
        <f>PAYG!L40</f>
        <v>0.75270512115486532</v>
      </c>
      <c r="M25" s="99">
        <f>PAYG!M40</f>
        <v>0.7640535157199928</v>
      </c>
    </row>
    <row r="26" spans="1:13" s="1" customFormat="1" x14ac:dyDescent="0.3">
      <c r="A26" s="9" t="s">
        <v>58</v>
      </c>
      <c r="B26" s="91">
        <v>0</v>
      </c>
      <c r="C26" s="92">
        <v>0</v>
      </c>
      <c r="D26" s="92">
        <v>0</v>
      </c>
      <c r="E26" s="92">
        <v>0</v>
      </c>
      <c r="F26" s="93">
        <v>0</v>
      </c>
      <c r="I26" s="91">
        <v>0</v>
      </c>
      <c r="J26" s="92">
        <v>0</v>
      </c>
      <c r="K26" s="92">
        <v>0</v>
      </c>
      <c r="L26" s="92">
        <v>0</v>
      </c>
      <c r="M26" s="93">
        <v>0</v>
      </c>
    </row>
    <row r="27" spans="1:13" s="1" customFormat="1" x14ac:dyDescent="0.3">
      <c r="A27" s="9" t="s">
        <v>59</v>
      </c>
      <c r="B27" s="91">
        <v>0</v>
      </c>
      <c r="C27" s="92">
        <v>0</v>
      </c>
      <c r="D27" s="92">
        <v>0</v>
      </c>
      <c r="E27" s="92">
        <v>0</v>
      </c>
      <c r="F27" s="93">
        <v>0</v>
      </c>
      <c r="I27" s="91">
        <v>0</v>
      </c>
      <c r="J27" s="92">
        <v>0</v>
      </c>
      <c r="K27" s="92">
        <v>0</v>
      </c>
      <c r="L27" s="92">
        <v>0</v>
      </c>
      <c r="M27" s="93">
        <v>0</v>
      </c>
    </row>
    <row r="28" spans="1:13" s="1" customFormat="1" x14ac:dyDescent="0.3">
      <c r="A28" s="78" t="s">
        <v>60</v>
      </c>
      <c r="B28" s="94">
        <v>0</v>
      </c>
      <c r="C28" s="95">
        <v>0</v>
      </c>
      <c r="D28" s="95">
        <v>0</v>
      </c>
      <c r="E28" s="95">
        <v>0</v>
      </c>
      <c r="F28" s="96">
        <v>0</v>
      </c>
      <c r="I28" s="91">
        <v>0</v>
      </c>
      <c r="J28" s="92">
        <v>0</v>
      </c>
      <c r="K28" s="92">
        <v>0</v>
      </c>
      <c r="L28" s="92">
        <v>0</v>
      </c>
      <c r="M28" s="93">
        <v>0</v>
      </c>
    </row>
    <row r="29" spans="1:13" s="1" customFormat="1" ht="14.5" thickBot="1" x14ac:dyDescent="0.35">
      <c r="A29" s="10" t="s">
        <v>61</v>
      </c>
      <c r="B29" s="97">
        <f>SUM(B25:B28)</f>
        <v>0.77010556065267077</v>
      </c>
      <c r="C29" s="97">
        <f t="shared" ref="C29" si="12">SUM(C25:C28)</f>
        <v>0.76378554863756021</v>
      </c>
      <c r="D29" s="97">
        <f t="shared" ref="D29" si="13">SUM(D25:D28)</f>
        <v>0.74180077938691791</v>
      </c>
      <c r="E29" s="97">
        <f t="shared" ref="E29" si="14">SUM(E25:E28)</f>
        <v>0.75273066915194609</v>
      </c>
      <c r="F29" s="97">
        <f t="shared" ref="F29" si="15">SUM(F25:F28)</f>
        <v>0.77253521770677835</v>
      </c>
      <c r="I29" s="97">
        <f>SUM(I25:I28)</f>
        <v>0.76149549432703334</v>
      </c>
      <c r="J29" s="97">
        <f t="shared" ref="J29:M29" si="16">SUM(J25:J28)</f>
        <v>0.75890879166130421</v>
      </c>
      <c r="K29" s="97">
        <f t="shared" si="16"/>
        <v>0.74642798850094927</v>
      </c>
      <c r="L29" s="97">
        <f t="shared" si="16"/>
        <v>0.75270512115486532</v>
      </c>
      <c r="M29" s="97">
        <f t="shared" si="16"/>
        <v>0.7640535157199928</v>
      </c>
    </row>
    <row r="30" spans="1:13" s="1" customFormat="1" x14ac:dyDescent="0.3">
      <c r="A30" s="4"/>
    </row>
    <row r="31" spans="1:13" s="1" customFormat="1" x14ac:dyDescent="0.3">
      <c r="A31" s="4"/>
    </row>
    <row r="32" spans="1:13" ht="14.5" thickBot="1" x14ac:dyDescent="0.35"/>
    <row r="33" spans="1:14" ht="14.5" thickBot="1" x14ac:dyDescent="0.35">
      <c r="A33" s="6" t="s">
        <v>62</v>
      </c>
      <c r="B33" s="7" t="s">
        <v>34</v>
      </c>
      <c r="C33" s="7" t="s">
        <v>35</v>
      </c>
      <c r="D33" s="7" t="s">
        <v>36</v>
      </c>
      <c r="E33" s="7" t="s">
        <v>37</v>
      </c>
      <c r="F33" s="8" t="s">
        <v>38</v>
      </c>
      <c r="G33" s="8" t="s">
        <v>63</v>
      </c>
      <c r="I33" s="7" t="s">
        <v>34</v>
      </c>
      <c r="J33" s="7" t="s">
        <v>35</v>
      </c>
      <c r="K33" s="7" t="s">
        <v>36</v>
      </c>
      <c r="L33" s="7" t="s">
        <v>37</v>
      </c>
      <c r="M33" s="8" t="s">
        <v>38</v>
      </c>
      <c r="N33" s="8" t="s">
        <v>63</v>
      </c>
    </row>
    <row r="34" spans="1:14" x14ac:dyDescent="0.3">
      <c r="A34" s="9" t="s">
        <v>64</v>
      </c>
      <c r="B34" s="65">
        <f>PAYG!B7</f>
        <v>16.20931743878111</v>
      </c>
      <c r="C34" s="65">
        <f>PAYG!C7</f>
        <v>16.704704838483821</v>
      </c>
      <c r="D34" s="65">
        <f>PAYG!D7</f>
        <v>15.889268104877241</v>
      </c>
      <c r="E34" s="65">
        <f>PAYG!E7</f>
        <v>15.026877168836268</v>
      </c>
      <c r="F34" s="65">
        <f>PAYG!F7</f>
        <v>14.836303013054041</v>
      </c>
      <c r="G34" s="68">
        <f>SUM(B34:F34)</f>
        <v>78.66647056403248</v>
      </c>
      <c r="I34" s="65">
        <f>PAYG!I7</f>
        <v>15.476522550008221</v>
      </c>
      <c r="J34" s="65">
        <f>PAYG!J7</f>
        <v>16.092966930512201</v>
      </c>
      <c r="K34" s="65">
        <f>PAYG!K7</f>
        <v>15.246530185119216</v>
      </c>
      <c r="L34" s="65">
        <f>PAYG!L7</f>
        <v>14.303499333033921</v>
      </c>
      <c r="M34" s="65">
        <f>PAYG!M7</f>
        <v>13.762431186255061</v>
      </c>
      <c r="N34" s="68">
        <f>SUM(I34:M34)</f>
        <v>74.881950184928627</v>
      </c>
    </row>
    <row r="35" spans="1:14" x14ac:dyDescent="0.3">
      <c r="A35" s="9" t="s">
        <v>65</v>
      </c>
      <c r="B35" s="69">
        <f>PAYG!B17</f>
        <v>145.10221653871818</v>
      </c>
      <c r="C35" s="69">
        <f>PAYG!C17</f>
        <v>159.04383893929764</v>
      </c>
      <c r="D35" s="69">
        <f>PAYG!D17</f>
        <v>176.69195771866254</v>
      </c>
      <c r="E35" s="69">
        <f>PAYG!E17</f>
        <v>168.11963932934034</v>
      </c>
      <c r="F35" s="69">
        <f>PAYG!F17</f>
        <v>162.62437344485232</v>
      </c>
      <c r="G35" s="72">
        <f t="shared" ref="G35:G37" si="17">SUM(B35:F35)</f>
        <v>811.58202597087097</v>
      </c>
      <c r="I35" s="69">
        <f>PAYG!I17</f>
        <v>148.29721475383201</v>
      </c>
      <c r="J35" s="69">
        <f>PAYG!J17</f>
        <v>160.54878673340031</v>
      </c>
      <c r="K35" s="69">
        <f>PAYG!K17</f>
        <v>174.81501470695494</v>
      </c>
      <c r="L35" s="69">
        <f>PAYG!L17</f>
        <v>167.11806496649407</v>
      </c>
      <c r="M35" s="69">
        <f>PAYG!M17</f>
        <v>162.7341797504256</v>
      </c>
      <c r="N35" s="72">
        <f t="shared" ref="N35:N37" si="18">SUM(I35:M35)</f>
        <v>813.51326091110695</v>
      </c>
    </row>
    <row r="36" spans="1:14" x14ac:dyDescent="0.3">
      <c r="A36" s="60" t="s">
        <v>66</v>
      </c>
      <c r="B36" s="69">
        <f>PAYG!B27</f>
        <v>179.22766327347807</v>
      </c>
      <c r="C36" s="69">
        <f>PAYG!C27</f>
        <v>175.72644064993796</v>
      </c>
      <c r="D36" s="69">
        <f>PAYG!D27</f>
        <v>160.46168250285575</v>
      </c>
      <c r="E36" s="69">
        <f>PAYG!E27</f>
        <v>159.18906789393796</v>
      </c>
      <c r="F36" s="69">
        <f>PAYG!F27</f>
        <v>146.84026317194235</v>
      </c>
      <c r="G36" s="72">
        <f t="shared" si="17"/>
        <v>821.44511749215212</v>
      </c>
      <c r="I36" s="69">
        <f>PAYG!I27</f>
        <v>172.94855391845192</v>
      </c>
      <c r="J36" s="69">
        <f>PAYG!J27</f>
        <v>168.71691620877175</v>
      </c>
      <c r="K36" s="69">
        <f>PAYG!K27</f>
        <v>153.21700481001255</v>
      </c>
      <c r="L36" s="69">
        <f>PAYG!L27</f>
        <v>152.14028018294798</v>
      </c>
      <c r="M36" s="69">
        <f>PAYG!M27</f>
        <v>141.25223142007417</v>
      </c>
      <c r="N36" s="72">
        <f t="shared" si="18"/>
        <v>788.2749865402584</v>
      </c>
    </row>
    <row r="37" spans="1:14" ht="14.5" thickBot="1" x14ac:dyDescent="0.35">
      <c r="A37" s="61" t="s">
        <v>67</v>
      </c>
      <c r="B37" s="73">
        <f>PAYG!B37</f>
        <v>17.849049307431791</v>
      </c>
      <c r="C37" s="73">
        <f>PAYG!C37</f>
        <v>18.18798655379139</v>
      </c>
      <c r="D37" s="73">
        <f>PAYG!D37</f>
        <v>18.69749037426023</v>
      </c>
      <c r="E37" s="73">
        <f>PAYG!E37</f>
        <v>18.445305969354997</v>
      </c>
      <c r="F37" s="73">
        <f>PAYG!F37</f>
        <v>18.052355221372579</v>
      </c>
      <c r="G37" s="76">
        <f t="shared" si="17"/>
        <v>91.232187426210999</v>
      </c>
      <c r="I37" s="73">
        <f>PAYG!I37</f>
        <v>18.29515816789046</v>
      </c>
      <c r="J37" s="73">
        <f>PAYG!J37</f>
        <v>18.552695973944168</v>
      </c>
      <c r="K37" s="73">
        <f>PAYG!K37</f>
        <v>18.833146276749879</v>
      </c>
      <c r="L37" s="73">
        <f>PAYG!L37</f>
        <v>18.695669831451639</v>
      </c>
      <c r="M37" s="73">
        <f>PAYG!M37</f>
        <v>18.499918435273329</v>
      </c>
      <c r="N37" s="76">
        <f t="shared" si="18"/>
        <v>92.876588685309471</v>
      </c>
    </row>
    <row r="38" spans="1:14" ht="14.5" thickBot="1" x14ac:dyDescent="0.35">
      <c r="A38" s="9" t="s">
        <v>68</v>
      </c>
      <c r="B38" s="112">
        <f>SUM(B34:B37)</f>
        <v>358.38824655840921</v>
      </c>
      <c r="C38" s="113">
        <f t="shared" ref="C38:F38" si="19">SUM(C34:C37)</f>
        <v>369.6629709815108</v>
      </c>
      <c r="D38" s="113">
        <f t="shared" si="19"/>
        <v>371.7403987006557</v>
      </c>
      <c r="E38" s="113">
        <f t="shared" si="19"/>
        <v>360.78089036146957</v>
      </c>
      <c r="F38" s="114">
        <f t="shared" si="19"/>
        <v>342.35329485122128</v>
      </c>
      <c r="G38" s="115">
        <f t="shared" ref="G38" si="20">SUM(G34:G37)</f>
        <v>1802.9258014532666</v>
      </c>
      <c r="H38" s="116"/>
      <c r="I38" s="112">
        <f>SUM(I34:I37)</f>
        <v>355.01744939018261</v>
      </c>
      <c r="J38" s="113">
        <f t="shared" ref="J38:N38" si="21">SUM(J34:J37)</f>
        <v>363.91136584662843</v>
      </c>
      <c r="K38" s="113">
        <f t="shared" si="21"/>
        <v>362.11169597883656</v>
      </c>
      <c r="L38" s="113">
        <f t="shared" si="21"/>
        <v>352.25751431392763</v>
      </c>
      <c r="M38" s="114">
        <f t="shared" si="21"/>
        <v>336.24876079202818</v>
      </c>
      <c r="N38" s="115">
        <f t="shared" si="21"/>
        <v>1769.5467863216036</v>
      </c>
    </row>
    <row r="39" spans="1:14" ht="14.5" thickBot="1" x14ac:dyDescent="0.35">
      <c r="B39" s="77"/>
      <c r="C39" s="77"/>
      <c r="D39" s="77"/>
      <c r="E39" s="77"/>
      <c r="F39" s="77"/>
      <c r="G39" s="77"/>
      <c r="I39" s="77"/>
      <c r="J39" s="77"/>
      <c r="K39" s="77"/>
      <c r="L39" s="77"/>
      <c r="M39" s="77"/>
      <c r="N39" s="77"/>
    </row>
    <row r="40" spans="1:14" ht="14.5" thickBot="1" x14ac:dyDescent="0.35">
      <c r="A40" s="6" t="s">
        <v>69</v>
      </c>
      <c r="B40" s="7" t="s">
        <v>34</v>
      </c>
      <c r="C40" s="7" t="s">
        <v>35</v>
      </c>
      <c r="D40" s="7" t="s">
        <v>36</v>
      </c>
      <c r="E40" s="7" t="s">
        <v>37</v>
      </c>
      <c r="F40" s="8" t="s">
        <v>38</v>
      </c>
      <c r="G40" s="8" t="s">
        <v>63</v>
      </c>
      <c r="I40" s="7" t="s">
        <v>34</v>
      </c>
      <c r="J40" s="7" t="s">
        <v>35</v>
      </c>
      <c r="K40" s="7" t="s">
        <v>36</v>
      </c>
      <c r="L40" s="7" t="s">
        <v>37</v>
      </c>
      <c r="M40" s="8" t="s">
        <v>38</v>
      </c>
      <c r="N40" s="8" t="s">
        <v>63</v>
      </c>
    </row>
    <row r="41" spans="1:14" x14ac:dyDescent="0.3">
      <c r="A41" s="9" t="s">
        <v>64</v>
      </c>
      <c r="B41" s="65">
        <f>B34*B8</f>
        <v>13.276771317776479</v>
      </c>
      <c r="C41" s="66">
        <f t="shared" ref="C41:F41" si="22">C34*C8</f>
        <v>12.794453180505883</v>
      </c>
      <c r="D41" s="66">
        <f t="shared" si="22"/>
        <v>12.985768436130799</v>
      </c>
      <c r="E41" s="66">
        <f t="shared" si="22"/>
        <v>12.634043682411873</v>
      </c>
      <c r="F41" s="67">
        <f t="shared" si="22"/>
        <v>12.520855387305167</v>
      </c>
      <c r="G41" s="68">
        <f>SUM(B41:F41)</f>
        <v>64.211892004130192</v>
      </c>
      <c r="I41" s="67">
        <f>I34*I8</f>
        <v>12.127104711554114</v>
      </c>
      <c r="J41" s="66">
        <f t="shared" ref="J41:M41" si="23">J34*J8</f>
        <v>11.685030675738044</v>
      </c>
      <c r="K41" s="66">
        <f t="shared" si="23"/>
        <v>11.859844210880297</v>
      </c>
      <c r="L41" s="66">
        <f t="shared" si="23"/>
        <v>11.536973922842664</v>
      </c>
      <c r="M41" s="67">
        <f t="shared" si="23"/>
        <v>11.433831991729839</v>
      </c>
      <c r="N41" s="68">
        <f>SUM(I41:M41)</f>
        <v>58.642785512744958</v>
      </c>
    </row>
    <row r="42" spans="1:14" x14ac:dyDescent="0.3">
      <c r="A42" s="9" t="s">
        <v>65</v>
      </c>
      <c r="B42" s="69">
        <f>B35*B15</f>
        <v>100.86278787836943</v>
      </c>
      <c r="C42" s="70">
        <f>C35*C15</f>
        <v>102.38097381349378</v>
      </c>
      <c r="D42" s="70">
        <f t="shared" ref="D42:F42" si="24">D35*D15</f>
        <v>102.4956831288155</v>
      </c>
      <c r="E42" s="70">
        <f t="shared" si="24"/>
        <v>98.96393566557623</v>
      </c>
      <c r="F42" s="71">
        <f t="shared" si="24"/>
        <v>98.08823923089038</v>
      </c>
      <c r="G42" s="72">
        <f t="shared" ref="G42:G44" si="25">SUM(B42:F42)</f>
        <v>502.79161971714535</v>
      </c>
      <c r="I42" s="69">
        <f>I35*I15</f>
        <v>96.377851314511688</v>
      </c>
      <c r="J42" s="70">
        <f>J35*J15</f>
        <v>97.645887156927543</v>
      </c>
      <c r="K42" s="70">
        <f t="shared" ref="K42:M42" si="26">K35*K15</f>
        <v>97.336481549466754</v>
      </c>
      <c r="L42" s="70">
        <f t="shared" si="26"/>
        <v>93.785084479044428</v>
      </c>
      <c r="M42" s="71">
        <f t="shared" si="26"/>
        <v>92.923146961292531</v>
      </c>
      <c r="N42" s="72">
        <f t="shared" ref="N42:N44" si="27">SUM(I42:M42)</f>
        <v>478.06845146124294</v>
      </c>
    </row>
    <row r="43" spans="1:14" x14ac:dyDescent="0.3">
      <c r="A43" s="60" t="s">
        <v>66</v>
      </c>
      <c r="B43" s="69">
        <f>B36*B22</f>
        <v>88.672111895557492</v>
      </c>
      <c r="C43" s="70">
        <f t="shared" ref="C43:F43" si="28">C36*C22</f>
        <v>88.596838394124248</v>
      </c>
      <c r="D43" s="70">
        <f t="shared" si="28"/>
        <v>85.105997801411732</v>
      </c>
      <c r="E43" s="70">
        <f t="shared" si="28"/>
        <v>84.956218175902762</v>
      </c>
      <c r="F43" s="71">
        <f t="shared" si="28"/>
        <v>82.255674400567116</v>
      </c>
      <c r="G43" s="72">
        <f t="shared" si="25"/>
        <v>429.58684066756331</v>
      </c>
      <c r="I43" s="69">
        <f>I36*I22</f>
        <v>84.461056122419095</v>
      </c>
      <c r="J43" s="70">
        <f t="shared" ref="J43:M43" si="29">J36*J22</f>
        <v>84.442326115155822</v>
      </c>
      <c r="K43" s="70">
        <f t="shared" si="29"/>
        <v>81.252806625146818</v>
      </c>
      <c r="L43" s="70">
        <f t="shared" si="29"/>
        <v>80.947297139626215</v>
      </c>
      <c r="M43" s="71">
        <f t="shared" si="29"/>
        <v>78.403114653290686</v>
      </c>
      <c r="N43" s="72">
        <f t="shared" si="27"/>
        <v>409.50660065563864</v>
      </c>
    </row>
    <row r="44" spans="1:14" ht="14.5" thickBot="1" x14ac:dyDescent="0.35">
      <c r="A44" s="61" t="s">
        <v>67</v>
      </c>
      <c r="B44" s="73">
        <f t="shared" ref="B44:F44" si="30">B37*B29</f>
        <v>13.745652124016924</v>
      </c>
      <c r="C44" s="74">
        <f t="shared" si="30"/>
        <v>13.891721288600126</v>
      </c>
      <c r="D44" s="74">
        <f t="shared" si="30"/>
        <v>13.869812932205635</v>
      </c>
      <c r="E44" s="74">
        <f t="shared" si="30"/>
        <v>13.884347505024973</v>
      </c>
      <c r="F44" s="75">
        <f t="shared" si="30"/>
        <v>13.946080171063162</v>
      </c>
      <c r="G44" s="76">
        <f t="shared" si="25"/>
        <v>69.33761402091082</v>
      </c>
      <c r="I44" s="73">
        <f t="shared" ref="I44:M44" si="31">I37*I29</f>
        <v>13.931680512849008</v>
      </c>
      <c r="J44" s="74">
        <f t="shared" si="31"/>
        <v>14.079804083645511</v>
      </c>
      <c r="K44" s="74">
        <f t="shared" si="31"/>
        <v>14.057587492498554</v>
      </c>
      <c r="L44" s="74">
        <f t="shared" si="31"/>
        <v>14.072326425554166</v>
      </c>
      <c r="M44" s="75">
        <f t="shared" si="31"/>
        <v>14.134927721003695</v>
      </c>
      <c r="N44" s="76">
        <f t="shared" si="27"/>
        <v>70.27632623555094</v>
      </c>
    </row>
    <row r="45" spans="1:14" ht="14.5" thickBot="1" x14ac:dyDescent="0.35">
      <c r="A45" s="9" t="s">
        <v>70</v>
      </c>
      <c r="B45" s="112">
        <f>SUM(B41:B44)</f>
        <v>216.55732321572032</v>
      </c>
      <c r="C45" s="113">
        <f t="shared" ref="C45:G45" si="32">SUM(C41:C44)</f>
        <v>217.66398667672405</v>
      </c>
      <c r="D45" s="113">
        <f t="shared" si="32"/>
        <v>214.45726229856368</v>
      </c>
      <c r="E45" s="113">
        <f t="shared" si="32"/>
        <v>210.43854502891585</v>
      </c>
      <c r="F45" s="114">
        <f t="shared" si="32"/>
        <v>206.81084918982583</v>
      </c>
      <c r="G45" s="115">
        <f t="shared" si="32"/>
        <v>1065.9279664097498</v>
      </c>
      <c r="H45" s="116"/>
      <c r="I45" s="112">
        <f>SUM(I41:I44)</f>
        <v>206.89769266133388</v>
      </c>
      <c r="J45" s="113">
        <f t="shared" ref="J45:N45" si="33">SUM(J41:J44)</f>
        <v>207.85304803146693</v>
      </c>
      <c r="K45" s="113">
        <f t="shared" si="33"/>
        <v>204.50671987799242</v>
      </c>
      <c r="L45" s="113">
        <f t="shared" si="33"/>
        <v>200.34168196706747</v>
      </c>
      <c r="M45" s="114">
        <f t="shared" si="33"/>
        <v>196.89502132731675</v>
      </c>
      <c r="N45" s="115">
        <f t="shared" si="33"/>
        <v>1016.4941638651775</v>
      </c>
    </row>
    <row r="46" spans="1:14" ht="14.5" thickBot="1" x14ac:dyDescent="0.35">
      <c r="B46" s="77"/>
      <c r="C46" s="77"/>
      <c r="D46" s="77"/>
      <c r="E46" s="77"/>
      <c r="F46" s="77"/>
      <c r="G46" s="77"/>
      <c r="I46" s="77"/>
      <c r="J46" s="77"/>
      <c r="K46" s="77"/>
      <c r="L46" s="77"/>
      <c r="M46" s="77"/>
      <c r="N46" s="77"/>
    </row>
    <row r="47" spans="1:14" ht="14.5" thickBot="1" x14ac:dyDescent="0.35">
      <c r="B47" s="7" t="s">
        <v>34</v>
      </c>
      <c r="C47" s="7" t="s">
        <v>35</v>
      </c>
      <c r="D47" s="7" t="s">
        <v>36</v>
      </c>
      <c r="E47" s="7" t="s">
        <v>37</v>
      </c>
      <c r="F47" s="8" t="s">
        <v>38</v>
      </c>
      <c r="G47" s="8" t="s">
        <v>63</v>
      </c>
      <c r="I47" s="7" t="s">
        <v>34</v>
      </c>
      <c r="J47" s="7" t="s">
        <v>35</v>
      </c>
      <c r="K47" s="7" t="s">
        <v>36</v>
      </c>
      <c r="L47" s="7" t="s">
        <v>37</v>
      </c>
      <c r="M47" s="8" t="s">
        <v>38</v>
      </c>
      <c r="N47" s="8" t="s">
        <v>63</v>
      </c>
    </row>
    <row r="48" spans="1:14" ht="14.5" thickBot="1" x14ac:dyDescent="0.35">
      <c r="A48" s="6" t="s">
        <v>71</v>
      </c>
      <c r="B48" s="62">
        <f>B45/B38</f>
        <v>0.60425341873042249</v>
      </c>
      <c r="C48" s="63">
        <f t="shared" ref="C48:G48" si="34">C45/C38</f>
        <v>0.58881739249888465</v>
      </c>
      <c r="D48" s="63">
        <f t="shared" si="34"/>
        <v>0.57690060872629445</v>
      </c>
      <c r="E48" s="63">
        <f t="shared" si="34"/>
        <v>0.583286284420651</v>
      </c>
      <c r="F48" s="79">
        <f t="shared" si="34"/>
        <v>0.60408604882772043</v>
      </c>
      <c r="G48" s="64">
        <f t="shared" si="34"/>
        <v>0.59122120585913618</v>
      </c>
      <c r="I48" s="62">
        <f>I45/I38</f>
        <v>0.5827817562678238</v>
      </c>
      <c r="J48" s="63">
        <f t="shared" ref="J48:N48" si="35">J45/J38</f>
        <v>0.57116393588835379</v>
      </c>
      <c r="K48" s="63">
        <f t="shared" si="35"/>
        <v>0.56476143175984217</v>
      </c>
      <c r="L48" s="63">
        <f t="shared" si="35"/>
        <v>0.56873643237181704</v>
      </c>
      <c r="M48" s="79">
        <f t="shared" si="35"/>
        <v>0.58556355973932483</v>
      </c>
      <c r="N48" s="64">
        <f t="shared" si="35"/>
        <v>0.5744375744809701</v>
      </c>
    </row>
    <row r="49" x14ac:dyDescent="0.3"/>
    <row r="50" x14ac:dyDescent="0.3"/>
    <row r="5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4" x14ac:dyDescent="0.3"/>
  <cols>
    <col min="1" max="1" width="5" customWidth="1"/>
    <col min="2" max="2" width="25.58203125" customWidth="1"/>
    <col min="3" max="3" width="57.08203125" customWidth="1"/>
    <col min="4" max="4" width="3.25" customWidth="1"/>
    <col min="5" max="5" width="15.83203125" customWidth="1"/>
    <col min="6" max="10" width="5.58203125" customWidth="1"/>
  </cols>
  <sheetData>
    <row r="1" spans="1:10" x14ac:dyDescent="0.3">
      <c r="C1" t="s">
        <v>72</v>
      </c>
    </row>
    <row r="2" spans="1:10" x14ac:dyDescent="0.3">
      <c r="A2" t="s">
        <v>73</v>
      </c>
      <c r="B2" t="s">
        <v>74</v>
      </c>
      <c r="C2" t="s">
        <v>75</v>
      </c>
      <c r="D2" t="s">
        <v>76</v>
      </c>
      <c r="E2" t="s">
        <v>77</v>
      </c>
      <c r="F2" t="s">
        <v>34</v>
      </c>
      <c r="G2" t="s">
        <v>35</v>
      </c>
      <c r="H2" t="s">
        <v>36</v>
      </c>
      <c r="I2" t="s">
        <v>37</v>
      </c>
      <c r="J2" t="s">
        <v>38</v>
      </c>
    </row>
    <row r="4" spans="1:10" x14ac:dyDescent="0.3">
      <c r="F4" t="s">
        <v>78</v>
      </c>
      <c r="G4" t="s">
        <v>78</v>
      </c>
      <c r="H4" t="s">
        <v>78</v>
      </c>
      <c r="I4" t="s">
        <v>78</v>
      </c>
      <c r="J4" t="s">
        <v>78</v>
      </c>
    </row>
    <row r="5" spans="1:10" x14ac:dyDescent="0.3">
      <c r="F5" t="s">
        <v>176</v>
      </c>
      <c r="G5" t="s">
        <v>176</v>
      </c>
      <c r="H5" t="s">
        <v>176</v>
      </c>
      <c r="I5" t="s">
        <v>176</v>
      </c>
      <c r="J5" t="s">
        <v>176</v>
      </c>
    </row>
    <row r="6" spans="1:10" x14ac:dyDescent="0.3">
      <c r="F6" t="s">
        <v>79</v>
      </c>
      <c r="G6" t="s">
        <v>79</v>
      </c>
      <c r="H6" t="s">
        <v>79</v>
      </c>
      <c r="I6" t="s">
        <v>79</v>
      </c>
      <c r="J6" t="s">
        <v>79</v>
      </c>
    </row>
    <row r="7" spans="1:10" x14ac:dyDescent="0.3">
      <c r="A7" t="s">
        <v>175</v>
      </c>
      <c r="B7" t="s">
        <v>80</v>
      </c>
      <c r="C7" t="s">
        <v>81</v>
      </c>
      <c r="D7" t="s">
        <v>82</v>
      </c>
      <c r="E7" t="s">
        <v>78</v>
      </c>
      <c r="F7" s="55">
        <v>10.9783847898416</v>
      </c>
      <c r="G7" s="55">
        <v>11.039934504610899</v>
      </c>
      <c r="H7" s="55">
        <v>11.0567447035168</v>
      </c>
      <c r="I7" s="55">
        <v>11.087640526163799</v>
      </c>
      <c r="J7" s="55">
        <v>11.130160441043101</v>
      </c>
    </row>
    <row r="8" spans="1:10" x14ac:dyDescent="0.3">
      <c r="A8" t="s">
        <v>175</v>
      </c>
      <c r="B8" t="s">
        <v>83</v>
      </c>
      <c r="C8" t="s">
        <v>84</v>
      </c>
      <c r="D8" t="s">
        <v>82</v>
      </c>
      <c r="E8" t="s">
        <v>78</v>
      </c>
      <c r="F8" s="55">
        <v>4.5116010609727297</v>
      </c>
      <c r="G8" s="55">
        <v>5.0662282508330998</v>
      </c>
      <c r="H8" s="55">
        <v>4.2029564987973602</v>
      </c>
      <c r="I8" s="55">
        <v>3.2290286977941798</v>
      </c>
      <c r="J8" s="55">
        <v>2.6322707452119598</v>
      </c>
    </row>
    <row r="9" spans="1:10" x14ac:dyDescent="0.3">
      <c r="A9" t="s">
        <v>175</v>
      </c>
      <c r="B9" t="s">
        <v>85</v>
      </c>
      <c r="C9" t="s">
        <v>86</v>
      </c>
      <c r="D9" t="s">
        <v>82</v>
      </c>
      <c r="E9" t="s">
        <v>78</v>
      </c>
      <c r="F9" s="55">
        <v>87.922916446928198</v>
      </c>
      <c r="G9" s="55">
        <v>88.061752083632598</v>
      </c>
      <c r="H9" s="55">
        <v>87.332928101850797</v>
      </c>
      <c r="I9" s="55">
        <v>86.382480232569804</v>
      </c>
      <c r="J9" s="55">
        <v>85.960375777042202</v>
      </c>
    </row>
    <row r="10" spans="1:10" x14ac:dyDescent="0.3">
      <c r="A10" t="s">
        <v>175</v>
      </c>
      <c r="B10" t="s">
        <v>87</v>
      </c>
      <c r="C10" t="s">
        <v>88</v>
      </c>
      <c r="D10" t="s">
        <v>82</v>
      </c>
      <c r="E10" t="s">
        <v>78</v>
      </c>
      <c r="F10" s="55">
        <v>67.776835006097699</v>
      </c>
      <c r="G10" s="55">
        <v>81.124838824835905</v>
      </c>
      <c r="H10" s="55">
        <v>97.342915587909204</v>
      </c>
      <c r="I10" s="55">
        <v>90.660414843000197</v>
      </c>
      <c r="J10" s="55">
        <v>86.388803973383403</v>
      </c>
    </row>
    <row r="11" spans="1:10" x14ac:dyDescent="0.3">
      <c r="A11" t="s">
        <v>175</v>
      </c>
      <c r="B11" t="s">
        <v>89</v>
      </c>
      <c r="C11" t="s">
        <v>90</v>
      </c>
      <c r="D11" t="s">
        <v>82</v>
      </c>
      <c r="E11" t="s">
        <v>78</v>
      </c>
      <c r="F11" s="55">
        <v>78.723212349630103</v>
      </c>
      <c r="G11" s="55">
        <v>78.378121300102805</v>
      </c>
      <c r="H11" s="55">
        <v>77.8098854978074</v>
      </c>
      <c r="I11" s="55">
        <v>76.308552318743907</v>
      </c>
      <c r="J11" s="55">
        <v>75.443862490385001</v>
      </c>
    </row>
    <row r="12" spans="1:10" x14ac:dyDescent="0.3">
      <c r="A12" t="s">
        <v>175</v>
      </c>
      <c r="B12" t="s">
        <v>91</v>
      </c>
      <c r="C12" t="s">
        <v>92</v>
      </c>
      <c r="D12" t="s">
        <v>82</v>
      </c>
      <c r="E12" t="s">
        <v>78</v>
      </c>
      <c r="F12" s="55">
        <v>102.211436396403</v>
      </c>
      <c r="G12" s="55">
        <v>99.559252481766194</v>
      </c>
      <c r="H12" s="55">
        <v>85.730934150751906</v>
      </c>
      <c r="I12" s="55">
        <v>86.2118265386313</v>
      </c>
      <c r="J12" s="55">
        <v>76.119568425710995</v>
      </c>
    </row>
    <row r="13" spans="1:10" x14ac:dyDescent="0.3">
      <c r="A13" t="s">
        <v>175</v>
      </c>
      <c r="B13" t="s">
        <v>93</v>
      </c>
      <c r="C13" t="s">
        <v>94</v>
      </c>
      <c r="D13" t="s">
        <v>82</v>
      </c>
      <c r="E13" t="s">
        <v>78</v>
      </c>
      <c r="F13" s="55">
        <v>13.834692586174199</v>
      </c>
      <c r="G13" s="55">
        <v>13.981782560846</v>
      </c>
      <c r="H13" s="55">
        <v>13.959525525204899</v>
      </c>
      <c r="I13" s="55">
        <v>13.974040983231699</v>
      </c>
      <c r="J13" s="55">
        <v>14.036941301348</v>
      </c>
    </row>
    <row r="14" spans="1:10" x14ac:dyDescent="0.3">
      <c r="A14" t="s">
        <v>175</v>
      </c>
      <c r="B14" t="s">
        <v>95</v>
      </c>
      <c r="C14" t="s">
        <v>96</v>
      </c>
      <c r="D14" t="s">
        <v>82</v>
      </c>
      <c r="E14" t="s">
        <v>78</v>
      </c>
      <c r="F14" s="55">
        <v>4.4604655817162602</v>
      </c>
      <c r="G14" s="55">
        <v>4.5709134130981699</v>
      </c>
      <c r="H14" s="55">
        <v>4.8736207515449799</v>
      </c>
      <c r="I14" s="55">
        <v>4.7216288482199396</v>
      </c>
      <c r="J14" s="55">
        <v>4.4629771339253299</v>
      </c>
    </row>
    <row r="15" spans="1:10" x14ac:dyDescent="0.3">
      <c r="A15" t="s">
        <v>175</v>
      </c>
      <c r="B15" t="s">
        <v>177</v>
      </c>
      <c r="C15" t="s">
        <v>178</v>
      </c>
      <c r="D15" t="s">
        <v>82</v>
      </c>
      <c r="E15" t="s">
        <v>78</v>
      </c>
      <c r="F15" s="55">
        <v>2.8644082873709502</v>
      </c>
      <c r="G15" s="55">
        <v>4.1788829320365304</v>
      </c>
      <c r="H15" s="55">
        <v>5.4959602237414504</v>
      </c>
      <c r="I15" s="55">
        <v>5.4963161144268398</v>
      </c>
      <c r="J15" s="55">
        <v>5.2598417243214497</v>
      </c>
    </row>
    <row r="16" spans="1:10" x14ac:dyDescent="0.3">
      <c r="A16" t="s">
        <v>175</v>
      </c>
      <c r="B16" t="s">
        <v>98</v>
      </c>
      <c r="C16" t="s">
        <v>99</v>
      </c>
      <c r="D16" t="s">
        <v>82</v>
      </c>
      <c r="E16" t="s">
        <v>78</v>
      </c>
      <c r="F16" s="55">
        <v>0.14205034648564599</v>
      </c>
      <c r="G16" s="55">
        <v>0.110775234254537</v>
      </c>
      <c r="H16" s="55">
        <v>0.12705096333126201</v>
      </c>
      <c r="I16" s="55">
        <v>0.126214241613501</v>
      </c>
      <c r="J16" s="55">
        <v>0.12497849920170299</v>
      </c>
    </row>
    <row r="17" spans="1:10" x14ac:dyDescent="0.3">
      <c r="A17" t="s">
        <v>175</v>
      </c>
      <c r="B17" t="s">
        <v>179</v>
      </c>
      <c r="C17" t="s">
        <v>180</v>
      </c>
      <c r="D17" t="s">
        <v>82</v>
      </c>
      <c r="E17" t="s">
        <v>78</v>
      </c>
      <c r="F17" s="55">
        <v>4.0997645311837099</v>
      </c>
      <c r="G17" s="55">
        <v>4.14526200925157</v>
      </c>
      <c r="H17" s="55">
        <v>4.05116635591465</v>
      </c>
      <c r="I17" s="55">
        <v>4.1148096316114398</v>
      </c>
      <c r="J17" s="55">
        <v>4.0411582756785496</v>
      </c>
    </row>
    <row r="18" spans="1:10" x14ac:dyDescent="0.3">
      <c r="A18" t="s">
        <v>175</v>
      </c>
      <c r="B18" t="s">
        <v>101</v>
      </c>
      <c r="C18" t="s">
        <v>102</v>
      </c>
      <c r="D18" t="s">
        <v>82</v>
      </c>
      <c r="E18" t="s">
        <v>78</v>
      </c>
      <c r="F18" s="55">
        <v>0.29631353415358502</v>
      </c>
      <c r="G18" s="55">
        <v>0.20288399952555999</v>
      </c>
      <c r="H18" s="55">
        <v>0.186651439817692</v>
      </c>
      <c r="I18" s="55">
        <v>0.18749012142416099</v>
      </c>
      <c r="J18" s="55">
        <v>0.18902150079829699</v>
      </c>
    </row>
    <row r="19" spans="1:10" x14ac:dyDescent="0.3">
      <c r="A19" t="s">
        <v>175</v>
      </c>
      <c r="B19" t="s">
        <v>181</v>
      </c>
      <c r="C19" t="s">
        <v>182</v>
      </c>
      <c r="D19" t="s">
        <v>82</v>
      </c>
      <c r="E19" t="s">
        <v>78</v>
      </c>
      <c r="F19" s="55">
        <v>1.28271814453401E-2</v>
      </c>
      <c r="G19" s="55">
        <v>1.28550587118966E-2</v>
      </c>
      <c r="H19" s="55">
        <v>1.2873420343898901E-2</v>
      </c>
      <c r="I19" s="55">
        <v>1.2874253961720501E-2</v>
      </c>
      <c r="J19" s="55">
        <v>0</v>
      </c>
    </row>
    <row r="20" spans="1:10" x14ac:dyDescent="0.3">
      <c r="A20" t="s">
        <v>175</v>
      </c>
      <c r="B20" t="s">
        <v>104</v>
      </c>
      <c r="C20" t="s">
        <v>105</v>
      </c>
      <c r="D20" t="s">
        <v>82</v>
      </c>
      <c r="E20" t="s">
        <v>78</v>
      </c>
      <c r="F20" s="55">
        <v>6.3611936076933995E-4</v>
      </c>
      <c r="G20" s="55">
        <v>3.4076621990274E-4</v>
      </c>
      <c r="H20" s="55">
        <v>2.9759685104619799E-4</v>
      </c>
      <c r="I20" s="55">
        <v>2.9563696233792999E-4</v>
      </c>
      <c r="J20" s="55">
        <v>0</v>
      </c>
    </row>
    <row r="21" spans="1:10" x14ac:dyDescent="0.3">
      <c r="A21" t="s">
        <v>175</v>
      </c>
      <c r="B21" t="s">
        <v>183</v>
      </c>
      <c r="C21" t="s">
        <v>184</v>
      </c>
      <c r="D21" t="s">
        <v>82</v>
      </c>
      <c r="E21" t="s">
        <v>78</v>
      </c>
      <c r="F21" s="55">
        <v>0</v>
      </c>
      <c r="G21" s="55">
        <v>0</v>
      </c>
      <c r="H21" s="55">
        <v>0</v>
      </c>
      <c r="I21" s="55">
        <v>0</v>
      </c>
      <c r="J21" s="55">
        <v>0</v>
      </c>
    </row>
    <row r="22" spans="1:10" x14ac:dyDescent="0.3">
      <c r="A22" t="s">
        <v>175</v>
      </c>
      <c r="B22" t="s">
        <v>107</v>
      </c>
      <c r="C22" t="s">
        <v>108</v>
      </c>
      <c r="D22" t="s">
        <v>82</v>
      </c>
      <c r="E22" t="s">
        <v>78</v>
      </c>
      <c r="F22" s="55">
        <v>0</v>
      </c>
      <c r="G22" s="55">
        <v>0</v>
      </c>
      <c r="H22" s="55">
        <v>0</v>
      </c>
      <c r="I22" s="55">
        <v>0</v>
      </c>
      <c r="J22" s="55">
        <v>0</v>
      </c>
    </row>
    <row r="23" spans="1:10" x14ac:dyDescent="0.3">
      <c r="A23" t="s">
        <v>175</v>
      </c>
      <c r="B23" t="s">
        <v>185</v>
      </c>
      <c r="C23" t="s">
        <v>186</v>
      </c>
      <c r="D23" t="s">
        <v>82</v>
      </c>
      <c r="E23" t="s">
        <v>78</v>
      </c>
      <c r="F23" s="55">
        <v>2.49405944505087</v>
      </c>
      <c r="G23" s="55">
        <v>3.6838709214913998</v>
      </c>
      <c r="H23" s="55">
        <v>4.8748851587569</v>
      </c>
      <c r="I23" s="55">
        <v>4.8741488364216297</v>
      </c>
      <c r="J23" s="55">
        <v>4.8738711709155096</v>
      </c>
    </row>
    <row r="24" spans="1:10" x14ac:dyDescent="0.3">
      <c r="A24" t="s">
        <v>175</v>
      </c>
      <c r="B24" t="s">
        <v>110</v>
      </c>
      <c r="C24" t="s">
        <v>111</v>
      </c>
      <c r="D24" t="s">
        <v>82</v>
      </c>
      <c r="E24" t="s">
        <v>78</v>
      </c>
      <c r="F24" s="55">
        <v>0.329092519416814</v>
      </c>
      <c r="G24" s="55">
        <v>0.41364533735919201</v>
      </c>
      <c r="H24" s="55">
        <v>0.48303139105457499</v>
      </c>
      <c r="I24" s="55">
        <v>0.48007954313685502</v>
      </c>
      <c r="J24" s="55">
        <v>0.483580893682589</v>
      </c>
    </row>
    <row r="25" spans="1:10" x14ac:dyDescent="0.3">
      <c r="A25" t="s">
        <v>175</v>
      </c>
      <c r="B25" t="s">
        <v>187</v>
      </c>
      <c r="C25" t="s">
        <v>188</v>
      </c>
      <c r="D25" t="s">
        <v>82</v>
      </c>
      <c r="E25" t="s">
        <v>78</v>
      </c>
      <c r="F25" s="55">
        <v>4.5540353825303104</v>
      </c>
      <c r="G25" s="55">
        <v>4.5985866516058502</v>
      </c>
      <c r="H25" s="55">
        <v>4.5109296797898599</v>
      </c>
      <c r="I25" s="55">
        <v>4.5679498380055801</v>
      </c>
      <c r="J25" s="55">
        <v>4.4993283251063199</v>
      </c>
    </row>
    <row r="26" spans="1:10" x14ac:dyDescent="0.3">
      <c r="A26" t="s">
        <v>175</v>
      </c>
      <c r="B26" t="s">
        <v>113</v>
      </c>
      <c r="C26" t="s">
        <v>114</v>
      </c>
      <c r="D26" t="s">
        <v>82</v>
      </c>
      <c r="E26" t="s">
        <v>78</v>
      </c>
      <c r="F26" s="55">
        <v>0.608907480583186</v>
      </c>
      <c r="G26" s="55">
        <v>0.52435466264080799</v>
      </c>
      <c r="H26" s="55">
        <v>0.45496860894542501</v>
      </c>
      <c r="I26" s="55">
        <v>0.45792045686314498</v>
      </c>
      <c r="J26" s="55">
        <v>0.454419106317411</v>
      </c>
    </row>
    <row r="27" spans="1:10" x14ac:dyDescent="0.3">
      <c r="A27" t="s">
        <v>175</v>
      </c>
      <c r="B27" t="s">
        <v>189</v>
      </c>
      <c r="C27" t="s">
        <v>190</v>
      </c>
      <c r="D27" t="s">
        <v>82</v>
      </c>
      <c r="E27" t="s">
        <v>78</v>
      </c>
      <c r="F27" s="55">
        <v>0</v>
      </c>
      <c r="G27" s="55">
        <v>0</v>
      </c>
      <c r="H27" s="55">
        <v>0</v>
      </c>
      <c r="I27" s="55">
        <v>0</v>
      </c>
      <c r="J27" s="55">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42"/>
  <sheetViews>
    <sheetView zoomScale="85" zoomScaleNormal="85" workbookViewId="0"/>
  </sheetViews>
  <sheetFormatPr defaultRowHeight="14" x14ac:dyDescent="0.3"/>
  <cols>
    <col min="1" max="4" width="1.33203125" customWidth="1"/>
    <col min="5" max="5" width="67.5" bestFit="1" customWidth="1"/>
    <col min="6" max="7" width="9.25" customWidth="1"/>
    <col min="8" max="8" width="3" customWidth="1"/>
  </cols>
  <sheetData>
    <row r="1" spans="4:13" ht="14.5" thickBot="1" x14ac:dyDescent="0.35"/>
    <row r="2" spans="4:13" ht="14.5" thickBot="1" x14ac:dyDescent="0.35">
      <c r="I2" s="8" t="s">
        <v>34</v>
      </c>
      <c r="J2" s="6" t="s">
        <v>35</v>
      </c>
      <c r="K2" s="7" t="s">
        <v>36</v>
      </c>
      <c r="L2" s="7" t="s">
        <v>37</v>
      </c>
      <c r="M2" s="7" t="s">
        <v>38</v>
      </c>
    </row>
    <row r="3" spans="4:13" ht="16.5" thickBot="1" x14ac:dyDescent="0.35">
      <c r="D3" s="33"/>
      <c r="E3" s="80" t="s">
        <v>64</v>
      </c>
      <c r="I3" s="52"/>
      <c r="J3" s="52"/>
      <c r="K3" s="52"/>
      <c r="L3" s="52"/>
      <c r="M3" s="52"/>
    </row>
    <row r="4" spans="4:13" x14ac:dyDescent="0.3">
      <c r="E4" s="53" t="s">
        <v>81</v>
      </c>
      <c r="G4" t="s">
        <v>82</v>
      </c>
      <c r="H4" s="53"/>
      <c r="I4" s="53">
        <f>F_Inputs!F7</f>
        <v>10.9783847898416</v>
      </c>
      <c r="J4" s="53">
        <f>F_Inputs!G7</f>
        <v>11.039934504610899</v>
      </c>
      <c r="K4" s="53">
        <f>F_Inputs!H7</f>
        <v>11.0567447035168</v>
      </c>
      <c r="L4" s="53">
        <f>F_Inputs!I7</f>
        <v>11.087640526163799</v>
      </c>
      <c r="M4" s="53">
        <f>F_Inputs!J7</f>
        <v>11.130160441043101</v>
      </c>
    </row>
    <row r="5" spans="4:13" x14ac:dyDescent="0.3">
      <c r="E5" s="53" t="s">
        <v>106</v>
      </c>
      <c r="G5" t="s">
        <v>82</v>
      </c>
      <c r="H5" s="53"/>
      <c r="I5" s="53">
        <f>F_Inputs!F21</f>
        <v>0</v>
      </c>
      <c r="J5" s="53">
        <f>F_Inputs!G21</f>
        <v>0</v>
      </c>
      <c r="K5" s="53">
        <f>F_Inputs!H21</f>
        <v>0</v>
      </c>
      <c r="L5" s="53">
        <f>F_Inputs!I21</f>
        <v>0</v>
      </c>
      <c r="M5" s="53">
        <f>F_Inputs!J21</f>
        <v>0</v>
      </c>
    </row>
    <row r="6" spans="4:13" x14ac:dyDescent="0.3">
      <c r="E6" s="53" t="s">
        <v>108</v>
      </c>
      <c r="G6" t="s">
        <v>82</v>
      </c>
      <c r="H6" s="53"/>
      <c r="I6" s="53">
        <f>F_Inputs!F22</f>
        <v>0</v>
      </c>
      <c r="J6" s="53">
        <f>F_Inputs!G22</f>
        <v>0</v>
      </c>
      <c r="K6" s="53">
        <f>F_Inputs!H22</f>
        <v>0</v>
      </c>
      <c r="L6" s="53">
        <f>F_Inputs!I22</f>
        <v>0</v>
      </c>
      <c r="M6" s="53">
        <f>F_Inputs!J22</f>
        <v>0</v>
      </c>
    </row>
    <row r="7" spans="4:13" x14ac:dyDescent="0.3">
      <c r="E7" t="s">
        <v>115</v>
      </c>
      <c r="G7" t="s">
        <v>82</v>
      </c>
      <c r="I7" s="54">
        <f>I4 - SUM(I5:I6)</f>
        <v>10.9783847898416</v>
      </c>
      <c r="J7" s="54">
        <f>J4 - SUM(J5:J6)</f>
        <v>11.039934504610899</v>
      </c>
      <c r="K7" s="54">
        <f>K4 - SUM(K5:K6)</f>
        <v>11.0567447035168</v>
      </c>
      <c r="L7" s="54">
        <f>L4 - SUM(L5:L6)</f>
        <v>11.087640526163799</v>
      </c>
      <c r="M7" s="54">
        <f>M4 - SUM(M5:M6)</f>
        <v>11.130160441043101</v>
      </c>
    </row>
    <row r="9" spans="4:13" x14ac:dyDescent="0.3">
      <c r="E9" s="53" t="s">
        <v>84</v>
      </c>
      <c r="G9" t="s">
        <v>82</v>
      </c>
      <c r="H9" s="53"/>
      <c r="I9" s="53">
        <f>F_Inputs!F8</f>
        <v>4.5116010609727297</v>
      </c>
      <c r="J9" s="53">
        <f>F_Inputs!G8</f>
        <v>5.0662282508330998</v>
      </c>
      <c r="K9" s="53">
        <f>F_Inputs!H8</f>
        <v>4.2029564987973602</v>
      </c>
      <c r="L9" s="53">
        <f>F_Inputs!I8</f>
        <v>3.2290286977941798</v>
      </c>
      <c r="M9" s="53">
        <f>F_Inputs!J8</f>
        <v>2.6322707452119598</v>
      </c>
    </row>
    <row r="10" spans="4:13" x14ac:dyDescent="0.3">
      <c r="E10" s="53" t="s">
        <v>103</v>
      </c>
      <c r="G10" t="s">
        <v>82</v>
      </c>
      <c r="H10" s="53"/>
      <c r="I10" s="53">
        <f>F_Inputs!F19</f>
        <v>1.28271814453401E-2</v>
      </c>
      <c r="J10" s="53">
        <f>F_Inputs!G19</f>
        <v>1.28550587118966E-2</v>
      </c>
      <c r="K10" s="53">
        <f>F_Inputs!H19</f>
        <v>1.2873420343898901E-2</v>
      </c>
      <c r="L10" s="53">
        <f>F_Inputs!I19</f>
        <v>1.2874253961720501E-2</v>
      </c>
      <c r="M10" s="53">
        <f>F_Inputs!J19</f>
        <v>0</v>
      </c>
    </row>
    <row r="11" spans="4:13" x14ac:dyDescent="0.3">
      <c r="E11" s="53" t="s">
        <v>105</v>
      </c>
      <c r="G11" t="s">
        <v>82</v>
      </c>
      <c r="H11" s="53"/>
      <c r="I11" s="53">
        <f>F_Inputs!F20</f>
        <v>6.3611936076933995E-4</v>
      </c>
      <c r="J11" s="53">
        <f>F_Inputs!G20</f>
        <v>3.4076621990274E-4</v>
      </c>
      <c r="K11" s="53">
        <f>F_Inputs!H20</f>
        <v>2.9759685104619799E-4</v>
      </c>
      <c r="L11" s="53">
        <f>F_Inputs!I20</f>
        <v>2.9563696233792999E-4</v>
      </c>
      <c r="M11" s="53">
        <f>F_Inputs!J20</f>
        <v>0</v>
      </c>
    </row>
    <row r="12" spans="4:13" x14ac:dyDescent="0.3">
      <c r="E12" t="s">
        <v>116</v>
      </c>
      <c r="G12" t="s">
        <v>82</v>
      </c>
      <c r="I12" s="54">
        <f>I9 - SUM(I10:I11)</f>
        <v>4.4981377601666201</v>
      </c>
      <c r="J12" s="54">
        <f>J9 - SUM(J10:J11)</f>
        <v>5.0530324259013009</v>
      </c>
      <c r="K12" s="54">
        <f>K9 - SUM(K10:K11)</f>
        <v>4.1897854816024154</v>
      </c>
      <c r="L12" s="54">
        <f>L9 - SUM(L10:L11)</f>
        <v>3.2158588068701213</v>
      </c>
      <c r="M12" s="54">
        <f>M9 - SUM(M10:M11)</f>
        <v>2.6322707452119598</v>
      </c>
    </row>
    <row r="13" spans="4:13" ht="14.5" thickBot="1" x14ac:dyDescent="0.35"/>
    <row r="14" spans="4:13" ht="16.5" thickBot="1" x14ac:dyDescent="0.35">
      <c r="E14" s="80" t="s">
        <v>117</v>
      </c>
    </row>
    <row r="15" spans="4:13" x14ac:dyDescent="0.3">
      <c r="E15" s="53" t="s">
        <v>86</v>
      </c>
      <c r="G15" t="s">
        <v>82</v>
      </c>
      <c r="H15" s="53"/>
      <c r="I15" s="53">
        <f>F_Inputs!F9</f>
        <v>87.922916446928198</v>
      </c>
      <c r="J15" s="53">
        <f>F_Inputs!G9</f>
        <v>88.061752083632598</v>
      </c>
      <c r="K15" s="53">
        <f>F_Inputs!H9</f>
        <v>87.332928101850797</v>
      </c>
      <c r="L15" s="53">
        <f>F_Inputs!I9</f>
        <v>86.382480232569804</v>
      </c>
      <c r="M15" s="53">
        <f>F_Inputs!J9</f>
        <v>85.960375777042202</v>
      </c>
    </row>
    <row r="16" spans="4:13" x14ac:dyDescent="0.3">
      <c r="E16" s="53" t="s">
        <v>100</v>
      </c>
      <c r="G16" t="s">
        <v>82</v>
      </c>
      <c r="H16" s="53"/>
      <c r="I16" s="53">
        <f>F_Inputs!F17</f>
        <v>4.0997645311837099</v>
      </c>
      <c r="J16" s="53">
        <f>F_Inputs!G17</f>
        <v>4.14526200925157</v>
      </c>
      <c r="K16" s="53">
        <f>F_Inputs!H17</f>
        <v>4.05116635591465</v>
      </c>
      <c r="L16" s="53">
        <f>F_Inputs!I17</f>
        <v>4.1148096316114398</v>
      </c>
      <c r="M16" s="53">
        <f>F_Inputs!J17</f>
        <v>4.0411582756785496</v>
      </c>
    </row>
    <row r="17" spans="5:13" x14ac:dyDescent="0.3">
      <c r="E17" s="53" t="s">
        <v>102</v>
      </c>
      <c r="G17" t="s">
        <v>82</v>
      </c>
      <c r="H17" s="53"/>
      <c r="I17" s="53">
        <f>F_Inputs!F18</f>
        <v>0.29631353415358502</v>
      </c>
      <c r="J17" s="53">
        <f>F_Inputs!G18</f>
        <v>0.20288399952555999</v>
      </c>
      <c r="K17" s="53">
        <f>F_Inputs!H18</f>
        <v>0.186651439817692</v>
      </c>
      <c r="L17" s="53">
        <f>F_Inputs!I18</f>
        <v>0.18749012142416099</v>
      </c>
      <c r="M17" s="53">
        <f>F_Inputs!J18</f>
        <v>0.18902150079829699</v>
      </c>
    </row>
    <row r="18" spans="5:13" x14ac:dyDescent="0.3">
      <c r="E18" t="s">
        <v>118</v>
      </c>
      <c r="G18" t="s">
        <v>82</v>
      </c>
      <c r="I18" s="54">
        <f>I15 - SUM(I16:I17)</f>
        <v>83.526838381590906</v>
      </c>
      <c r="J18" s="54">
        <f>J15 - SUM(J16:J17)</f>
        <v>83.713606074855463</v>
      </c>
      <c r="K18" s="54">
        <f>K15 - SUM(K16:K17)</f>
        <v>83.095110306118457</v>
      </c>
      <c r="L18" s="54">
        <f>L15 - SUM(L16:L17)</f>
        <v>82.080180479534206</v>
      </c>
      <c r="M18" s="54">
        <f>M15 - SUM(M16:M17)</f>
        <v>81.730196000565357</v>
      </c>
    </row>
    <row r="20" spans="5:13" x14ac:dyDescent="0.3">
      <c r="E20" s="53" t="s">
        <v>88</v>
      </c>
      <c r="G20" t="s">
        <v>82</v>
      </c>
      <c r="H20" s="53"/>
      <c r="I20" s="53">
        <f>F_Inputs!F10</f>
        <v>67.776835006097699</v>
      </c>
      <c r="J20" s="53">
        <f>F_Inputs!G10</f>
        <v>81.124838824835905</v>
      </c>
      <c r="K20" s="53">
        <f>F_Inputs!H10</f>
        <v>97.342915587909204</v>
      </c>
      <c r="L20" s="53">
        <f>F_Inputs!I10</f>
        <v>90.660414843000197</v>
      </c>
      <c r="M20" s="53">
        <f>F_Inputs!J10</f>
        <v>86.388803973383403</v>
      </c>
    </row>
    <row r="21" spans="5:13" x14ac:dyDescent="0.3">
      <c r="E21" s="53" t="s">
        <v>97</v>
      </c>
      <c r="G21" t="s">
        <v>82</v>
      </c>
      <c r="H21" s="53"/>
      <c r="I21" s="53">
        <f>F_Inputs!F15</f>
        <v>2.8644082873709502</v>
      </c>
      <c r="J21" s="53">
        <f>F_Inputs!G15</f>
        <v>4.1788829320365304</v>
      </c>
      <c r="K21" s="53">
        <f>F_Inputs!H15</f>
        <v>5.4959602237414504</v>
      </c>
      <c r="L21" s="53">
        <f>F_Inputs!I15</f>
        <v>5.4963161144268398</v>
      </c>
      <c r="M21" s="53">
        <f>F_Inputs!J15</f>
        <v>5.2598417243214497</v>
      </c>
    </row>
    <row r="22" spans="5:13" x14ac:dyDescent="0.3">
      <c r="E22" s="53" t="s">
        <v>99</v>
      </c>
      <c r="G22" t="s">
        <v>82</v>
      </c>
      <c r="H22" s="53"/>
      <c r="I22" s="53">
        <f>F_Inputs!F16</f>
        <v>0.14205034648564599</v>
      </c>
      <c r="J22" s="53">
        <f>F_Inputs!G16</f>
        <v>0.110775234254537</v>
      </c>
      <c r="K22" s="53">
        <f>F_Inputs!H16</f>
        <v>0.12705096333126201</v>
      </c>
      <c r="L22" s="53">
        <f>F_Inputs!I16</f>
        <v>0.126214241613501</v>
      </c>
      <c r="M22" s="53">
        <f>F_Inputs!J16</f>
        <v>0.12497849920170299</v>
      </c>
    </row>
    <row r="23" spans="5:13" x14ac:dyDescent="0.3">
      <c r="E23" t="s">
        <v>119</v>
      </c>
      <c r="G23" t="s">
        <v>82</v>
      </c>
      <c r="I23" s="54">
        <f>I20 - SUM(I21:I22)</f>
        <v>64.770376372241103</v>
      </c>
      <c r="J23" s="54">
        <f>J20 - SUM(J21:J22)</f>
        <v>76.835180658544843</v>
      </c>
      <c r="K23" s="54">
        <f>K20 - SUM(K21:K22)</f>
        <v>91.719904400836498</v>
      </c>
      <c r="L23" s="54">
        <f>L20 - SUM(L21:L22)</f>
        <v>85.037884486959854</v>
      </c>
      <c r="M23" s="54">
        <f>M20 - SUM(M21:M22)</f>
        <v>81.003983749860254</v>
      </c>
    </row>
    <row r="24" spans="5:13" ht="14.5" thickBot="1" x14ac:dyDescent="0.35"/>
    <row r="25" spans="5:13" ht="16.5" thickBot="1" x14ac:dyDescent="0.35">
      <c r="E25" s="80" t="s">
        <v>120</v>
      </c>
    </row>
    <row r="26" spans="5:13" x14ac:dyDescent="0.3">
      <c r="E26" s="53" t="s">
        <v>90</v>
      </c>
      <c r="G26" t="s">
        <v>82</v>
      </c>
      <c r="H26" s="53"/>
      <c r="I26" s="53">
        <f>F_Inputs!F11</f>
        <v>78.723212349630103</v>
      </c>
      <c r="J26" s="53">
        <f>F_Inputs!G11</f>
        <v>78.378121300102805</v>
      </c>
      <c r="K26" s="53">
        <f>F_Inputs!H11</f>
        <v>77.8098854978074</v>
      </c>
      <c r="L26" s="53">
        <f>F_Inputs!I11</f>
        <v>76.308552318743907</v>
      </c>
      <c r="M26" s="53">
        <f>F_Inputs!J11</f>
        <v>75.443862490385001</v>
      </c>
    </row>
    <row r="27" spans="5:13" x14ac:dyDescent="0.3">
      <c r="E27" s="53" t="s">
        <v>112</v>
      </c>
      <c r="G27" t="s">
        <v>82</v>
      </c>
      <c r="H27" s="53"/>
      <c r="I27" s="53">
        <f>F_Inputs!F25</f>
        <v>4.5540353825303104</v>
      </c>
      <c r="J27" s="53">
        <f>F_Inputs!G25</f>
        <v>4.5985866516058502</v>
      </c>
      <c r="K27" s="53">
        <f>F_Inputs!H25</f>
        <v>4.5109296797898599</v>
      </c>
      <c r="L27" s="53">
        <f>F_Inputs!I25</f>
        <v>4.5679498380055801</v>
      </c>
      <c r="M27" s="53">
        <f>F_Inputs!J25</f>
        <v>4.4993283251063199</v>
      </c>
    </row>
    <row r="28" spans="5:13" x14ac:dyDescent="0.3">
      <c r="E28" s="53" t="s">
        <v>114</v>
      </c>
      <c r="G28" t="s">
        <v>82</v>
      </c>
      <c r="H28" s="53"/>
      <c r="I28" s="53">
        <f>F_Inputs!F26</f>
        <v>0.608907480583186</v>
      </c>
      <c r="J28" s="53">
        <f>F_Inputs!G26</f>
        <v>0.52435466264080799</v>
      </c>
      <c r="K28" s="53">
        <f>F_Inputs!H26</f>
        <v>0.45496860894542501</v>
      </c>
      <c r="L28" s="53">
        <f>F_Inputs!I26</f>
        <v>0.45792045686314498</v>
      </c>
      <c r="M28" s="53">
        <f>F_Inputs!J26</f>
        <v>0.454419106317411</v>
      </c>
    </row>
    <row r="29" spans="5:13" x14ac:dyDescent="0.3">
      <c r="G29" t="s">
        <v>82</v>
      </c>
      <c r="I29" s="54">
        <f>I26 - SUM(I27:I28)</f>
        <v>73.560269486516603</v>
      </c>
      <c r="J29" s="54">
        <f>J26 - SUM(J27:J28)</f>
        <v>73.255179985856145</v>
      </c>
      <c r="K29" s="54">
        <f>K26 - SUM(K27:K28)</f>
        <v>72.843987209072111</v>
      </c>
      <c r="L29" s="54">
        <f>L26 - SUM(L27:L28)</f>
        <v>71.282682023875182</v>
      </c>
      <c r="M29" s="54">
        <f>M26 - SUM(M27:M28)</f>
        <v>70.490115058961266</v>
      </c>
    </row>
    <row r="30" spans="5:13" x14ac:dyDescent="0.3">
      <c r="G30" s="53"/>
      <c r="I30" s="53"/>
      <c r="J30" s="53"/>
      <c r="K30" s="53"/>
      <c r="L30" s="53"/>
      <c r="M30" s="53"/>
    </row>
    <row r="31" spans="5:13" x14ac:dyDescent="0.3">
      <c r="E31" s="53" t="s">
        <v>92</v>
      </c>
      <c r="G31" t="s">
        <v>82</v>
      </c>
      <c r="H31" s="53"/>
      <c r="I31" s="53">
        <f>F_Inputs!F12</f>
        <v>102.211436396403</v>
      </c>
      <c r="J31" s="53">
        <f>F_Inputs!G12</f>
        <v>99.559252481766194</v>
      </c>
      <c r="K31" s="53">
        <f>F_Inputs!H12</f>
        <v>85.730934150751906</v>
      </c>
      <c r="L31" s="53">
        <f>F_Inputs!I12</f>
        <v>86.2118265386313</v>
      </c>
      <c r="M31" s="53">
        <f>F_Inputs!J12</f>
        <v>76.119568425710995</v>
      </c>
    </row>
    <row r="32" spans="5:13" x14ac:dyDescent="0.3">
      <c r="E32" s="53" t="s">
        <v>109</v>
      </c>
      <c r="G32" t="s">
        <v>82</v>
      </c>
      <c r="H32" s="53"/>
      <c r="I32" s="53">
        <f>F_Inputs!F23</f>
        <v>2.49405944505087</v>
      </c>
      <c r="J32" s="53">
        <f>F_Inputs!G23</f>
        <v>3.6838709214913998</v>
      </c>
      <c r="K32" s="53">
        <f>F_Inputs!H23</f>
        <v>4.8748851587569</v>
      </c>
      <c r="L32" s="53">
        <f>F_Inputs!I23</f>
        <v>4.8741488364216297</v>
      </c>
      <c r="M32" s="53">
        <f>F_Inputs!J23</f>
        <v>4.8738711709155096</v>
      </c>
    </row>
    <row r="33" spans="5:13" x14ac:dyDescent="0.3">
      <c r="E33" s="53" t="s">
        <v>111</v>
      </c>
      <c r="G33" t="s">
        <v>82</v>
      </c>
      <c r="H33" s="53"/>
      <c r="I33" s="53">
        <f>F_Inputs!F24</f>
        <v>0.329092519416814</v>
      </c>
      <c r="J33" s="53">
        <f>F_Inputs!G24</f>
        <v>0.41364533735919201</v>
      </c>
      <c r="K33" s="53">
        <f>F_Inputs!H24</f>
        <v>0.48303139105457499</v>
      </c>
      <c r="L33" s="53">
        <f>F_Inputs!I24</f>
        <v>0.48007954313685502</v>
      </c>
      <c r="M33" s="53">
        <f>F_Inputs!J24</f>
        <v>0.483580893682589</v>
      </c>
    </row>
    <row r="34" spans="5:13" x14ac:dyDescent="0.3">
      <c r="E34" t="s">
        <v>121</v>
      </c>
      <c r="G34" t="s">
        <v>82</v>
      </c>
      <c r="I34" s="54">
        <f>I31 - SUM(I32:I33)</f>
        <v>99.388284431935318</v>
      </c>
      <c r="J34" s="54">
        <f>J31 - SUM(J32:J33)</f>
        <v>95.461736222915604</v>
      </c>
      <c r="K34" s="54">
        <f>K31 - SUM(K32:K33)</f>
        <v>80.373017600940429</v>
      </c>
      <c r="L34" s="54">
        <f>L31 - SUM(L32:L33)</f>
        <v>80.857598159072808</v>
      </c>
      <c r="M34" s="54">
        <f>M31 - SUM(M32:M33)</f>
        <v>70.762116361112902</v>
      </c>
    </row>
    <row r="35" spans="5:13" ht="14.5" thickBot="1" x14ac:dyDescent="0.35"/>
    <row r="36" spans="5:13" ht="16.5" thickBot="1" x14ac:dyDescent="0.35">
      <c r="E36" s="80" t="s">
        <v>67</v>
      </c>
    </row>
    <row r="37" spans="5:13" x14ac:dyDescent="0.3">
      <c r="E37" s="53" t="s">
        <v>94</v>
      </c>
      <c r="G37" t="s">
        <v>82</v>
      </c>
      <c r="H37" s="53"/>
      <c r="I37" s="53">
        <f>F_Inputs!F13</f>
        <v>13.834692586174199</v>
      </c>
      <c r="J37" s="53">
        <f>F_Inputs!G13</f>
        <v>13.981782560846</v>
      </c>
      <c r="K37" s="53">
        <f>F_Inputs!H13</f>
        <v>13.959525525204899</v>
      </c>
      <c r="L37" s="53">
        <f>F_Inputs!I13</f>
        <v>13.974040983231699</v>
      </c>
      <c r="M37" s="53">
        <f>F_Inputs!J13</f>
        <v>14.036941301348</v>
      </c>
    </row>
    <row r="38" spans="5:13" x14ac:dyDescent="0.3">
      <c r="E38" t="s">
        <v>122</v>
      </c>
      <c r="G38" t="s">
        <v>82</v>
      </c>
      <c r="I38" s="54">
        <f>I37</f>
        <v>13.834692586174199</v>
      </c>
      <c r="J38" s="54">
        <f>J37</f>
        <v>13.981782560846</v>
      </c>
      <c r="K38" s="54">
        <f>K37</f>
        <v>13.959525525204899</v>
      </c>
      <c r="L38" s="54">
        <f>L37</f>
        <v>13.974040983231699</v>
      </c>
      <c r="M38" s="54">
        <f>M37</f>
        <v>14.036941301348</v>
      </c>
    </row>
    <row r="40" spans="5:13" x14ac:dyDescent="0.3">
      <c r="E40" s="53" t="s">
        <v>96</v>
      </c>
      <c r="G40" t="s">
        <v>82</v>
      </c>
      <c r="H40" s="53"/>
      <c r="I40" s="53">
        <f>F_Inputs!F14</f>
        <v>4.4604655817162602</v>
      </c>
      <c r="J40" s="53">
        <f>F_Inputs!G14</f>
        <v>4.5709134130981699</v>
      </c>
      <c r="K40" s="53">
        <f>F_Inputs!H14</f>
        <v>4.8736207515449799</v>
      </c>
      <c r="L40" s="53">
        <f>F_Inputs!I14</f>
        <v>4.7216288482199396</v>
      </c>
      <c r="M40" s="53">
        <f>F_Inputs!J14</f>
        <v>4.4629771339253299</v>
      </c>
    </row>
    <row r="41" spans="5:13" x14ac:dyDescent="0.3">
      <c r="E41" t="s">
        <v>123</v>
      </c>
      <c r="G41" t="s">
        <v>82</v>
      </c>
      <c r="I41" s="54">
        <f>I40</f>
        <v>4.4604655817162602</v>
      </c>
      <c r="J41" s="54">
        <f>J40</f>
        <v>4.5709134130981699</v>
      </c>
      <c r="K41" s="54">
        <f>K40</f>
        <v>4.8736207515449799</v>
      </c>
      <c r="L41" s="54">
        <f>L40</f>
        <v>4.7216288482199396</v>
      </c>
      <c r="M41" s="54">
        <f>M40</f>
        <v>4.4629771339253299</v>
      </c>
    </row>
    <row r="42" spans="5:13" x14ac:dyDescent="0.3">
      <c r="I42" s="54"/>
      <c r="J42" s="54"/>
      <c r="K42" s="54"/>
      <c r="L42" s="54"/>
      <c r="M42" s="5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85" zoomScaleNormal="85" workbookViewId="0"/>
  </sheetViews>
  <sheetFormatPr defaultRowHeight="14" x14ac:dyDescent="0.3"/>
  <cols>
    <col min="1" max="1" width="3" customWidth="1"/>
    <col min="2" max="2" width="68.58203125" customWidth="1"/>
    <col min="3" max="3" width="2" customWidth="1"/>
    <col min="4" max="9" width="9.75" customWidth="1"/>
    <col min="10" max="10" width="2.33203125" customWidth="1"/>
    <col min="11" max="16" width="9.75" customWidth="1"/>
    <col min="17" max="17" width="2.33203125" customWidth="1"/>
  </cols>
  <sheetData>
    <row r="1" spans="1:17" x14ac:dyDescent="0.3">
      <c r="D1" s="33" t="s">
        <v>124</v>
      </c>
      <c r="K1" s="33" t="s">
        <v>125</v>
      </c>
    </row>
    <row r="2" spans="1:17" x14ac:dyDescent="0.3">
      <c r="D2" s="34">
        <v>2021</v>
      </c>
      <c r="E2" s="34">
        <v>2022</v>
      </c>
      <c r="F2" s="34">
        <v>2023</v>
      </c>
      <c r="G2" s="34">
        <v>2024</v>
      </c>
      <c r="H2" s="34">
        <v>2025</v>
      </c>
      <c r="I2" s="56"/>
      <c r="J2" s="35"/>
      <c r="K2" s="34">
        <v>2021</v>
      </c>
      <c r="L2" s="34">
        <v>2022</v>
      </c>
      <c r="M2" s="34">
        <v>2023</v>
      </c>
      <c r="N2" s="34">
        <v>2024</v>
      </c>
      <c r="O2" s="34">
        <v>2025</v>
      </c>
      <c r="P2" s="56"/>
      <c r="Q2" s="35"/>
    </row>
    <row r="3" spans="1:17" x14ac:dyDescent="0.3">
      <c r="B3" s="36" t="s">
        <v>126</v>
      </c>
      <c r="C3" s="37"/>
      <c r="D3" s="38" t="s">
        <v>82</v>
      </c>
      <c r="E3" s="38" t="s">
        <v>82</v>
      </c>
      <c r="F3" s="38" t="s">
        <v>82</v>
      </c>
      <c r="G3" s="38" t="s">
        <v>82</v>
      </c>
      <c r="H3" s="38" t="s">
        <v>82</v>
      </c>
      <c r="I3" s="42" t="s">
        <v>127</v>
      </c>
      <c r="J3" s="39"/>
      <c r="K3" s="38" t="s">
        <v>82</v>
      </c>
      <c r="L3" s="38" t="s">
        <v>82</v>
      </c>
      <c r="M3" s="38" t="s">
        <v>82</v>
      </c>
      <c r="N3" s="38" t="s">
        <v>82</v>
      </c>
      <c r="O3" s="38" t="s">
        <v>82</v>
      </c>
      <c r="P3" s="42" t="s">
        <v>127</v>
      </c>
      <c r="Q3" s="39"/>
    </row>
    <row r="4" spans="1:17" x14ac:dyDescent="0.3">
      <c r="A4" s="36"/>
      <c r="B4" s="40"/>
      <c r="C4" s="37"/>
      <c r="D4" s="42"/>
      <c r="E4" s="42"/>
      <c r="F4" s="42"/>
      <c r="G4" s="42"/>
      <c r="H4" s="42"/>
      <c r="I4" s="42"/>
      <c r="J4" s="39"/>
      <c r="K4" s="42"/>
      <c r="L4" s="42"/>
      <c r="M4" s="42"/>
      <c r="N4" s="42"/>
      <c r="O4" s="42"/>
      <c r="P4" s="42"/>
      <c r="Q4" s="39"/>
    </row>
    <row r="5" spans="1:17" x14ac:dyDescent="0.3">
      <c r="A5" s="43"/>
      <c r="B5" s="41" t="s">
        <v>128</v>
      </c>
      <c r="C5" s="44"/>
      <c r="D5" s="46">
        <v>12.019151129651901</v>
      </c>
      <c r="E5" s="46">
        <v>12.0881090563482</v>
      </c>
      <c r="F5" s="46">
        <v>12.106426005626901</v>
      </c>
      <c r="G5" s="46">
        <v>12.141982436579699</v>
      </c>
      <c r="H5" s="46">
        <v>12.188313543578801</v>
      </c>
      <c r="I5" s="46"/>
      <c r="J5" s="45"/>
      <c r="K5" s="46">
        <f>'Final determination Totex'!I4</f>
        <v>10.9783847898416</v>
      </c>
      <c r="L5" s="46">
        <f>'Final determination Totex'!J4</f>
        <v>11.039934504610899</v>
      </c>
      <c r="M5" s="46">
        <f>'Final determination Totex'!K4</f>
        <v>11.0567447035168</v>
      </c>
      <c r="N5" s="46">
        <f>'Final determination Totex'!L4</f>
        <v>11.087640526163799</v>
      </c>
      <c r="O5" s="46">
        <f>'Final determination Totex'!M4</f>
        <v>11.130160441043101</v>
      </c>
      <c r="P5" s="46"/>
      <c r="Q5" s="45"/>
    </row>
    <row r="6" spans="1:17" x14ac:dyDescent="0.3">
      <c r="A6" s="43"/>
      <c r="B6" s="41" t="s">
        <v>129</v>
      </c>
      <c r="C6" s="44"/>
      <c r="D6" s="46">
        <v>4.1901663091292098</v>
      </c>
      <c r="E6" s="46">
        <v>4.6165957821356196</v>
      </c>
      <c r="F6" s="46">
        <v>3.78284209925034</v>
      </c>
      <c r="G6" s="46">
        <v>2.8848947322565701</v>
      </c>
      <c r="H6" s="46">
        <v>2.6479894694752399</v>
      </c>
      <c r="I6" s="46"/>
      <c r="J6" s="45"/>
      <c r="K6" s="46">
        <f>'Final determination Totex'!I9</f>
        <v>4.5116010609727297</v>
      </c>
      <c r="L6" s="46">
        <f>'Final determination Totex'!J9</f>
        <v>5.0662282508330998</v>
      </c>
      <c r="M6" s="46">
        <f>'Final determination Totex'!K9</f>
        <v>4.2029564987973602</v>
      </c>
      <c r="N6" s="46">
        <f>'Final determination Totex'!L9</f>
        <v>3.2290286977941798</v>
      </c>
      <c r="O6" s="46">
        <f>'Final determination Totex'!M9</f>
        <v>2.6322707452119598</v>
      </c>
      <c r="P6" s="46"/>
      <c r="Q6" s="45"/>
    </row>
    <row r="7" spans="1:17" x14ac:dyDescent="0.3">
      <c r="A7" s="43"/>
      <c r="B7" s="41" t="s">
        <v>130</v>
      </c>
      <c r="C7" s="44"/>
      <c r="D7" s="46">
        <v>0</v>
      </c>
      <c r="E7" s="46">
        <v>0</v>
      </c>
      <c r="F7" s="46">
        <v>0</v>
      </c>
      <c r="G7" s="46">
        <v>0</v>
      </c>
      <c r="H7" s="46">
        <v>0</v>
      </c>
      <c r="I7" s="46"/>
      <c r="J7" s="45"/>
      <c r="K7" s="46">
        <f>'Final determination Totex'!I10+'Final determination Totex'!I11</f>
        <v>1.3463300806109441E-2</v>
      </c>
      <c r="L7" s="46">
        <f>'Final determination Totex'!J10+'Final determination Totex'!J11</f>
        <v>1.3195824931799339E-2</v>
      </c>
      <c r="M7" s="46">
        <f>'Final determination Totex'!K10+'Final determination Totex'!K11</f>
        <v>1.3171017194945098E-2</v>
      </c>
      <c r="N7" s="46">
        <f>'Final determination Totex'!L10+'Final determination Totex'!L11</f>
        <v>1.3169890924058431E-2</v>
      </c>
      <c r="O7" s="46">
        <f>'Final determination Totex'!M10+'Final determination Totex'!M11</f>
        <v>0</v>
      </c>
      <c r="P7" s="46"/>
      <c r="Q7" s="45"/>
    </row>
    <row r="8" spans="1:17" ht="14.5" thickBot="1" x14ac:dyDescent="0.35">
      <c r="A8" s="43"/>
      <c r="B8" s="47" t="s">
        <v>131</v>
      </c>
      <c r="C8" s="44"/>
      <c r="D8" s="46">
        <v>0</v>
      </c>
      <c r="E8" s="46">
        <v>0</v>
      </c>
      <c r="F8" s="46">
        <v>0</v>
      </c>
      <c r="G8" s="46">
        <v>0</v>
      </c>
      <c r="H8" s="46">
        <v>0</v>
      </c>
      <c r="I8" s="46"/>
      <c r="J8" s="45"/>
      <c r="K8" s="46">
        <f>'Final determination Totex'!I5+'Final determination Totex'!I6</f>
        <v>0</v>
      </c>
      <c r="L8" s="46">
        <f>'Final determination Totex'!J5+'Final determination Totex'!J6</f>
        <v>0</v>
      </c>
      <c r="M8" s="46">
        <f>'Final determination Totex'!K5+'Final determination Totex'!K6</f>
        <v>0</v>
      </c>
      <c r="N8" s="46">
        <f>'Final determination Totex'!L5+'Final determination Totex'!L6</f>
        <v>0</v>
      </c>
      <c r="O8" s="46">
        <f>'Final determination Totex'!M5+'Final determination Totex'!M6</f>
        <v>0</v>
      </c>
      <c r="P8" s="46"/>
      <c r="Q8" s="45"/>
    </row>
    <row r="9" spans="1:17" x14ac:dyDescent="0.3">
      <c r="A9" s="43"/>
      <c r="B9" s="47" t="s">
        <v>132</v>
      </c>
      <c r="C9" s="44"/>
      <c r="D9" s="48">
        <v>16.20931743878111</v>
      </c>
      <c r="E9" s="48">
        <v>16.704704838483821</v>
      </c>
      <c r="F9" s="48">
        <v>15.889268104877241</v>
      </c>
      <c r="G9" s="48">
        <v>15.026877168836268</v>
      </c>
      <c r="H9" s="48">
        <v>14.836303013054041</v>
      </c>
      <c r="I9" s="57">
        <v>78.66647056403248</v>
      </c>
      <c r="J9" s="45"/>
      <c r="K9" s="48">
        <f>SUM(K5:K6)-SUM(K7:K8)</f>
        <v>15.476522550008221</v>
      </c>
      <c r="L9" s="48">
        <f t="shared" ref="L9:O9" si="0">SUM(L5:L6)-SUM(L7:L8)</f>
        <v>16.092966930512201</v>
      </c>
      <c r="M9" s="48">
        <f t="shared" si="0"/>
        <v>15.246530185119216</v>
      </c>
      <c r="N9" s="48">
        <f t="shared" si="0"/>
        <v>14.303499333033921</v>
      </c>
      <c r="O9" s="48">
        <f t="shared" si="0"/>
        <v>13.762431186255061</v>
      </c>
      <c r="P9" s="57">
        <f>SUM(K9:O9)</f>
        <v>74.881950184928627</v>
      </c>
      <c r="Q9" s="45"/>
    </row>
    <row r="10" spans="1:17" x14ac:dyDescent="0.3">
      <c r="A10" s="43"/>
      <c r="B10" s="47" t="s">
        <v>133</v>
      </c>
      <c r="C10" s="44"/>
      <c r="D10" s="48">
        <v>12.019151129651901</v>
      </c>
      <c r="E10" s="48">
        <v>12.0881090563482</v>
      </c>
      <c r="F10" s="48">
        <v>12.106426005626901</v>
      </c>
      <c r="G10" s="48">
        <v>12.141982436579699</v>
      </c>
      <c r="H10" s="48">
        <v>12.188313543578801</v>
      </c>
      <c r="I10" s="58">
        <v>60.543982171785501</v>
      </c>
      <c r="J10" s="45"/>
      <c r="K10" s="48">
        <f>K5-K8</f>
        <v>10.9783847898416</v>
      </c>
      <c r="L10" s="48">
        <f t="shared" ref="L10:O10" si="1">L5-L8</f>
        <v>11.039934504610899</v>
      </c>
      <c r="M10" s="48">
        <f t="shared" si="1"/>
        <v>11.0567447035168</v>
      </c>
      <c r="N10" s="48">
        <f t="shared" si="1"/>
        <v>11.087640526163799</v>
      </c>
      <c r="O10" s="48">
        <f t="shared" si="1"/>
        <v>11.130160441043101</v>
      </c>
      <c r="P10" s="58">
        <f t="shared" ref="P10:P11" si="2">SUM(K10:O10)</f>
        <v>55.292864965176207</v>
      </c>
      <c r="Q10" s="45"/>
    </row>
    <row r="11" spans="1:17" ht="14.5" thickBot="1" x14ac:dyDescent="0.35">
      <c r="A11" s="43"/>
      <c r="B11" s="47" t="s">
        <v>134</v>
      </c>
      <c r="C11" s="44"/>
      <c r="D11" s="48">
        <v>4.190166309129209</v>
      </c>
      <c r="E11" s="48">
        <v>4.6165957821356205</v>
      </c>
      <c r="F11" s="48">
        <v>3.78284209925034</v>
      </c>
      <c r="G11" s="48">
        <v>2.8848947322565692</v>
      </c>
      <c r="H11" s="48">
        <v>2.6479894694752399</v>
      </c>
      <c r="I11" s="59">
        <v>18.122488392246979</v>
      </c>
      <c r="J11" s="45"/>
      <c r="K11" s="48">
        <f>K9-K10</f>
        <v>4.498137760166621</v>
      </c>
      <c r="L11" s="48">
        <f t="shared" ref="L11:O11" si="3">L9-L10</f>
        <v>5.0530324259013017</v>
      </c>
      <c r="M11" s="48">
        <f t="shared" si="3"/>
        <v>4.1897854816024154</v>
      </c>
      <c r="N11" s="48">
        <f t="shared" si="3"/>
        <v>3.2158588068701217</v>
      </c>
      <c r="O11" s="48">
        <f t="shared" si="3"/>
        <v>2.6322707452119598</v>
      </c>
      <c r="P11" s="59">
        <f t="shared" si="2"/>
        <v>19.58908521975242</v>
      </c>
      <c r="Q11" s="45"/>
    </row>
    <row r="12" spans="1:17" x14ac:dyDescent="0.3">
      <c r="A12" s="43"/>
      <c r="B12" s="47"/>
      <c r="C12" s="44"/>
      <c r="J12" s="45"/>
      <c r="Q12" s="45"/>
    </row>
    <row r="13" spans="1:17" x14ac:dyDescent="0.3">
      <c r="B13" s="36" t="s">
        <v>135</v>
      </c>
      <c r="C13" s="37"/>
      <c r="D13" s="49"/>
      <c r="E13" s="49"/>
      <c r="F13" s="49"/>
      <c r="G13" s="49"/>
      <c r="H13" s="49"/>
      <c r="I13" s="49"/>
      <c r="J13" s="45"/>
      <c r="K13" s="49"/>
      <c r="L13" s="49"/>
      <c r="M13" s="49"/>
      <c r="N13" s="49"/>
      <c r="O13" s="49"/>
      <c r="P13" s="49"/>
      <c r="Q13" s="45"/>
    </row>
    <row r="14" spans="1:17" x14ac:dyDescent="0.3">
      <c r="A14" s="43"/>
      <c r="B14" s="41" t="s">
        <v>136</v>
      </c>
      <c r="C14" s="44"/>
      <c r="D14" s="46">
        <v>88.271753958267894</v>
      </c>
      <c r="E14" s="46">
        <v>88.631082522245904</v>
      </c>
      <c r="F14" s="46">
        <v>88.357465358849794</v>
      </c>
      <c r="G14" s="46">
        <v>87.470682022060004</v>
      </c>
      <c r="H14" s="46">
        <v>87.131133012062406</v>
      </c>
      <c r="I14" s="46"/>
      <c r="J14" s="45"/>
      <c r="K14" s="46">
        <f>'Final determination Totex'!I15</f>
        <v>87.922916446928198</v>
      </c>
      <c r="L14" s="46">
        <f>'Final determination Totex'!J15</f>
        <v>88.061752083632598</v>
      </c>
      <c r="M14" s="46">
        <f>'Final determination Totex'!K15</f>
        <v>87.332928101850797</v>
      </c>
      <c r="N14" s="46">
        <f>'Final determination Totex'!L15</f>
        <v>86.382480232569804</v>
      </c>
      <c r="O14" s="46">
        <f>'Final determination Totex'!M15</f>
        <v>85.960375777042202</v>
      </c>
      <c r="P14" s="46"/>
      <c r="Q14" s="45"/>
    </row>
    <row r="15" spans="1:17" x14ac:dyDescent="0.3">
      <c r="A15" s="43"/>
      <c r="B15" s="41" t="s">
        <v>137</v>
      </c>
      <c r="C15" s="44"/>
      <c r="D15" s="46">
        <v>64.1863183954448</v>
      </c>
      <c r="E15" s="46">
        <v>77.767209030200405</v>
      </c>
      <c r="F15" s="46">
        <v>95.688944972961394</v>
      </c>
      <c r="G15" s="46">
        <v>88.003409920428993</v>
      </c>
      <c r="H15" s="46">
        <v>82.847693045938598</v>
      </c>
      <c r="I15" s="46"/>
      <c r="J15" s="45"/>
      <c r="K15" s="46">
        <f>'Final determination Totex'!I20</f>
        <v>67.776835006097699</v>
      </c>
      <c r="L15" s="46">
        <f>'Final determination Totex'!J20</f>
        <v>81.124838824835905</v>
      </c>
      <c r="M15" s="46">
        <f>'Final determination Totex'!K20</f>
        <v>97.342915587909204</v>
      </c>
      <c r="N15" s="46">
        <f>'Final determination Totex'!L20</f>
        <v>90.660414843000197</v>
      </c>
      <c r="O15" s="46">
        <f>'Final determination Totex'!M20</f>
        <v>86.388803973383403</v>
      </c>
      <c r="P15" s="46"/>
      <c r="Q15" s="45"/>
    </row>
    <row r="16" spans="1:17" x14ac:dyDescent="0.3">
      <c r="A16" s="43"/>
      <c r="B16" s="41" t="s">
        <v>138</v>
      </c>
      <c r="C16" s="44"/>
      <c r="D16" s="46">
        <v>6.4978558149944909</v>
      </c>
      <c r="E16" s="46">
        <v>6.4964526131486675</v>
      </c>
      <c r="F16" s="46">
        <v>6.4964526131486631</v>
      </c>
      <c r="G16" s="46">
        <v>6.4964526131486631</v>
      </c>
      <c r="H16" s="46">
        <v>6.4964526131486666</v>
      </c>
      <c r="I16" s="46"/>
      <c r="J16" s="45"/>
      <c r="K16" s="46">
        <f>'Final determination Totex'!I21+'Final determination Totex'!I22</f>
        <v>3.0064586338565964</v>
      </c>
      <c r="L16" s="46">
        <f>'Final determination Totex'!J21+'Final determination Totex'!J22</f>
        <v>4.2896581662910673</v>
      </c>
      <c r="M16" s="46">
        <f>'Final determination Totex'!K21+'Final determination Totex'!K22</f>
        <v>5.6230111870727129</v>
      </c>
      <c r="N16" s="46">
        <f>'Final determination Totex'!L21+'Final determination Totex'!L22</f>
        <v>5.6225303560403406</v>
      </c>
      <c r="O16" s="46">
        <f>'Final determination Totex'!M21+'Final determination Totex'!M22</f>
        <v>5.3848202235231524</v>
      </c>
      <c r="P16" s="46"/>
      <c r="Q16" s="45"/>
    </row>
    <row r="17" spans="1:17" ht="14.5" thickBot="1" x14ac:dyDescent="0.35">
      <c r="A17" s="43"/>
      <c r="B17" s="41" t="s">
        <v>139</v>
      </c>
      <c r="C17" s="44"/>
      <c r="D17" s="46">
        <v>0.85799999999999998</v>
      </c>
      <c r="E17" s="46">
        <v>0.85799999999999998</v>
      </c>
      <c r="F17" s="46">
        <v>0.85799999999999998</v>
      </c>
      <c r="G17" s="46">
        <v>0.85799999999999998</v>
      </c>
      <c r="H17" s="46">
        <v>0.85799999999999998</v>
      </c>
      <c r="I17" s="46"/>
      <c r="J17" s="45"/>
      <c r="K17" s="46">
        <f>'Final determination Totex'!I16+'Final determination Totex'!I17</f>
        <v>4.3960780653372948</v>
      </c>
      <c r="L17" s="46">
        <f>'Final determination Totex'!J16+'Final determination Totex'!J17</f>
        <v>4.34814600877713</v>
      </c>
      <c r="M17" s="46">
        <f>'Final determination Totex'!K16+'Final determination Totex'!K17</f>
        <v>4.237817795732342</v>
      </c>
      <c r="N17" s="46">
        <f>'Final determination Totex'!L16+'Final determination Totex'!L17</f>
        <v>4.3022997530356006</v>
      </c>
      <c r="O17" s="46">
        <f>'Final determination Totex'!M16+'Final determination Totex'!M17</f>
        <v>4.230179776476847</v>
      </c>
      <c r="P17" s="46"/>
      <c r="Q17" s="45"/>
    </row>
    <row r="18" spans="1:17" x14ac:dyDescent="0.3">
      <c r="A18" s="43"/>
      <c r="B18" s="47" t="s">
        <v>132</v>
      </c>
      <c r="C18" s="44"/>
      <c r="D18" s="48">
        <v>145.10221653871818</v>
      </c>
      <c r="E18" s="48">
        <v>159.04383893929764</v>
      </c>
      <c r="F18" s="48">
        <v>176.69195771866254</v>
      </c>
      <c r="G18" s="48">
        <v>168.11963932934034</v>
      </c>
      <c r="H18" s="48">
        <v>162.62437344485232</v>
      </c>
      <c r="I18" s="57">
        <v>811.58202597087097</v>
      </c>
      <c r="J18" s="45"/>
      <c r="K18" s="48">
        <f>SUM(K14:K15)-SUM(K16:K17)</f>
        <v>148.29721475383201</v>
      </c>
      <c r="L18" s="48">
        <f>SUM(L14:L15)-SUM(L16:L17)</f>
        <v>160.54878673340031</v>
      </c>
      <c r="M18" s="48">
        <f>SUM(M14:M15)-SUM(M16:M17)</f>
        <v>174.81501470695494</v>
      </c>
      <c r="N18" s="48">
        <f>SUM(N14:N15)-SUM(N16:N17)</f>
        <v>167.11806496649407</v>
      </c>
      <c r="O18" s="48">
        <f>SUM(O14:O15)-SUM(O16:O17)</f>
        <v>162.7341797504256</v>
      </c>
      <c r="P18" s="57">
        <f>SUM(K18:O18)</f>
        <v>813.51326091110695</v>
      </c>
      <c r="Q18" s="45"/>
    </row>
    <row r="19" spans="1:17" x14ac:dyDescent="0.3">
      <c r="A19" s="43"/>
      <c r="B19" s="47" t="s">
        <v>133</v>
      </c>
      <c r="C19" s="44"/>
      <c r="D19" s="48">
        <v>87.41375395826789</v>
      </c>
      <c r="E19" s="48">
        <v>87.7730825222459</v>
      </c>
      <c r="F19" s="48">
        <v>87.49946535884979</v>
      </c>
      <c r="G19" s="48">
        <v>86.61268202206</v>
      </c>
      <c r="H19" s="48">
        <v>86.273133012062402</v>
      </c>
      <c r="I19" s="58">
        <v>435.57211687348604</v>
      </c>
      <c r="J19" s="45"/>
      <c r="K19" s="48">
        <f>K14-K17</f>
        <v>83.526838381590906</v>
      </c>
      <c r="L19" s="48">
        <f>L14-L17</f>
        <v>83.713606074855463</v>
      </c>
      <c r="M19" s="48">
        <f>M14-M17</f>
        <v>83.095110306118457</v>
      </c>
      <c r="N19" s="48">
        <f>N14-N17</f>
        <v>82.080180479534206</v>
      </c>
      <c r="O19" s="48">
        <f>O14-O17</f>
        <v>81.730196000565357</v>
      </c>
      <c r="P19" s="58">
        <f t="shared" ref="P19:P20" si="4">SUM(K19:O19)</f>
        <v>414.14593124266435</v>
      </c>
      <c r="Q19" s="45"/>
    </row>
    <row r="20" spans="1:17" ht="14.5" thickBot="1" x14ac:dyDescent="0.35">
      <c r="A20" s="43"/>
      <c r="B20" s="47" t="s">
        <v>134</v>
      </c>
      <c r="C20" s="44"/>
      <c r="D20" s="48">
        <v>57.688462580450292</v>
      </c>
      <c r="E20" s="48">
        <v>71.270756417051743</v>
      </c>
      <c r="F20" s="48">
        <v>89.192492359812746</v>
      </c>
      <c r="G20" s="48">
        <v>81.506957307280345</v>
      </c>
      <c r="H20" s="48">
        <v>76.351240432789922</v>
      </c>
      <c r="I20" s="59">
        <v>376.00990909738505</v>
      </c>
      <c r="J20" s="45"/>
      <c r="K20" s="48">
        <f>K18-K19</f>
        <v>64.770376372241103</v>
      </c>
      <c r="L20" s="48">
        <f t="shared" ref="L20:O20" si="5">L18-L19</f>
        <v>76.835180658544843</v>
      </c>
      <c r="M20" s="48">
        <f t="shared" si="5"/>
        <v>91.719904400836484</v>
      </c>
      <c r="N20" s="48">
        <f t="shared" si="5"/>
        <v>85.037884486959868</v>
      </c>
      <c r="O20" s="48">
        <f t="shared" si="5"/>
        <v>81.00398374986024</v>
      </c>
      <c r="P20" s="59">
        <f t="shared" si="4"/>
        <v>399.36732966844255</v>
      </c>
      <c r="Q20" s="45"/>
    </row>
    <row r="21" spans="1:17" x14ac:dyDescent="0.3">
      <c r="A21" s="43"/>
      <c r="B21" s="41"/>
      <c r="C21" s="44"/>
      <c r="J21" s="45"/>
      <c r="Q21" s="45"/>
    </row>
    <row r="22" spans="1:17" x14ac:dyDescent="0.3">
      <c r="B22" s="36" t="s">
        <v>140</v>
      </c>
      <c r="C22" s="44"/>
      <c r="D22" s="46"/>
      <c r="E22" s="46"/>
      <c r="F22" s="46"/>
      <c r="G22" s="46"/>
      <c r="H22" s="46"/>
      <c r="I22" s="46"/>
      <c r="J22" s="45"/>
      <c r="K22" s="46"/>
      <c r="L22" s="46"/>
      <c r="M22" s="46"/>
      <c r="N22" s="46"/>
      <c r="O22" s="46"/>
      <c r="P22" s="46"/>
      <c r="Q22" s="45"/>
    </row>
    <row r="23" spans="1:17" x14ac:dyDescent="0.3">
      <c r="A23" s="50"/>
      <c r="B23" s="51" t="s">
        <v>141</v>
      </c>
      <c r="C23" s="44"/>
      <c r="D23" s="46">
        <v>78.981834299414899</v>
      </c>
      <c r="E23" s="46">
        <v>78.615291321375807</v>
      </c>
      <c r="F23" s="46">
        <v>78.054413221121806</v>
      </c>
      <c r="G23" s="46">
        <v>76.569962262816404</v>
      </c>
      <c r="H23" s="46">
        <v>75.710847093816596</v>
      </c>
      <c r="I23" s="46"/>
      <c r="J23" s="45"/>
      <c r="K23" s="46">
        <f>'Final determination Totex'!I26</f>
        <v>78.723212349630103</v>
      </c>
      <c r="L23" s="46">
        <f>'Final determination Totex'!J26</f>
        <v>78.378121300102805</v>
      </c>
      <c r="M23" s="46">
        <f>'Final determination Totex'!K26</f>
        <v>77.8098854978074</v>
      </c>
      <c r="N23" s="46">
        <f>'Final determination Totex'!L26</f>
        <v>76.308552318743907</v>
      </c>
      <c r="O23" s="46">
        <f>'Final determination Totex'!M26</f>
        <v>75.443862490385001</v>
      </c>
      <c r="P23" s="46"/>
      <c r="Q23" s="45"/>
    </row>
    <row r="24" spans="1:17" x14ac:dyDescent="0.3">
      <c r="A24" s="50"/>
      <c r="B24" s="51" t="s">
        <v>142</v>
      </c>
      <c r="C24" s="44"/>
      <c r="D24" s="46">
        <v>107.180635699088</v>
      </c>
      <c r="E24" s="46">
        <v>104.040568620641</v>
      </c>
      <c r="F24" s="46">
        <v>89.352940926293996</v>
      </c>
      <c r="G24" s="46">
        <v>89.563561045797798</v>
      </c>
      <c r="H24" s="46">
        <v>78.087168872104797</v>
      </c>
      <c r="I24" s="46"/>
      <c r="J24" s="45"/>
      <c r="K24" s="46">
        <f>'Final determination Totex'!I31</f>
        <v>102.211436396403</v>
      </c>
      <c r="L24" s="46">
        <f>'Final determination Totex'!J31</f>
        <v>99.559252481766194</v>
      </c>
      <c r="M24" s="46">
        <f>'Final determination Totex'!K31</f>
        <v>85.730934150751906</v>
      </c>
      <c r="N24" s="46">
        <f>'Final determination Totex'!L31</f>
        <v>86.2118265386313</v>
      </c>
      <c r="O24" s="46">
        <f>'Final determination Totex'!M31</f>
        <v>76.119568425710995</v>
      </c>
      <c r="P24" s="46"/>
      <c r="Q24" s="45"/>
    </row>
    <row r="25" spans="1:17" x14ac:dyDescent="0.3">
      <c r="A25" s="50"/>
      <c r="B25" s="51" t="s">
        <v>143</v>
      </c>
      <c r="C25" s="44"/>
      <c r="D25" s="46">
        <v>5.1808067250248406</v>
      </c>
      <c r="E25" s="46">
        <v>5.17341929207885</v>
      </c>
      <c r="F25" s="46">
        <v>5.189671644560037</v>
      </c>
      <c r="G25" s="46">
        <v>5.1874554146762346</v>
      </c>
      <c r="H25" s="46">
        <v>5.2007527939790279</v>
      </c>
      <c r="I25" s="46"/>
      <c r="J25" s="45"/>
      <c r="K25" s="46">
        <f>'Final determination Totex'!I32+'Final determination Totex'!I33</f>
        <v>2.8231519644676841</v>
      </c>
      <c r="L25" s="46">
        <f>'Final determination Totex'!J32+'Final determination Totex'!J33</f>
        <v>4.0975162588505922</v>
      </c>
      <c r="M25" s="46">
        <f>'Final determination Totex'!K32+'Final determination Totex'!K33</f>
        <v>5.3579165498114749</v>
      </c>
      <c r="N25" s="46">
        <f>'Final determination Totex'!L32+'Final determination Totex'!L33</f>
        <v>5.3542283795584851</v>
      </c>
      <c r="O25" s="46">
        <f>'Final determination Totex'!M32+'Final determination Totex'!M33</f>
        <v>5.3574520645980988</v>
      </c>
      <c r="P25" s="46"/>
      <c r="Q25" s="45"/>
    </row>
    <row r="26" spans="1:17" ht="14.5" thickBot="1" x14ac:dyDescent="0.35">
      <c r="A26" s="50"/>
      <c r="B26" s="51" t="s">
        <v>144</v>
      </c>
      <c r="C26" s="44"/>
      <c r="D26" s="46">
        <v>1.754</v>
      </c>
      <c r="E26" s="46">
        <v>1.756</v>
      </c>
      <c r="F26" s="46">
        <v>1.756</v>
      </c>
      <c r="G26" s="46">
        <v>1.7569999999999999</v>
      </c>
      <c r="H26" s="46">
        <v>1.7569999999999999</v>
      </c>
      <c r="I26" s="46"/>
      <c r="J26" s="45"/>
      <c r="K26" s="46">
        <f>'Final determination Totex'!I27+'Final determination Totex'!I28</f>
        <v>5.1629428631134964</v>
      </c>
      <c r="L26" s="46">
        <f>'Final determination Totex'!J27+'Final determination Totex'!J28</f>
        <v>5.122941314246658</v>
      </c>
      <c r="M26" s="46">
        <f>'Final determination Totex'!K27+'Final determination Totex'!K28</f>
        <v>4.9658982887352847</v>
      </c>
      <c r="N26" s="46">
        <f>'Final determination Totex'!L27+'Final determination Totex'!L28</f>
        <v>5.0258702948687253</v>
      </c>
      <c r="O26" s="46">
        <f>'Final determination Totex'!M27+'Final determination Totex'!M28</f>
        <v>4.9537474314237304</v>
      </c>
      <c r="P26" s="46"/>
      <c r="Q26" s="45"/>
    </row>
    <row r="27" spans="1:17" x14ac:dyDescent="0.3">
      <c r="A27" s="50"/>
      <c r="B27" s="47" t="s">
        <v>132</v>
      </c>
      <c r="C27" s="44"/>
      <c r="D27" s="48">
        <v>179.22766327347807</v>
      </c>
      <c r="E27" s="48">
        <v>175.72644064993796</v>
      </c>
      <c r="F27" s="48">
        <v>160.46168250285575</v>
      </c>
      <c r="G27" s="48">
        <v>159.18906789393796</v>
      </c>
      <c r="H27" s="48">
        <v>146.84026317194235</v>
      </c>
      <c r="I27" s="57">
        <v>821.44511749215212</v>
      </c>
      <c r="J27" s="45"/>
      <c r="K27" s="48">
        <f>SUM(K23:K24)-SUM(K25:K26)</f>
        <v>172.94855391845192</v>
      </c>
      <c r="L27" s="48">
        <f>SUM(L23:L24)-SUM(L25:L26)</f>
        <v>168.71691620877175</v>
      </c>
      <c r="M27" s="48">
        <f>SUM(M23:M24)-SUM(M25:M26)</f>
        <v>153.21700481001255</v>
      </c>
      <c r="N27" s="48">
        <f>SUM(N23:N24)-SUM(N25:N26)</f>
        <v>152.14028018294798</v>
      </c>
      <c r="O27" s="48">
        <f>SUM(O23:O24)-SUM(O25:O26)</f>
        <v>141.25223142007417</v>
      </c>
      <c r="P27" s="57">
        <f>SUM(K27:O27)</f>
        <v>788.2749865402584</v>
      </c>
      <c r="Q27" s="45"/>
    </row>
    <row r="28" spans="1:17" x14ac:dyDescent="0.3">
      <c r="A28" s="50"/>
      <c r="B28" s="47" t="s">
        <v>133</v>
      </c>
      <c r="C28" s="44"/>
      <c r="D28" s="48">
        <v>77.227834299414894</v>
      </c>
      <c r="E28" s="48">
        <v>76.859291321375807</v>
      </c>
      <c r="F28" s="48">
        <v>76.298413221121805</v>
      </c>
      <c r="G28" s="48">
        <v>74.812962262816399</v>
      </c>
      <c r="H28" s="48">
        <v>73.953847093816591</v>
      </c>
      <c r="I28" s="58">
        <v>379.15234819854544</v>
      </c>
      <c r="J28" s="45"/>
      <c r="K28" s="48">
        <f>K23-K26</f>
        <v>73.560269486516603</v>
      </c>
      <c r="L28" s="48">
        <f>L23-L26</f>
        <v>73.255179985856145</v>
      </c>
      <c r="M28" s="48">
        <f>M23-M26</f>
        <v>72.843987209072111</v>
      </c>
      <c r="N28" s="48">
        <f>N23-N26</f>
        <v>71.282682023875182</v>
      </c>
      <c r="O28" s="48">
        <f>O23-O26</f>
        <v>70.490115058961266</v>
      </c>
      <c r="P28" s="58">
        <f t="shared" ref="P28:P29" si="6">SUM(K28:O28)</f>
        <v>361.43223376428125</v>
      </c>
      <c r="Q28" s="45"/>
    </row>
    <row r="29" spans="1:17" ht="14.5" thickBot="1" x14ac:dyDescent="0.35">
      <c r="A29" s="50"/>
      <c r="B29" s="47" t="s">
        <v>134</v>
      </c>
      <c r="C29" s="44"/>
      <c r="D29" s="48">
        <v>101.99982897406318</v>
      </c>
      <c r="E29" s="48">
        <v>98.867149328562149</v>
      </c>
      <c r="F29" s="48">
        <v>84.163269281733946</v>
      </c>
      <c r="G29" s="48">
        <v>84.376105631121561</v>
      </c>
      <c r="H29" s="48">
        <v>72.886416078125762</v>
      </c>
      <c r="I29" s="59">
        <v>442.29276929360663</v>
      </c>
      <c r="J29" s="45"/>
      <c r="K29" s="48">
        <f>K27-K28</f>
        <v>99.388284431935318</v>
      </c>
      <c r="L29" s="48">
        <f t="shared" ref="L29:O29" si="7">L27-L28</f>
        <v>95.461736222915604</v>
      </c>
      <c r="M29" s="48">
        <f t="shared" si="7"/>
        <v>80.373017600940443</v>
      </c>
      <c r="N29" s="48">
        <f t="shared" si="7"/>
        <v>80.857598159072793</v>
      </c>
      <c r="O29" s="48">
        <f t="shared" si="7"/>
        <v>70.762116361112902</v>
      </c>
      <c r="P29" s="59">
        <f t="shared" si="6"/>
        <v>426.84275277597703</v>
      </c>
      <c r="Q29" s="45"/>
    </row>
    <row r="30" spans="1:17" x14ac:dyDescent="0.3">
      <c r="A30" s="50"/>
      <c r="B30" s="51"/>
      <c r="C30" s="44"/>
      <c r="J30" s="45"/>
      <c r="Q30" s="45"/>
    </row>
    <row r="31" spans="1:17" x14ac:dyDescent="0.3">
      <c r="A31" s="41"/>
      <c r="B31" s="36" t="s">
        <v>145</v>
      </c>
      <c r="C31" s="44"/>
      <c r="D31" s="46"/>
      <c r="E31" s="46"/>
      <c r="F31" s="46"/>
      <c r="G31" s="46"/>
      <c r="H31" s="46"/>
      <c r="I31" s="46"/>
      <c r="J31" s="45"/>
      <c r="K31" s="46"/>
      <c r="L31" s="46"/>
      <c r="M31" s="46"/>
      <c r="N31" s="46"/>
      <c r="O31" s="46"/>
      <c r="P31" s="46"/>
      <c r="Q31" s="45"/>
    </row>
    <row r="32" spans="1:17" x14ac:dyDescent="0.3">
      <c r="A32" s="50"/>
      <c r="B32" s="51" t="s">
        <v>146</v>
      </c>
      <c r="C32" s="44"/>
      <c r="D32" s="46">
        <v>13.649959267791001</v>
      </c>
      <c r="E32" s="46">
        <v>13.7950091705248</v>
      </c>
      <c r="F32" s="46">
        <v>13.773060829979499</v>
      </c>
      <c r="G32" s="46">
        <v>13.787374965117699</v>
      </c>
      <c r="H32" s="46">
        <v>13.849402884050001</v>
      </c>
      <c r="I32" s="46"/>
      <c r="J32" s="45"/>
      <c r="K32" s="46">
        <f>'Final determination Totex'!I37</f>
        <v>13.834692586174199</v>
      </c>
      <c r="L32" s="46">
        <f>'Final determination Totex'!J37</f>
        <v>13.981782560846</v>
      </c>
      <c r="M32" s="46">
        <f>'Final determination Totex'!K37</f>
        <v>13.959525525204899</v>
      </c>
      <c r="N32" s="46">
        <f>'Final determination Totex'!L37</f>
        <v>13.974040983231699</v>
      </c>
      <c r="O32" s="46">
        <f>'Final determination Totex'!M37</f>
        <v>14.036941301348</v>
      </c>
      <c r="P32" s="46"/>
      <c r="Q32" s="45"/>
    </row>
    <row r="33" spans="1:17" x14ac:dyDescent="0.3">
      <c r="A33" s="43"/>
      <c r="B33" s="41" t="s">
        <v>147</v>
      </c>
      <c r="C33" s="44"/>
      <c r="D33" s="46">
        <v>4.1990900396407902</v>
      </c>
      <c r="E33" s="46">
        <v>4.3929773832665902</v>
      </c>
      <c r="F33" s="46">
        <v>4.9244295442807298</v>
      </c>
      <c r="G33" s="46">
        <v>4.6579310042372999</v>
      </c>
      <c r="H33" s="46">
        <v>4.2029523373225803</v>
      </c>
      <c r="I33" s="46"/>
      <c r="J33" s="45"/>
      <c r="K33" s="46">
        <f>'Final determination Totex'!I40</f>
        <v>4.4604655817162602</v>
      </c>
      <c r="L33" s="46">
        <f>'Final determination Totex'!J40</f>
        <v>4.5709134130981699</v>
      </c>
      <c r="M33" s="46">
        <f>'Final determination Totex'!K40</f>
        <v>4.8736207515449799</v>
      </c>
      <c r="N33" s="46">
        <f>'Final determination Totex'!L40</f>
        <v>4.7216288482199396</v>
      </c>
      <c r="O33" s="46">
        <f>'Final determination Totex'!M40</f>
        <v>4.4629771339253299</v>
      </c>
      <c r="P33" s="46"/>
      <c r="Q33" s="45"/>
    </row>
    <row r="34" spans="1:17" x14ac:dyDescent="0.3">
      <c r="A34" s="43"/>
      <c r="B34" s="41" t="s">
        <v>148</v>
      </c>
      <c r="C34" s="44"/>
      <c r="D34" s="46"/>
      <c r="E34" s="46"/>
      <c r="F34" s="46"/>
      <c r="G34" s="46"/>
      <c r="H34" s="46"/>
      <c r="I34" s="46"/>
      <c r="J34" s="45"/>
      <c r="K34" s="46"/>
      <c r="L34" s="46"/>
      <c r="M34" s="46"/>
      <c r="N34" s="46"/>
      <c r="O34" s="46"/>
      <c r="P34" s="46"/>
      <c r="Q34" s="45"/>
    </row>
    <row r="35" spans="1:17" ht="14.5" thickBot="1" x14ac:dyDescent="0.35">
      <c r="A35" s="43"/>
      <c r="B35" s="41" t="s">
        <v>149</v>
      </c>
      <c r="C35" s="44"/>
      <c r="D35" s="46"/>
      <c r="E35" s="46"/>
      <c r="F35" s="46"/>
      <c r="G35" s="46"/>
      <c r="H35" s="46"/>
      <c r="I35" s="46"/>
      <c r="J35" s="45"/>
      <c r="K35" s="46"/>
      <c r="L35" s="46"/>
      <c r="M35" s="46"/>
      <c r="N35" s="46"/>
      <c r="O35" s="46"/>
      <c r="P35" s="46"/>
      <c r="Q35" s="45"/>
    </row>
    <row r="36" spans="1:17" x14ac:dyDescent="0.3">
      <c r="A36" s="43"/>
      <c r="B36" s="47" t="s">
        <v>132</v>
      </c>
      <c r="C36" s="44"/>
      <c r="D36" s="48">
        <v>17.849049307431791</v>
      </c>
      <c r="E36" s="48">
        <v>18.18798655379139</v>
      </c>
      <c r="F36" s="48">
        <v>18.69749037426023</v>
      </c>
      <c r="G36" s="48">
        <v>18.445305969354997</v>
      </c>
      <c r="H36" s="48">
        <v>18.052355221372579</v>
      </c>
      <c r="I36" s="57">
        <v>91.232187426210999</v>
      </c>
      <c r="J36" s="45"/>
      <c r="K36" s="48">
        <f>SUM(K32:K33)-SUM(K34:K35)</f>
        <v>18.29515816789046</v>
      </c>
      <c r="L36" s="48">
        <f>SUM(L32:L33)-SUM(L34:L35)</f>
        <v>18.552695973944168</v>
      </c>
      <c r="M36" s="48">
        <f>SUM(M32:M33)-SUM(M34:M35)</f>
        <v>18.833146276749879</v>
      </c>
      <c r="N36" s="48">
        <f>SUM(N32:N33)-SUM(N34:N35)</f>
        <v>18.695669831451639</v>
      </c>
      <c r="O36" s="48">
        <f>SUM(O32:O33)-SUM(O34:O35)</f>
        <v>18.499918435273329</v>
      </c>
      <c r="P36" s="57">
        <f>SUM(K36:O36)</f>
        <v>92.876588685309471</v>
      </c>
      <c r="Q36" s="45"/>
    </row>
    <row r="37" spans="1:17" x14ac:dyDescent="0.3">
      <c r="B37" s="47" t="s">
        <v>133</v>
      </c>
      <c r="C37" s="44"/>
      <c r="D37" s="48">
        <v>13.649959267791001</v>
      </c>
      <c r="E37" s="48">
        <v>13.7950091705248</v>
      </c>
      <c r="F37" s="48">
        <v>13.773060829979499</v>
      </c>
      <c r="G37" s="48">
        <v>13.787374965117699</v>
      </c>
      <c r="H37" s="48">
        <v>13.849402884050001</v>
      </c>
      <c r="I37" s="58">
        <v>68.854807117462997</v>
      </c>
      <c r="J37" s="45"/>
      <c r="K37" s="48">
        <f>K32-K35</f>
        <v>13.834692586174199</v>
      </c>
      <c r="L37" s="48">
        <f>L32-L35</f>
        <v>13.981782560846</v>
      </c>
      <c r="M37" s="48">
        <f>M32-M35</f>
        <v>13.959525525204899</v>
      </c>
      <c r="N37" s="48">
        <f>N32-N35</f>
        <v>13.974040983231699</v>
      </c>
      <c r="O37" s="48">
        <f>O32-O35</f>
        <v>14.036941301348</v>
      </c>
      <c r="P37" s="58">
        <f t="shared" ref="P37:P38" si="8">SUM(K37:O37)</f>
        <v>69.786982956804792</v>
      </c>
      <c r="Q37" s="45"/>
    </row>
    <row r="38" spans="1:17" ht="14.5" thickBot="1" x14ac:dyDescent="0.35">
      <c r="B38" s="47" t="s">
        <v>134</v>
      </c>
      <c r="C38" s="44"/>
      <c r="D38" s="48">
        <v>4.1990900396407902</v>
      </c>
      <c r="E38" s="48">
        <v>4.3929773832665902</v>
      </c>
      <c r="F38" s="48">
        <v>4.9244295442807307</v>
      </c>
      <c r="G38" s="48">
        <v>4.6579310042372981</v>
      </c>
      <c r="H38" s="48">
        <v>4.2029523373225786</v>
      </c>
      <c r="I38" s="59">
        <v>22.377380308747988</v>
      </c>
      <c r="J38" s="45"/>
      <c r="K38" s="48">
        <f>K36-K37</f>
        <v>4.4604655817162602</v>
      </c>
      <c r="L38" s="48">
        <f t="shared" ref="L38:O38" si="9">L36-L37</f>
        <v>4.5709134130981681</v>
      </c>
      <c r="M38" s="48">
        <f t="shared" si="9"/>
        <v>4.8736207515449799</v>
      </c>
      <c r="N38" s="48">
        <f t="shared" si="9"/>
        <v>4.7216288482199396</v>
      </c>
      <c r="O38" s="48">
        <f t="shared" si="9"/>
        <v>4.4629771339253299</v>
      </c>
      <c r="P38" s="59">
        <f t="shared" si="8"/>
        <v>23.089605728504679</v>
      </c>
      <c r="Q38" s="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heetViews>
  <sheetFormatPr defaultRowHeight="14" x14ac:dyDescent="0.3"/>
  <cols>
    <col min="1" max="1" width="40.25" customWidth="1"/>
    <col min="8" max="8" width="3.25" customWidth="1"/>
  </cols>
  <sheetData>
    <row r="1" spans="1:14" s="1" customFormat="1" ht="20" x14ac:dyDescent="0.3">
      <c r="A1" s="3" t="s">
        <v>30</v>
      </c>
      <c r="B1" s="118" t="s">
        <v>4</v>
      </c>
      <c r="C1" s="117"/>
      <c r="D1" s="117"/>
      <c r="E1" s="117"/>
      <c r="F1" s="117"/>
      <c r="G1" s="117"/>
      <c r="I1" s="118" t="s">
        <v>12</v>
      </c>
      <c r="J1" s="117"/>
      <c r="K1" s="117"/>
      <c r="L1" s="117"/>
      <c r="M1" s="117"/>
      <c r="N1" s="117"/>
    </row>
    <row r="2" spans="1:14" s="1" customFormat="1" ht="14.5" thickBot="1" x14ac:dyDescent="0.35">
      <c r="A2" s="4"/>
      <c r="B2" s="5"/>
      <c r="C2" s="5"/>
      <c r="D2" s="5"/>
      <c r="E2" s="5"/>
      <c r="F2" s="5"/>
      <c r="G2" s="5"/>
      <c r="I2" s="5"/>
      <c r="J2" s="5"/>
      <c r="K2" s="5"/>
      <c r="L2" s="5"/>
      <c r="M2" s="5"/>
      <c r="N2" s="5"/>
    </row>
    <row r="3" spans="1:14" s="1" customFormat="1" ht="14.5" thickBot="1" x14ac:dyDescent="0.35">
      <c r="A3" s="13"/>
      <c r="B3" s="7" t="s">
        <v>34</v>
      </c>
      <c r="C3" s="7" t="s">
        <v>35</v>
      </c>
      <c r="D3" s="7" t="s">
        <v>36</v>
      </c>
      <c r="E3" s="7" t="s">
        <v>37</v>
      </c>
      <c r="F3" s="8" t="s">
        <v>38</v>
      </c>
      <c r="G3" s="8" t="s">
        <v>127</v>
      </c>
      <c r="I3" s="7" t="s">
        <v>34</v>
      </c>
      <c r="J3" s="7" t="s">
        <v>35</v>
      </c>
      <c r="K3" s="7" t="s">
        <v>36</v>
      </c>
      <c r="L3" s="7" t="s">
        <v>37</v>
      </c>
      <c r="M3" s="8" t="s">
        <v>38</v>
      </c>
      <c r="N3" s="8" t="s">
        <v>127</v>
      </c>
    </row>
    <row r="4" spans="1:14" s="1" customFormat="1" ht="14.5" thickBot="1" x14ac:dyDescent="0.35">
      <c r="A4" s="4"/>
      <c r="B4" s="5"/>
      <c r="C4" s="5"/>
      <c r="D4" s="5"/>
      <c r="E4" s="5"/>
      <c r="F4" s="5"/>
      <c r="G4" s="5"/>
      <c r="I4" s="5"/>
      <c r="J4" s="5"/>
      <c r="K4" s="5"/>
      <c r="L4" s="5"/>
      <c r="M4" s="5"/>
      <c r="N4" s="5"/>
    </row>
    <row r="5" spans="1:14" s="1" customFormat="1" ht="14.5" thickBot="1" x14ac:dyDescent="0.35">
      <c r="A5" s="14" t="s">
        <v>150</v>
      </c>
      <c r="B5" s="5"/>
      <c r="C5" s="5"/>
      <c r="D5" s="5"/>
      <c r="E5" s="5"/>
      <c r="F5" s="5"/>
      <c r="G5" s="5"/>
      <c r="I5" s="5"/>
      <c r="J5" s="5"/>
      <c r="K5" s="5"/>
      <c r="L5" s="5"/>
      <c r="M5" s="5"/>
      <c r="N5" s="5"/>
    </row>
    <row r="6" spans="1:14" s="1" customFormat="1" ht="14.5" thickBot="1" x14ac:dyDescent="0.35">
      <c r="A6" s="15" t="s">
        <v>151</v>
      </c>
      <c r="B6" s="16">
        <f>Calculation!D10</f>
        <v>12.019151129651901</v>
      </c>
      <c r="C6" s="16">
        <f>Calculation!E10</f>
        <v>12.0881090563482</v>
      </c>
      <c r="D6" s="16">
        <f>Calculation!F10</f>
        <v>12.106426005626901</v>
      </c>
      <c r="E6" s="16">
        <f>Calculation!G10</f>
        <v>12.141982436579699</v>
      </c>
      <c r="F6" s="16">
        <f>Calculation!H10</f>
        <v>12.188313543578801</v>
      </c>
      <c r="G6" s="16">
        <f>Calculation!I10</f>
        <v>60.543982171785501</v>
      </c>
      <c r="I6" s="16">
        <f>Calculation!K10</f>
        <v>10.9783847898416</v>
      </c>
      <c r="J6" s="16">
        <f>Calculation!L10</f>
        <v>11.039934504610899</v>
      </c>
      <c r="K6" s="16">
        <f>Calculation!M10</f>
        <v>11.0567447035168</v>
      </c>
      <c r="L6" s="16">
        <f>Calculation!N10</f>
        <v>11.087640526163799</v>
      </c>
      <c r="M6" s="16">
        <f>Calculation!O10</f>
        <v>11.130160441043101</v>
      </c>
      <c r="N6" s="17">
        <f>SUM(I6:M6)</f>
        <v>55.292864965176207</v>
      </c>
    </row>
    <row r="7" spans="1:14" s="18" customFormat="1" ht="14.5" x14ac:dyDescent="0.3">
      <c r="A7" s="15" t="s">
        <v>62</v>
      </c>
      <c r="B7" s="16">
        <f>Calculation!D9</f>
        <v>16.20931743878111</v>
      </c>
      <c r="C7" s="16">
        <f>Calculation!E9</f>
        <v>16.704704838483821</v>
      </c>
      <c r="D7" s="16">
        <f>Calculation!F9</f>
        <v>15.889268104877241</v>
      </c>
      <c r="E7" s="16">
        <f>Calculation!G9</f>
        <v>15.026877168836268</v>
      </c>
      <c r="F7" s="16">
        <f>Calculation!H9</f>
        <v>14.836303013054041</v>
      </c>
      <c r="G7" s="16">
        <f>Calculation!I9</f>
        <v>78.66647056403248</v>
      </c>
      <c r="I7" s="16">
        <f>Calculation!K9</f>
        <v>15.476522550008221</v>
      </c>
      <c r="J7" s="16">
        <f>Calculation!L9</f>
        <v>16.092966930512201</v>
      </c>
      <c r="K7" s="16">
        <f>Calculation!M9</f>
        <v>15.246530185119216</v>
      </c>
      <c r="L7" s="16">
        <f>Calculation!N9</f>
        <v>14.303499333033921</v>
      </c>
      <c r="M7" s="16">
        <f>Calculation!O9</f>
        <v>13.762431186255061</v>
      </c>
      <c r="N7" s="17">
        <f>SUM(I7:M7)</f>
        <v>74.881950184928627</v>
      </c>
    </row>
    <row r="8" spans="1:14" s="18" customFormat="1" ht="15" thickBot="1" x14ac:dyDescent="0.35">
      <c r="A8" s="20" t="s">
        <v>152</v>
      </c>
      <c r="B8" s="21">
        <f>B6/B7</f>
        <v>0.74149643716001556</v>
      </c>
      <c r="C8" s="21">
        <f t="shared" ref="C8:G8" si="0">C6/C7</f>
        <v>0.72363499823714095</v>
      </c>
      <c r="D8" s="21">
        <f t="shared" si="0"/>
        <v>0.76192471079966295</v>
      </c>
      <c r="E8" s="21">
        <f t="shared" si="0"/>
        <v>0.80801768059704016</v>
      </c>
      <c r="F8" s="21">
        <f t="shared" si="0"/>
        <v>0.821519588327001</v>
      </c>
      <c r="G8" s="21">
        <f t="shared" si="0"/>
        <v>0.76962881056808385</v>
      </c>
      <c r="I8" s="21">
        <f>I6/I7</f>
        <v>0.70935733491602537</v>
      </c>
      <c r="J8" s="21">
        <f t="shared" ref="J8:M8" si="1">J6/J7</f>
        <v>0.68600989191615303</v>
      </c>
      <c r="K8" s="21">
        <f t="shared" si="1"/>
        <v>0.72519744291119481</v>
      </c>
      <c r="L8" s="21">
        <f t="shared" si="1"/>
        <v>0.77516978663793845</v>
      </c>
      <c r="M8" s="21">
        <f t="shared" si="1"/>
        <v>0.80873504763890225</v>
      </c>
      <c r="N8" s="22">
        <f>N6/N7</f>
        <v>0.73840044000756966</v>
      </c>
    </row>
    <row r="9" spans="1:14" s="18" customFormat="1" ht="15" thickBot="1" x14ac:dyDescent="0.35">
      <c r="A9" s="23"/>
      <c r="B9" s="24"/>
      <c r="C9" s="24"/>
      <c r="D9" s="24"/>
      <c r="E9" s="24"/>
      <c r="F9" s="24"/>
      <c r="G9" s="24"/>
      <c r="I9" s="24"/>
      <c r="J9" s="24"/>
      <c r="K9" s="24"/>
      <c r="L9" s="24"/>
      <c r="M9" s="24"/>
      <c r="N9" s="24"/>
    </row>
    <row r="10" spans="1:14" s="19" customFormat="1" ht="14.5" x14ac:dyDescent="0.3">
      <c r="A10" s="25" t="s">
        <v>153</v>
      </c>
      <c r="B10" s="26">
        <v>0.8190826891952615</v>
      </c>
      <c r="C10" s="26">
        <v>0.7659191409973547</v>
      </c>
      <c r="D10" s="26">
        <v>0.81726661986053295</v>
      </c>
      <c r="E10" s="26">
        <v>0.84076309005926986</v>
      </c>
      <c r="F10" s="27">
        <v>0.84393365222376637</v>
      </c>
      <c r="G10" s="27">
        <v>0.81625489924406058</v>
      </c>
      <c r="I10" s="26">
        <f>I8*I11</f>
        <v>0.78358072185587146</v>
      </c>
      <c r="J10" s="26">
        <f t="shared" ref="J10:M10" si="2">J8*J11</f>
        <v>0.72609548793537082</v>
      </c>
      <c r="K10" s="26">
        <f t="shared" si="2"/>
        <v>0.77787169059984795</v>
      </c>
      <c r="L10" s="26">
        <f t="shared" si="2"/>
        <v>0.80658401515760769</v>
      </c>
      <c r="M10" s="27">
        <f t="shared" si="2"/>
        <v>0.83080030243124037</v>
      </c>
      <c r="N10" s="27">
        <f>SUMPRODUCT(I7:M7,I10:M10)/N7</f>
        <v>0.78313646169631812</v>
      </c>
    </row>
    <row r="11" spans="1:14" s="19" customFormat="1" ht="15" thickBot="1" x14ac:dyDescent="0.35">
      <c r="A11" s="28" t="s">
        <v>154</v>
      </c>
      <c r="B11" s="29">
        <f>B10/B8</f>
        <v>1.1046346929627968</v>
      </c>
      <c r="C11" s="29">
        <f t="shared" ref="C11:G11" si="3">C10/C8</f>
        <v>1.0584329708530169</v>
      </c>
      <c r="D11" s="29">
        <f t="shared" si="3"/>
        <v>1.0726343538625844</v>
      </c>
      <c r="E11" s="29">
        <f t="shared" si="3"/>
        <v>1.0405256100807525</v>
      </c>
      <c r="F11" s="29">
        <f t="shared" si="3"/>
        <v>1.0272836633663367</v>
      </c>
      <c r="G11" s="29">
        <f t="shared" si="3"/>
        <v>1.0605825666031925</v>
      </c>
      <c r="I11" s="29">
        <f>B11</f>
        <v>1.1046346929627968</v>
      </c>
      <c r="J11" s="29">
        <f>C11</f>
        <v>1.0584329708530169</v>
      </c>
      <c r="K11" s="29">
        <f>D11</f>
        <v>1.0726343538625844</v>
      </c>
      <c r="L11" s="29">
        <f>E11</f>
        <v>1.0405256100807525</v>
      </c>
      <c r="M11" s="30">
        <f>F11</f>
        <v>1.0272836633663367</v>
      </c>
      <c r="N11" s="30">
        <f t="shared" ref="N11" si="4">N10/N8</f>
        <v>1.0605850420244736</v>
      </c>
    </row>
    <row r="12" spans="1:14" s="18" customFormat="1" ht="15" thickBot="1" x14ac:dyDescent="0.35">
      <c r="A12" s="23"/>
    </row>
    <row r="13" spans="1:14" s="18" customFormat="1" ht="15" thickBot="1" x14ac:dyDescent="0.35">
      <c r="A13" s="28" t="s">
        <v>172</v>
      </c>
      <c r="B13" s="24"/>
      <c r="C13" s="24"/>
      <c r="D13" s="24"/>
      <c r="E13" s="24"/>
      <c r="F13" s="24"/>
      <c r="G13" s="24"/>
      <c r="I13" s="16">
        <f>(I10-I8)*I7</f>
        <v>1.1487199217125137</v>
      </c>
      <c r="J13" s="16">
        <f t="shared" ref="J13:M13" si="5">(J10-J8)*J7</f>
        <v>0.64509617112714346</v>
      </c>
      <c r="K13" s="16">
        <f t="shared" si="5"/>
        <v>0.80309950736349622</v>
      </c>
      <c r="L13" s="16">
        <f t="shared" si="5"/>
        <v>0.44933339667886418</v>
      </c>
      <c r="M13" s="16">
        <f t="shared" si="5"/>
        <v>0.30367155068673807</v>
      </c>
      <c r="N13" s="16">
        <f>SUM(I13:M13)</f>
        <v>3.3499205475687557</v>
      </c>
    </row>
    <row r="14" spans="1:14" s="18" customFormat="1" ht="15" thickBot="1" x14ac:dyDescent="0.35">
      <c r="A14" s="23"/>
      <c r="B14" s="24"/>
      <c r="C14" s="24"/>
      <c r="D14" s="24"/>
      <c r="E14" s="24"/>
      <c r="F14" s="24"/>
      <c r="G14" s="24"/>
      <c r="H14"/>
      <c r="I14" s="24"/>
      <c r="J14" s="24"/>
      <c r="K14" s="24"/>
      <c r="L14" s="24"/>
      <c r="M14" s="24"/>
      <c r="N14" s="24"/>
    </row>
    <row r="15" spans="1:14" s="1" customFormat="1" ht="14.5" thickBot="1" x14ac:dyDescent="0.35">
      <c r="A15" s="14" t="s">
        <v>155</v>
      </c>
    </row>
    <row r="16" spans="1:14" s="1" customFormat="1" ht="14.5" thickBot="1" x14ac:dyDescent="0.35">
      <c r="A16" s="15" t="s">
        <v>151</v>
      </c>
      <c r="B16" s="16">
        <f>Calculation!D19</f>
        <v>87.41375395826789</v>
      </c>
      <c r="C16" s="16">
        <f>Calculation!E19</f>
        <v>87.7730825222459</v>
      </c>
      <c r="D16" s="16">
        <f>Calculation!F19</f>
        <v>87.49946535884979</v>
      </c>
      <c r="E16" s="16">
        <f>Calculation!G19</f>
        <v>86.61268202206</v>
      </c>
      <c r="F16" s="16">
        <f>Calculation!H19</f>
        <v>86.273133012062402</v>
      </c>
      <c r="G16" s="16">
        <f>Calculation!I19</f>
        <v>435.57211687348604</v>
      </c>
      <c r="I16" s="16">
        <f>Calculation!K19</f>
        <v>83.526838381590906</v>
      </c>
      <c r="J16" s="16">
        <f>Calculation!L19</f>
        <v>83.713606074855463</v>
      </c>
      <c r="K16" s="16">
        <f>Calculation!M19</f>
        <v>83.095110306118457</v>
      </c>
      <c r="L16" s="16">
        <f>Calculation!N19</f>
        <v>82.080180479534206</v>
      </c>
      <c r="M16" s="16">
        <f>Calculation!O19</f>
        <v>81.730196000565357</v>
      </c>
      <c r="N16" s="17">
        <f>SUM(I16:M16)</f>
        <v>414.14593124266435</v>
      </c>
    </row>
    <row r="17" spans="1:14" s="18" customFormat="1" ht="14.5" x14ac:dyDescent="0.3">
      <c r="A17" s="15" t="s">
        <v>62</v>
      </c>
      <c r="B17" s="16">
        <f>Calculation!D18</f>
        <v>145.10221653871818</v>
      </c>
      <c r="C17" s="16">
        <f>Calculation!E18</f>
        <v>159.04383893929764</v>
      </c>
      <c r="D17" s="16">
        <f>Calculation!F18</f>
        <v>176.69195771866254</v>
      </c>
      <c r="E17" s="16">
        <f>Calculation!G18</f>
        <v>168.11963932934034</v>
      </c>
      <c r="F17" s="16">
        <f>Calculation!H18</f>
        <v>162.62437344485232</v>
      </c>
      <c r="G17" s="16">
        <f>Calculation!I18</f>
        <v>811.58202597087097</v>
      </c>
      <c r="I17" s="16">
        <f>Calculation!K18</f>
        <v>148.29721475383201</v>
      </c>
      <c r="J17" s="16">
        <f>Calculation!L18</f>
        <v>160.54878673340031</v>
      </c>
      <c r="K17" s="16">
        <f>Calculation!M18</f>
        <v>174.81501470695494</v>
      </c>
      <c r="L17" s="16">
        <f>Calculation!N18</f>
        <v>167.11806496649407</v>
      </c>
      <c r="M17" s="16">
        <f>Calculation!O18</f>
        <v>162.7341797504256</v>
      </c>
      <c r="N17" s="17">
        <f>SUM(I17:M17)</f>
        <v>813.51326091110695</v>
      </c>
    </row>
    <row r="18" spans="1:14" s="18" customFormat="1" ht="15" thickBot="1" x14ac:dyDescent="0.35">
      <c r="A18" s="20" t="s">
        <v>152</v>
      </c>
      <c r="B18" s="21">
        <f>B16/B17</f>
        <v>0.60242879842530139</v>
      </c>
      <c r="C18" s="21">
        <f t="shared" ref="C18" si="6">C16/C17</f>
        <v>0.55187980312614504</v>
      </c>
      <c r="D18" s="21">
        <f t="shared" ref="D18" si="7">D16/D17</f>
        <v>0.4952090999986013</v>
      </c>
      <c r="E18" s="21">
        <f t="shared" ref="E18" si="8">E16/E17</f>
        <v>0.51518479558708108</v>
      </c>
      <c r="F18" s="21">
        <f t="shared" ref="F18" si="9">F16/F17</f>
        <v>0.53050555205563055</v>
      </c>
      <c r="G18" s="21">
        <f t="shared" ref="G18" si="10">G16/G17</f>
        <v>0.53669512499666849</v>
      </c>
      <c r="I18" s="21">
        <f>I16/I17</f>
        <v>0.56323942779533942</v>
      </c>
      <c r="J18" s="21">
        <f t="shared" ref="J18:M18" si="11">J16/J17</f>
        <v>0.52142160509668822</v>
      </c>
      <c r="K18" s="21">
        <f t="shared" si="11"/>
        <v>0.4753316552666374</v>
      </c>
      <c r="L18" s="21">
        <f t="shared" si="11"/>
        <v>0.49115085491200888</v>
      </c>
      <c r="M18" s="21">
        <f t="shared" si="11"/>
        <v>0.50223128371623849</v>
      </c>
      <c r="N18" s="22">
        <f>N16/N17</f>
        <v>0.50908319647897948</v>
      </c>
    </row>
    <row r="19" spans="1:14" s="1" customFormat="1" ht="14.5" thickBot="1" x14ac:dyDescent="0.35">
      <c r="A19" s="32"/>
      <c r="B19" s="24"/>
      <c r="C19" s="24"/>
      <c r="D19" s="24"/>
      <c r="E19" s="24"/>
      <c r="F19" s="24"/>
      <c r="G19" s="24"/>
      <c r="I19" s="24"/>
      <c r="J19" s="24"/>
      <c r="K19" s="24"/>
      <c r="L19" s="24"/>
      <c r="M19" s="24"/>
      <c r="N19" s="24"/>
    </row>
    <row r="20" spans="1:14" s="19" customFormat="1" ht="14.5" x14ac:dyDescent="0.3">
      <c r="A20" s="25" t="s">
        <v>153</v>
      </c>
      <c r="B20" s="26">
        <v>0.69511541783688624</v>
      </c>
      <c r="C20" s="26">
        <v>0.64372800918474804</v>
      </c>
      <c r="D20" s="26">
        <v>0.58008120149992382</v>
      </c>
      <c r="E20" s="26">
        <v>0.58865184377245439</v>
      </c>
      <c r="F20" s="27">
        <v>0.6031582914239676</v>
      </c>
      <c r="G20" s="27">
        <v>0.61952039797292324</v>
      </c>
      <c r="I20" s="26">
        <f>I18*I21</f>
        <v>0.64989657071102391</v>
      </c>
      <c r="J20" s="26">
        <f t="shared" ref="J20:M20" si="12">J18*J21</f>
        <v>0.60820071670222997</v>
      </c>
      <c r="K20" s="26">
        <f t="shared" si="12"/>
        <v>0.5567970332104103</v>
      </c>
      <c r="L20" s="26">
        <f t="shared" si="12"/>
        <v>0.56119058402122857</v>
      </c>
      <c r="M20" s="27">
        <f t="shared" si="12"/>
        <v>0.57101186182154529</v>
      </c>
      <c r="N20" s="27">
        <f>SUMPRODUCT(I17:M17,I20:M20)/N17</f>
        <v>0.58765907629560044</v>
      </c>
    </row>
    <row r="21" spans="1:14" s="19" customFormat="1" ht="15" thickBot="1" x14ac:dyDescent="0.35">
      <c r="A21" s="28" t="s">
        <v>154</v>
      </c>
      <c r="B21" s="29">
        <f>B20/B18</f>
        <v>1.1538548948089133</v>
      </c>
      <c r="C21" s="29">
        <f t="shared" ref="C21" si="13">C20/C18</f>
        <v>1.166427916981787</v>
      </c>
      <c r="D21" s="29">
        <f t="shared" ref="D21" si="14">D20/D18</f>
        <v>1.1713863931449608</v>
      </c>
      <c r="E21" s="29">
        <f t="shared" ref="E21" si="15">E20/E18</f>
        <v>1.1426032926722025</v>
      </c>
      <c r="F21" s="29">
        <f t="shared" ref="F21" si="16">F20/F18</f>
        <v>1.1369500075669678</v>
      </c>
      <c r="G21" s="29">
        <f t="shared" ref="G21" si="17">G20/G18</f>
        <v>1.154324623270556</v>
      </c>
      <c r="I21" s="29">
        <f>B21</f>
        <v>1.1538548948089133</v>
      </c>
      <c r="J21" s="29">
        <f>C21</f>
        <v>1.166427916981787</v>
      </c>
      <c r="K21" s="29">
        <f>D21</f>
        <v>1.1713863931449608</v>
      </c>
      <c r="L21" s="29">
        <f>E21</f>
        <v>1.1426032926722025</v>
      </c>
      <c r="M21" s="30">
        <f>F21</f>
        <v>1.1369500075669678</v>
      </c>
      <c r="N21" s="30">
        <f t="shared" ref="N21" si="18">N20/N18</f>
        <v>1.1543478165456702</v>
      </c>
    </row>
    <row r="22" spans="1:14" s="18" customFormat="1" ht="15" thickBot="1" x14ac:dyDescent="0.35">
      <c r="A22" s="23"/>
    </row>
    <row r="23" spans="1:14" s="18" customFormat="1" ht="15" thickBot="1" x14ac:dyDescent="0.35">
      <c r="A23" s="28" t="s">
        <v>172</v>
      </c>
      <c r="B23" s="24"/>
      <c r="C23" s="24"/>
      <c r="D23" s="24"/>
      <c r="E23" s="24"/>
      <c r="F23" s="24"/>
      <c r="G23" s="24"/>
      <c r="I23" s="16">
        <f>(I20-I18)*I17</f>
        <v>12.851012932920776</v>
      </c>
      <c r="J23" s="16">
        <f t="shared" ref="J23:M23" si="19">(J20-J18)*J17</f>
        <v>13.932281082072066</v>
      </c>
      <c r="K23" s="16">
        <f t="shared" si="19"/>
        <v>14.241371243348302</v>
      </c>
      <c r="L23" s="16">
        <f t="shared" si="19"/>
        <v>11.704903999510222</v>
      </c>
      <c r="M23" s="16">
        <f t="shared" si="19"/>
        <v>11.192950960727185</v>
      </c>
      <c r="N23" s="16">
        <f>SUM(I23:M23)</f>
        <v>63.922520218578555</v>
      </c>
    </row>
    <row r="24" spans="1:14" s="18" customFormat="1" ht="15" thickBot="1" x14ac:dyDescent="0.35">
      <c r="A24" s="23"/>
      <c r="B24" s="24"/>
      <c r="C24" s="24"/>
      <c r="D24" s="24"/>
      <c r="E24" s="24"/>
      <c r="F24" s="24"/>
      <c r="G24" s="24"/>
      <c r="H24"/>
      <c r="I24" s="24"/>
      <c r="J24" s="24"/>
      <c r="K24" s="24"/>
      <c r="L24" s="24"/>
      <c r="M24" s="24"/>
      <c r="N24" s="24"/>
    </row>
    <row r="25" spans="1:14" ht="14.5" thickBot="1" x14ac:dyDescent="0.35">
      <c r="A25" s="14" t="s">
        <v>156</v>
      </c>
      <c r="B25" s="12"/>
      <c r="C25" s="12"/>
      <c r="D25" s="12"/>
      <c r="I25" s="12"/>
      <c r="J25" s="12"/>
      <c r="K25" s="12"/>
    </row>
    <row r="26" spans="1:14" ht="14.5" thickBot="1" x14ac:dyDescent="0.35">
      <c r="A26" s="15" t="s">
        <v>151</v>
      </c>
      <c r="B26" s="16">
        <f>Calculation!D28</f>
        <v>77.227834299414894</v>
      </c>
      <c r="C26" s="16">
        <f>Calculation!E28</f>
        <v>76.859291321375807</v>
      </c>
      <c r="D26" s="16">
        <f>Calculation!F28</f>
        <v>76.298413221121805</v>
      </c>
      <c r="E26" s="16">
        <f>Calculation!G28</f>
        <v>74.812962262816399</v>
      </c>
      <c r="F26" s="16">
        <f>Calculation!H28</f>
        <v>73.953847093816591</v>
      </c>
      <c r="G26" s="16">
        <f>Calculation!I28</f>
        <v>379.15234819854544</v>
      </c>
      <c r="I26" s="16">
        <f>Calculation!K28</f>
        <v>73.560269486516603</v>
      </c>
      <c r="J26" s="16">
        <f>Calculation!L28</f>
        <v>73.255179985856145</v>
      </c>
      <c r="K26" s="16">
        <f>Calculation!M28</f>
        <v>72.843987209072111</v>
      </c>
      <c r="L26" s="16">
        <f>Calculation!N28</f>
        <v>71.282682023875182</v>
      </c>
      <c r="M26" s="16">
        <f>Calculation!O28</f>
        <v>70.490115058961266</v>
      </c>
      <c r="N26" s="17">
        <f>SUM(I26:M26)</f>
        <v>361.43223376428125</v>
      </c>
    </row>
    <row r="27" spans="1:14" x14ac:dyDescent="0.3">
      <c r="A27" s="15" t="s">
        <v>62</v>
      </c>
      <c r="B27" s="16">
        <f>Calculation!D27</f>
        <v>179.22766327347807</v>
      </c>
      <c r="C27" s="16">
        <f>Calculation!E27</f>
        <v>175.72644064993796</v>
      </c>
      <c r="D27" s="16">
        <f>Calculation!F27</f>
        <v>160.46168250285575</v>
      </c>
      <c r="E27" s="16">
        <f>Calculation!G27</f>
        <v>159.18906789393796</v>
      </c>
      <c r="F27" s="16">
        <f>Calculation!H27</f>
        <v>146.84026317194235</v>
      </c>
      <c r="G27" s="16">
        <f>Calculation!I27</f>
        <v>821.44511749215212</v>
      </c>
      <c r="I27" s="16">
        <f>Calculation!K27</f>
        <v>172.94855391845192</v>
      </c>
      <c r="J27" s="16">
        <f>Calculation!L27</f>
        <v>168.71691620877175</v>
      </c>
      <c r="K27" s="16">
        <f>Calculation!M27</f>
        <v>153.21700481001255</v>
      </c>
      <c r="L27" s="16">
        <f>Calculation!N27</f>
        <v>152.14028018294798</v>
      </c>
      <c r="M27" s="16">
        <f>Calculation!O27</f>
        <v>141.25223142007417</v>
      </c>
      <c r="N27" s="17">
        <f>SUM(I27:M27)</f>
        <v>788.2749865402584</v>
      </c>
    </row>
    <row r="28" spans="1:14" s="18" customFormat="1" ht="15" thickBot="1" x14ac:dyDescent="0.35">
      <c r="A28" s="20" t="s">
        <v>152</v>
      </c>
      <c r="B28" s="21">
        <f>B26/B27</f>
        <v>0.4308923794959893</v>
      </c>
      <c r="C28" s="21">
        <f t="shared" ref="C28" si="20">C26/C27</f>
        <v>0.43738034547963139</v>
      </c>
      <c r="D28" s="21">
        <f t="shared" ref="D28" si="21">D26/D27</f>
        <v>0.47549304002694798</v>
      </c>
      <c r="E28" s="21">
        <f t="shared" ref="E28" si="22">E26/E27</f>
        <v>0.46996293936881162</v>
      </c>
      <c r="F28" s="21">
        <f t="shared" ref="F28" si="23">F26/F27</f>
        <v>0.50363466733385287</v>
      </c>
      <c r="G28" s="21">
        <f t="shared" ref="G28" si="24">G26/G27</f>
        <v>0.46156747435067413</v>
      </c>
      <c r="I28" s="21">
        <f>I26/I27</f>
        <v>0.4253303529857872</v>
      </c>
      <c r="J28" s="21">
        <f t="shared" ref="J28:M28" si="25">J26/J27</f>
        <v>0.43418989412543291</v>
      </c>
      <c r="K28" s="21">
        <f t="shared" si="25"/>
        <v>0.47543017368991042</v>
      </c>
      <c r="L28" s="21">
        <f t="shared" si="25"/>
        <v>0.46853260647448586</v>
      </c>
      <c r="M28" s="21">
        <f t="shared" si="25"/>
        <v>0.49903717874253356</v>
      </c>
      <c r="N28" s="22">
        <f>N26/N27</f>
        <v>0.45851034212135611</v>
      </c>
    </row>
    <row r="29" spans="1:14" ht="14.5" thickBot="1" x14ac:dyDescent="0.35">
      <c r="A29" s="23"/>
      <c r="B29" s="24"/>
      <c r="C29" s="24"/>
      <c r="D29" s="24"/>
      <c r="E29" s="24"/>
      <c r="F29" s="24"/>
      <c r="G29" s="24"/>
      <c r="I29" s="24"/>
      <c r="J29" s="24"/>
      <c r="K29" s="24"/>
      <c r="L29" s="24"/>
      <c r="M29" s="24"/>
      <c r="N29" s="24"/>
    </row>
    <row r="30" spans="1:14" x14ac:dyDescent="0.3">
      <c r="A30" s="25" t="s">
        <v>153</v>
      </c>
      <c r="B30" s="26">
        <v>0.49474567863028712</v>
      </c>
      <c r="C30" s="26">
        <v>0.50417477339461225</v>
      </c>
      <c r="D30" s="26">
        <v>0.53038206052648795</v>
      </c>
      <c r="E30" s="26">
        <v>0.53368123389293343</v>
      </c>
      <c r="F30" s="27">
        <v>0.56017111808257913</v>
      </c>
      <c r="G30" s="27">
        <v>0.52296475019424227</v>
      </c>
      <c r="I30" s="26">
        <f>I28*I31</f>
        <v>0.48835942370610319</v>
      </c>
      <c r="J30" s="26">
        <f t="shared" ref="J30:M30" si="26">J28*J31</f>
        <v>0.50049709307551693</v>
      </c>
      <c r="K30" s="26">
        <f t="shared" si="26"/>
        <v>0.53031193715018399</v>
      </c>
      <c r="L30" s="26">
        <f t="shared" si="26"/>
        <v>0.53205697427589504</v>
      </c>
      <c r="M30" s="27">
        <f t="shared" si="26"/>
        <v>0.55505752981788559</v>
      </c>
      <c r="N30" s="27">
        <f>SUMPRODUCT(I27:M27,I30:M30)/N27</f>
        <v>0.51949713951087617</v>
      </c>
    </row>
    <row r="31" spans="1:14" s="19" customFormat="1" ht="15" thickBot="1" x14ac:dyDescent="0.35">
      <c r="A31" s="28" t="s">
        <v>154</v>
      </c>
      <c r="B31" s="29">
        <f>B30/B28</f>
        <v>1.1481885087153001</v>
      </c>
      <c r="C31" s="29">
        <f t="shared" ref="C31" si="27">C30/C28</f>
        <v>1.1527147449703852</v>
      </c>
      <c r="D31" s="29">
        <f t="shared" ref="D31" si="28">D30/D28</f>
        <v>1.115436012473346</v>
      </c>
      <c r="E31" s="29">
        <f t="shared" ref="E31" si="29">E30/E28</f>
        <v>1.1355815303430081</v>
      </c>
      <c r="F31" s="29">
        <f t="shared" ref="F31" si="30">F30/F28</f>
        <v>1.1122568687497618</v>
      </c>
      <c r="G31" s="29">
        <f t="shared" ref="G31" si="31">G30/G28</f>
        <v>1.1330190692702966</v>
      </c>
      <c r="I31" s="29">
        <f>B31</f>
        <v>1.1481885087153001</v>
      </c>
      <c r="J31" s="29">
        <f>C31</f>
        <v>1.1527147449703852</v>
      </c>
      <c r="K31" s="29">
        <f>D31</f>
        <v>1.115436012473346</v>
      </c>
      <c r="L31" s="29">
        <f>E31</f>
        <v>1.1355815303430081</v>
      </c>
      <c r="M31" s="30">
        <f>F31</f>
        <v>1.1122568687497618</v>
      </c>
      <c r="N31" s="30">
        <f t="shared" ref="N31" si="32">N30/N28</f>
        <v>1.1330107345176925</v>
      </c>
    </row>
    <row r="32" spans="1:14" ht="14.5" thickBot="1" x14ac:dyDescent="0.35">
      <c r="A32" s="23"/>
    </row>
    <row r="33" spans="1:17" s="18" customFormat="1" ht="15" thickBot="1" x14ac:dyDescent="0.35">
      <c r="A33" s="28" t="s">
        <v>172</v>
      </c>
      <c r="B33" s="24"/>
      <c r="C33" s="24"/>
      <c r="D33" s="24"/>
      <c r="E33" s="24"/>
      <c r="F33" s="24"/>
      <c r="G33" s="24"/>
      <c r="I33" s="16">
        <f>(I30-I28)*I27</f>
        <v>10.90078663590249</v>
      </c>
      <c r="J33" s="16">
        <f t="shared" ref="J33:M33" si="33">(J30-J28)*J27</f>
        <v>11.187146129299684</v>
      </c>
      <c r="K33" s="16">
        <f t="shared" si="33"/>
        <v>8.4088194160747065</v>
      </c>
      <c r="L33" s="16">
        <f t="shared" si="33"/>
        <v>9.6646151157510332</v>
      </c>
      <c r="M33" s="16">
        <f t="shared" si="33"/>
        <v>7.9129995943294249</v>
      </c>
      <c r="N33" s="16">
        <f>SUM(I33:M33)</f>
        <v>48.074366891357343</v>
      </c>
    </row>
    <row r="34" spans="1:17" s="18" customFormat="1" ht="15" thickBot="1" x14ac:dyDescent="0.35">
      <c r="A34" s="23"/>
      <c r="B34" s="24"/>
      <c r="C34" s="24"/>
      <c r="D34" s="24"/>
      <c r="E34" s="24"/>
      <c r="F34" s="24"/>
      <c r="G34" s="24"/>
      <c r="H34"/>
      <c r="I34" s="24"/>
      <c r="J34" s="24"/>
      <c r="K34" s="24"/>
      <c r="L34" s="24"/>
      <c r="M34" s="24"/>
      <c r="N34" s="24"/>
    </row>
    <row r="35" spans="1:17" ht="14.5" thickBot="1" x14ac:dyDescent="0.35">
      <c r="A35" s="14" t="s">
        <v>157</v>
      </c>
    </row>
    <row r="36" spans="1:17" ht="14.5" thickBot="1" x14ac:dyDescent="0.35">
      <c r="A36" s="15" t="s">
        <v>151</v>
      </c>
      <c r="B36" s="16">
        <f>Calculation!D37</f>
        <v>13.649959267791001</v>
      </c>
      <c r="C36" s="16">
        <f>Calculation!E37</f>
        <v>13.7950091705248</v>
      </c>
      <c r="D36" s="16">
        <f>Calculation!F37</f>
        <v>13.773060829979499</v>
      </c>
      <c r="E36" s="16">
        <f>Calculation!G37</f>
        <v>13.787374965117699</v>
      </c>
      <c r="F36" s="16">
        <f>Calculation!H37</f>
        <v>13.849402884050001</v>
      </c>
      <c r="G36" s="16">
        <f>Calculation!I37</f>
        <v>68.854807117462997</v>
      </c>
      <c r="I36" s="16">
        <f>Calculation!K37</f>
        <v>13.834692586174199</v>
      </c>
      <c r="J36" s="16">
        <f>Calculation!L37</f>
        <v>13.981782560846</v>
      </c>
      <c r="K36" s="16">
        <f>Calculation!M37</f>
        <v>13.959525525204899</v>
      </c>
      <c r="L36" s="16">
        <f>Calculation!N37</f>
        <v>13.974040983231699</v>
      </c>
      <c r="M36" s="16">
        <f>Calculation!O37</f>
        <v>14.036941301348</v>
      </c>
      <c r="N36" s="17">
        <f>SUM(I36:M36)</f>
        <v>69.786982956804792</v>
      </c>
    </row>
    <row r="37" spans="1:17" x14ac:dyDescent="0.3">
      <c r="A37" s="15" t="s">
        <v>62</v>
      </c>
      <c r="B37" s="16">
        <f>Calculation!D36</f>
        <v>17.849049307431791</v>
      </c>
      <c r="C37" s="16">
        <f>Calculation!E36</f>
        <v>18.18798655379139</v>
      </c>
      <c r="D37" s="16">
        <f>Calculation!F36</f>
        <v>18.69749037426023</v>
      </c>
      <c r="E37" s="16">
        <f>Calculation!G36</f>
        <v>18.445305969354997</v>
      </c>
      <c r="F37" s="16">
        <f>Calculation!H36</f>
        <v>18.052355221372579</v>
      </c>
      <c r="G37" s="16">
        <f>Calculation!I36</f>
        <v>91.232187426210999</v>
      </c>
      <c r="I37" s="16">
        <f>Calculation!K36</f>
        <v>18.29515816789046</v>
      </c>
      <c r="J37" s="16">
        <f>Calculation!L36</f>
        <v>18.552695973944168</v>
      </c>
      <c r="K37" s="16">
        <f>Calculation!M36</f>
        <v>18.833146276749879</v>
      </c>
      <c r="L37" s="16">
        <f>Calculation!N36</f>
        <v>18.695669831451639</v>
      </c>
      <c r="M37" s="16">
        <f>Calculation!O36</f>
        <v>18.499918435273329</v>
      </c>
      <c r="N37" s="17">
        <f>SUM(I37:M37)</f>
        <v>92.876588685309471</v>
      </c>
    </row>
    <row r="38" spans="1:17" s="18" customFormat="1" ht="15" thickBot="1" x14ac:dyDescent="0.35">
      <c r="A38" s="20" t="s">
        <v>152</v>
      </c>
      <c r="B38" s="21">
        <f>B36/B37</f>
        <v>0.76474433078671478</v>
      </c>
      <c r="C38" s="21">
        <f t="shared" ref="C38" si="34">C36/C37</f>
        <v>0.75846818611426514</v>
      </c>
      <c r="D38" s="21">
        <f t="shared" ref="D38" si="35">D36/D37</f>
        <v>0.73662617572142663</v>
      </c>
      <c r="E38" s="21">
        <f t="shared" ref="E38" si="36">E36/E37</f>
        <v>0.747473367371841</v>
      </c>
      <c r="F38" s="21">
        <f t="shared" ref="F38" si="37">F36/F37</f>
        <v>0.76717983411125157</v>
      </c>
      <c r="G38" s="21">
        <f t="shared" ref="G38" si="38">G36/G37</f>
        <v>0.75472055488259637</v>
      </c>
      <c r="I38" s="21">
        <f>I36/I37</f>
        <v>0.75619420500311652</v>
      </c>
      <c r="J38" s="21">
        <f t="shared" ref="J38:M38" si="39">J36/J37</f>
        <v>0.75362538040198235</v>
      </c>
      <c r="K38" s="21">
        <f t="shared" si="39"/>
        <v>0.74122110666332897</v>
      </c>
      <c r="L38" s="21">
        <f t="shared" si="39"/>
        <v>0.74744799780980486</v>
      </c>
      <c r="M38" s="21">
        <f t="shared" si="39"/>
        <v>0.75875692914321813</v>
      </c>
      <c r="N38" s="22">
        <f>N36/N37</f>
        <v>0.75139476960401297</v>
      </c>
    </row>
    <row r="39" spans="1:17" ht="14.5" thickBot="1" x14ac:dyDescent="0.35">
      <c r="A39" s="32"/>
      <c r="B39" s="24"/>
      <c r="C39" s="24"/>
      <c r="D39" s="24"/>
      <c r="E39" s="24"/>
      <c r="F39" s="24"/>
      <c r="G39" s="24"/>
      <c r="I39" s="24"/>
      <c r="J39" s="24"/>
      <c r="K39" s="24"/>
      <c r="L39" s="24"/>
      <c r="M39" s="24"/>
      <c r="N39" s="24"/>
    </row>
    <row r="40" spans="1:17" x14ac:dyDescent="0.3">
      <c r="A40" s="25" t="s">
        <v>153</v>
      </c>
      <c r="B40" s="26">
        <v>0.77010556065267077</v>
      </c>
      <c r="C40" s="26">
        <v>0.76378554863756021</v>
      </c>
      <c r="D40" s="26">
        <v>0.74180077938691791</v>
      </c>
      <c r="E40" s="26">
        <v>0.75273066915194609</v>
      </c>
      <c r="F40" s="27">
        <v>0.77253521770677835</v>
      </c>
      <c r="G40" s="27">
        <v>0.76001262248580193</v>
      </c>
      <c r="I40" s="26">
        <f>I38*I41</f>
        <v>0.76149549432703334</v>
      </c>
      <c r="J40" s="26">
        <f t="shared" ref="J40:M40" si="40">J38*J41</f>
        <v>0.75890879166130421</v>
      </c>
      <c r="K40" s="26">
        <f t="shared" si="40"/>
        <v>0.74642798850094927</v>
      </c>
      <c r="L40" s="26">
        <f t="shared" si="40"/>
        <v>0.75270512115486532</v>
      </c>
      <c r="M40" s="27">
        <f t="shared" si="40"/>
        <v>0.7640535157199928</v>
      </c>
      <c r="N40" s="27">
        <f>SUMPRODUCT(I37:M37,I40:M40)/N37</f>
        <v>0.7566635169349919</v>
      </c>
    </row>
    <row r="41" spans="1:17" s="19" customFormat="1" ht="15" thickBot="1" x14ac:dyDescent="0.35">
      <c r="A41" s="28" t="s">
        <v>154</v>
      </c>
      <c r="B41" s="29">
        <f>B40/B38</f>
        <v>1.0070104865771816</v>
      </c>
      <c r="C41" s="29">
        <f t="shared" ref="C41" si="41">C40/C38</f>
        <v>1.0070106599335915</v>
      </c>
      <c r="D41" s="29">
        <f t="shared" ref="D41" si="42">D40/D38</f>
        <v>1.0070247349823314</v>
      </c>
      <c r="E41" s="29">
        <f t="shared" ref="E41" si="43">E40/E38</f>
        <v>1.0070334302325581</v>
      </c>
      <c r="F41" s="29">
        <f t="shared" ref="F41" si="44">F40/F38</f>
        <v>1.0069806104871497</v>
      </c>
      <c r="G41" s="29">
        <f t="shared" ref="G41" si="45">G40/G38</f>
        <v>1.0070119563710953</v>
      </c>
      <c r="I41" s="29">
        <f>B41</f>
        <v>1.0070104865771816</v>
      </c>
      <c r="J41" s="29">
        <f>C41</f>
        <v>1.0070106599335915</v>
      </c>
      <c r="K41" s="29">
        <f>D41</f>
        <v>1.0070247349823314</v>
      </c>
      <c r="L41" s="29">
        <f>E41</f>
        <v>1.0070334302325581</v>
      </c>
      <c r="M41" s="30">
        <f>F41</f>
        <v>1.0069806104871497</v>
      </c>
      <c r="N41" s="30">
        <f t="shared" ref="N41" si="46">N40/N38</f>
        <v>1.0070119563565176</v>
      </c>
    </row>
    <row r="42" spans="1:17" s="18" customFormat="1" ht="15" thickBot="1" x14ac:dyDescent="0.35">
      <c r="A42" s="23"/>
      <c r="B42" s="24"/>
      <c r="C42" s="24"/>
      <c r="D42" s="24"/>
      <c r="E42" s="24"/>
      <c r="F42" s="24"/>
      <c r="G42" s="24"/>
      <c r="H42"/>
      <c r="I42" s="24"/>
      <c r="J42" s="24"/>
      <c r="K42" s="24"/>
      <c r="L42" s="24"/>
      <c r="M42" s="24"/>
      <c r="N42" s="24"/>
    </row>
    <row r="43" spans="1:17" s="18" customFormat="1" ht="15" thickBot="1" x14ac:dyDescent="0.35">
      <c r="A43" s="28" t="s">
        <v>172</v>
      </c>
      <c r="B43" s="24"/>
      <c r="C43" s="24"/>
      <c r="D43" s="24"/>
      <c r="E43" s="24"/>
      <c r="F43" s="24"/>
      <c r="G43" s="24"/>
      <c r="I43" s="16">
        <f>(I40-I38)*I37</f>
        <v>9.6987926674807393E-2</v>
      </c>
      <c r="J43" s="16">
        <f t="shared" ref="J43:M43" si="47">(J40-J38)*J37</f>
        <v>9.8021522799511915E-2</v>
      </c>
      <c r="K43" s="16">
        <f t="shared" si="47"/>
        <v>9.8061967293655378E-2</v>
      </c>
      <c r="L43" s="16">
        <f t="shared" si="47"/>
        <v>9.8285442322466873E-2</v>
      </c>
      <c r="M43" s="16">
        <f t="shared" si="47"/>
        <v>9.7986419655695073E-2</v>
      </c>
      <c r="N43" s="16">
        <f>SUM(I43:M43)</f>
        <v>0.48934327874613659</v>
      </c>
    </row>
    <row r="44" spans="1:17" ht="14.5" thickBot="1" x14ac:dyDescent="0.35"/>
    <row r="45" spans="1:17" ht="14.5" thickBot="1" x14ac:dyDescent="0.35">
      <c r="A45" s="14" t="s">
        <v>127</v>
      </c>
      <c r="H45" s="12"/>
      <c r="P45" s="12"/>
      <c r="Q45" s="12"/>
    </row>
    <row r="46" spans="1:17" ht="14.5" thickBot="1" x14ac:dyDescent="0.35">
      <c r="A46" s="15" t="s">
        <v>151</v>
      </c>
      <c r="B46" s="16">
        <f>B6+B16+B26+B36</f>
        <v>190.31069865512566</v>
      </c>
      <c r="C46" s="16">
        <f t="shared" ref="C46:G46" si="48">C6+C16+C26+C36</f>
        <v>190.5154920704947</v>
      </c>
      <c r="D46" s="16">
        <f t="shared" si="48"/>
        <v>189.67736541557798</v>
      </c>
      <c r="E46" s="16">
        <f t="shared" si="48"/>
        <v>187.35500168657379</v>
      </c>
      <c r="F46" s="16">
        <f t="shared" si="48"/>
        <v>186.26469653350779</v>
      </c>
      <c r="G46" s="16">
        <f t="shared" si="48"/>
        <v>944.12325436128003</v>
      </c>
      <c r="H46" s="31"/>
      <c r="I46" s="16">
        <f>SUM(I6,I16,I26,I36)</f>
        <v>181.90018524412329</v>
      </c>
      <c r="J46" s="16">
        <f t="shared" ref="I46:M47" si="49">SUM(J6,J16,J26,J36)</f>
        <v>181.99050312616851</v>
      </c>
      <c r="K46" s="16">
        <f t="shared" si="49"/>
        <v>180.95536774391226</v>
      </c>
      <c r="L46" s="16">
        <f t="shared" si="49"/>
        <v>178.42454401280489</v>
      </c>
      <c r="M46" s="16">
        <f t="shared" si="49"/>
        <v>177.38741280191772</v>
      </c>
      <c r="N46" s="17">
        <f>SUM(I46:M46)</f>
        <v>900.65801292892661</v>
      </c>
      <c r="P46" s="31"/>
      <c r="Q46" s="31"/>
    </row>
    <row r="47" spans="1:17" x14ac:dyDescent="0.3">
      <c r="A47" s="15" t="s">
        <v>62</v>
      </c>
      <c r="B47" s="16">
        <f>B7+B17+B27+B37</f>
        <v>358.38824655840921</v>
      </c>
      <c r="C47" s="16">
        <f t="shared" ref="C47:G47" si="50">C7+C17+C27+C37</f>
        <v>369.6629709815108</v>
      </c>
      <c r="D47" s="16">
        <f t="shared" si="50"/>
        <v>371.7403987006557</v>
      </c>
      <c r="E47" s="16">
        <f t="shared" si="50"/>
        <v>360.78089036146957</v>
      </c>
      <c r="F47" s="16">
        <f t="shared" si="50"/>
        <v>342.35329485122128</v>
      </c>
      <c r="G47" s="16">
        <f t="shared" si="50"/>
        <v>1802.9258014532666</v>
      </c>
      <c r="H47" s="24"/>
      <c r="I47" s="16">
        <f t="shared" si="49"/>
        <v>355.01744939018261</v>
      </c>
      <c r="J47" s="16">
        <f t="shared" si="49"/>
        <v>363.91136584662843</v>
      </c>
      <c r="K47" s="16">
        <f t="shared" si="49"/>
        <v>362.11169597883656</v>
      </c>
      <c r="L47" s="16">
        <f t="shared" si="49"/>
        <v>352.25751431392763</v>
      </c>
      <c r="M47" s="16">
        <f t="shared" si="49"/>
        <v>336.24876079202818</v>
      </c>
      <c r="N47" s="17">
        <f>SUM(I47:M47)</f>
        <v>1769.5467863216036</v>
      </c>
      <c r="P47" s="24"/>
      <c r="Q47" s="24"/>
    </row>
    <row r="48" spans="1:17" s="18" customFormat="1" ht="15" thickBot="1" x14ac:dyDescent="0.35">
      <c r="A48" s="20" t="s">
        <v>152</v>
      </c>
      <c r="B48" s="21">
        <f>B46/B47</f>
        <v>0.53101824762020844</v>
      </c>
      <c r="C48" s="21">
        <f t="shared" ref="C48" si="51">C46/C47</f>
        <v>0.51537618594756029</v>
      </c>
      <c r="D48" s="21">
        <f t="shared" ref="D48" si="52">D46/D47</f>
        <v>0.51024146441591312</v>
      </c>
      <c r="E48" s="21">
        <f t="shared" ref="E48" si="53">E46/E47</f>
        <v>0.51930411696379253</v>
      </c>
      <c r="F48" s="21">
        <f t="shared" ref="F48" si="54">F46/F47</f>
        <v>0.54407157557649344</v>
      </c>
      <c r="G48" s="21">
        <f t="shared" ref="G48" si="55">G46/G47</f>
        <v>0.52366173560789908</v>
      </c>
      <c r="H48" s="24"/>
      <c r="I48" s="21">
        <f>I46/I47</f>
        <v>0.51236970339507326</v>
      </c>
      <c r="J48" s="21">
        <f t="shared" ref="J48:M48" si="56">J46/J47</f>
        <v>0.50009568319685005</v>
      </c>
      <c r="K48" s="21">
        <f t="shared" si="56"/>
        <v>0.49972251587943217</v>
      </c>
      <c r="L48" s="21">
        <f t="shared" si="56"/>
        <v>0.50651735381802276</v>
      </c>
      <c r="M48" s="21">
        <f t="shared" si="56"/>
        <v>0.52754815329009608</v>
      </c>
      <c r="N48" s="22">
        <f>N46/N47</f>
        <v>0.50897665995096097</v>
      </c>
      <c r="P48" s="5"/>
      <c r="Q48" s="5"/>
    </row>
    <row r="49" spans="1:14" ht="14.5" thickBot="1" x14ac:dyDescent="0.35"/>
    <row r="50" spans="1:14" s="18" customFormat="1" ht="15" thickBot="1" x14ac:dyDescent="0.35">
      <c r="A50" s="28" t="s">
        <v>173</v>
      </c>
      <c r="B50" s="24"/>
      <c r="C50" s="24"/>
      <c r="D50" s="24"/>
      <c r="E50" s="24"/>
      <c r="F50" s="24"/>
      <c r="G50" s="24"/>
      <c r="I50" s="16">
        <f>I13+I23+I33+I43</f>
        <v>24.997507417210585</v>
      </c>
      <c r="J50" s="16">
        <f t="shared" ref="J50:N50" si="57">J13+J23+J33+J43</f>
        <v>25.862544905298407</v>
      </c>
      <c r="K50" s="16">
        <f t="shared" si="57"/>
        <v>23.551352134080162</v>
      </c>
      <c r="L50" s="16">
        <f t="shared" si="57"/>
        <v>21.917137954262586</v>
      </c>
      <c r="M50" s="16">
        <f t="shared" si="57"/>
        <v>19.507608525399043</v>
      </c>
      <c r="N50" s="16">
        <f t="shared" si="57"/>
        <v>115.83615093625079</v>
      </c>
    </row>
  </sheetData>
  <mergeCells count="2">
    <mergeCell ref="B1:G1"/>
    <mergeCell ref="I1: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defaultRowHeight="14" x14ac:dyDescent="0.3"/>
  <cols>
    <col min="1" max="1" width="8.08203125" customWidth="1"/>
    <col min="2" max="2" width="10.08203125" customWidth="1"/>
    <col min="3" max="3" width="27.25" customWidth="1"/>
    <col min="4" max="4" width="2.25" customWidth="1"/>
    <col min="5" max="5" width="14.58203125" customWidth="1"/>
    <col min="6" max="10" width="7.33203125" customWidth="1"/>
    <col min="11" max="11" width="5.33203125" customWidth="1"/>
  </cols>
  <sheetData>
    <row r="1" spans="1:11" x14ac:dyDescent="0.3">
      <c r="A1" s="81"/>
      <c r="B1" s="81"/>
      <c r="C1" s="81" t="s">
        <v>191</v>
      </c>
      <c r="D1" s="81"/>
      <c r="E1" s="81"/>
      <c r="F1" s="81"/>
      <c r="G1" s="81"/>
      <c r="H1" s="81"/>
      <c r="I1" s="81"/>
      <c r="J1" s="81"/>
    </row>
    <row r="2" spans="1:11" ht="42" x14ac:dyDescent="0.3">
      <c r="A2" s="82" t="s">
        <v>73</v>
      </c>
      <c r="B2" s="82" t="s">
        <v>74</v>
      </c>
      <c r="C2" s="82" t="s">
        <v>75</v>
      </c>
      <c r="D2" s="82" t="s">
        <v>76</v>
      </c>
      <c r="E2" s="82" t="s">
        <v>77</v>
      </c>
      <c r="F2" s="82" t="s">
        <v>34</v>
      </c>
      <c r="G2" s="82" t="s">
        <v>35</v>
      </c>
      <c r="H2" s="82" t="s">
        <v>36</v>
      </c>
      <c r="I2" s="82" t="s">
        <v>37</v>
      </c>
      <c r="J2" s="82" t="s">
        <v>38</v>
      </c>
      <c r="K2" s="82" t="s">
        <v>158</v>
      </c>
    </row>
    <row r="4" spans="1:11" x14ac:dyDescent="0.3">
      <c r="B4" s="52" t="s">
        <v>159</v>
      </c>
      <c r="C4" s="83" t="s">
        <v>43</v>
      </c>
      <c r="D4" s="84" t="s">
        <v>160</v>
      </c>
      <c r="E4" s="84" t="s">
        <v>78</v>
      </c>
      <c r="F4" s="111">
        <f>'PAYG summary tables'!I8</f>
        <v>0.78358072185587146</v>
      </c>
      <c r="G4" s="111">
        <f>'PAYG summary tables'!J8</f>
        <v>0.72609548793537082</v>
      </c>
      <c r="H4" s="111">
        <f>'PAYG summary tables'!K8</f>
        <v>0.77787169059984795</v>
      </c>
      <c r="I4" s="111">
        <f>'PAYG summary tables'!L8</f>
        <v>0.80658401515760769</v>
      </c>
      <c r="J4" s="111">
        <f>'PAYG summary tables'!M8</f>
        <v>0.83080030243124037</v>
      </c>
      <c r="K4" s="110"/>
    </row>
    <row r="5" spans="1:11" x14ac:dyDescent="0.3">
      <c r="B5" s="52" t="s">
        <v>161</v>
      </c>
      <c r="C5" s="83" t="s">
        <v>49</v>
      </c>
      <c r="D5" s="84" t="s">
        <v>160</v>
      </c>
      <c r="E5" s="84" t="s">
        <v>78</v>
      </c>
      <c r="F5" s="111">
        <f>'PAYG summary tables'!I15</f>
        <v>0.64989657071102391</v>
      </c>
      <c r="G5" s="111">
        <f>'PAYG summary tables'!J15</f>
        <v>0.60820071670222997</v>
      </c>
      <c r="H5" s="111">
        <f>'PAYG summary tables'!K15</f>
        <v>0.5567970332104103</v>
      </c>
      <c r="I5" s="111">
        <f>'PAYG summary tables'!L15</f>
        <v>0.56119058402122857</v>
      </c>
      <c r="J5" s="111">
        <f>'PAYG summary tables'!M15</f>
        <v>0.57101186182154529</v>
      </c>
      <c r="K5" s="110"/>
    </row>
    <row r="6" spans="1:11" x14ac:dyDescent="0.3">
      <c r="B6" s="52" t="s">
        <v>162</v>
      </c>
      <c r="C6" s="83" t="s">
        <v>55</v>
      </c>
      <c r="D6" s="84" t="s">
        <v>160</v>
      </c>
      <c r="E6" s="84" t="s">
        <v>78</v>
      </c>
      <c r="F6" s="111">
        <f>'PAYG summary tables'!I22</f>
        <v>0.48835942370610319</v>
      </c>
      <c r="G6" s="111">
        <f>'PAYG summary tables'!J22</f>
        <v>0.50049709307551693</v>
      </c>
      <c r="H6" s="111">
        <f>'PAYG summary tables'!K22</f>
        <v>0.53031193715018399</v>
      </c>
      <c r="I6" s="111">
        <f>'PAYG summary tables'!L22</f>
        <v>0.53205697427589504</v>
      </c>
      <c r="J6" s="111">
        <f>'PAYG summary tables'!M22</f>
        <v>0.55505752981788559</v>
      </c>
      <c r="K6" s="110"/>
    </row>
    <row r="7" spans="1:11" x14ac:dyDescent="0.3">
      <c r="B7" s="52" t="s">
        <v>163</v>
      </c>
      <c r="C7" s="83" t="s">
        <v>164</v>
      </c>
      <c r="D7" s="84" t="s">
        <v>160</v>
      </c>
      <c r="E7" s="84" t="s">
        <v>78</v>
      </c>
      <c r="F7" s="111">
        <f>'PAYG summary tables'!I29</f>
        <v>0.76149549432703334</v>
      </c>
      <c r="G7" s="111">
        <f>'PAYG summary tables'!J29</f>
        <v>0.75890879166130421</v>
      </c>
      <c r="H7" s="111">
        <f>'PAYG summary tables'!K29</f>
        <v>0.74642798850094927</v>
      </c>
      <c r="I7" s="111">
        <f>'PAYG summary tables'!L29</f>
        <v>0.75270512115486532</v>
      </c>
      <c r="J7" s="111">
        <f>'PAYG summary tables'!M29</f>
        <v>0.7640535157199928</v>
      </c>
      <c r="K7" s="110"/>
    </row>
    <row r="8" spans="1:11" x14ac:dyDescent="0.3">
      <c r="B8" s="52" t="s">
        <v>165</v>
      </c>
      <c r="C8" s="83" t="s">
        <v>166</v>
      </c>
      <c r="D8" s="84" t="s">
        <v>160</v>
      </c>
      <c r="E8" s="84" t="s">
        <v>78</v>
      </c>
      <c r="F8" s="111">
        <v>0</v>
      </c>
      <c r="G8" s="111">
        <v>0</v>
      </c>
      <c r="H8" s="111">
        <v>0</v>
      </c>
      <c r="I8" s="111">
        <v>0</v>
      </c>
      <c r="J8" s="111">
        <v>0</v>
      </c>
      <c r="K8" s="110"/>
    </row>
    <row r="9" spans="1:11" x14ac:dyDescent="0.3">
      <c r="B9" s="52" t="s">
        <v>192</v>
      </c>
      <c r="C9" s="83" t="s">
        <v>193</v>
      </c>
      <c r="D9" s="84" t="s">
        <v>174</v>
      </c>
      <c r="E9" s="84" t="s">
        <v>78</v>
      </c>
      <c r="F9" s="109">
        <f>PAYG!I50</f>
        <v>24.997507417210585</v>
      </c>
      <c r="G9" s="109">
        <f>PAYG!J50</f>
        <v>25.862544905298407</v>
      </c>
      <c r="H9" s="109">
        <f>PAYG!K50</f>
        <v>23.551352134080162</v>
      </c>
      <c r="I9" s="109">
        <f>PAYG!L50</f>
        <v>21.917137954262586</v>
      </c>
      <c r="J9" s="109">
        <f>PAYG!M50</f>
        <v>19.507608525399043</v>
      </c>
      <c r="K9" s="110"/>
    </row>
    <row r="10" spans="1:11" x14ac:dyDescent="0.3">
      <c r="B10" s="85" t="s">
        <v>167</v>
      </c>
      <c r="C10" s="85" t="s">
        <v>168</v>
      </c>
      <c r="D10" s="86" t="s">
        <v>169</v>
      </c>
      <c r="E10" s="87" t="s">
        <v>78</v>
      </c>
      <c r="F10" s="88" t="str">
        <f ca="1">CONCATENATE("[…]", TEXT(NOW(),"dd/mm/yyy hh:mm:ss"))</f>
        <v>[…]12/12/2019 14:19:51</v>
      </c>
      <c r="G10" s="88" t="str">
        <f t="shared" ref="G10:J10" ca="1" si="0">CONCATENATE("[…]", TEXT(NOW(),"dd/mm/yyy hh:mm:ss"))</f>
        <v>[…]12/12/2019 14:19:51</v>
      </c>
      <c r="H10" s="88" t="str">
        <f t="shared" ca="1" si="0"/>
        <v>[…]12/12/2019 14:19:51</v>
      </c>
      <c r="I10" s="88" t="str">
        <f t="shared" ca="1" si="0"/>
        <v>[…]12/12/2019 14:19:51</v>
      </c>
      <c r="J10" s="88" t="str">
        <f t="shared" ca="1" si="0"/>
        <v>[…]12/12/2019 14:19:51</v>
      </c>
    </row>
    <row r="11" spans="1:11" x14ac:dyDescent="0.3">
      <c r="B11" s="85" t="s">
        <v>170</v>
      </c>
      <c r="C11" s="85" t="s">
        <v>171</v>
      </c>
      <c r="D11" s="86" t="s">
        <v>169</v>
      </c>
      <c r="E11" s="87" t="s">
        <v>78</v>
      </c>
      <c r="F11" s="88" t="str">
        <f ca="1" xml:space="preserve"> MID(CELL("filename"), FIND("[", CELL("filename"), 1) + 1, FIND("]", CELL("filename"), 1) - FIND("[", CELL("filename"), 1) - 1)</f>
        <v>Models for FD publication.xlsx</v>
      </c>
      <c r="G11" s="88" t="str">
        <f t="shared" ref="G11:J11" ca="1" si="1" xml:space="preserve"> MID(CELL("filename"), FIND("[", CELL("filename"), 1) + 1, FIND("]", CELL("filename"), 1) - FIND("[", CELL("filename"), 1) - 1)</f>
        <v>Models for FD publication.xlsx</v>
      </c>
      <c r="H11" s="88" t="str">
        <f t="shared" ca="1" si="1"/>
        <v>Models for FD publication.xlsx</v>
      </c>
      <c r="I11" s="88" t="str">
        <f t="shared" ca="1" si="1"/>
        <v>Models for FD publication.xlsx</v>
      </c>
      <c r="J11" s="88" t="str">
        <f t="shared" ca="1" si="1"/>
        <v>Models for FD publication.xlsx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PAYG summary tables</vt:lpstr>
      <vt:lpstr>Working--&gt;</vt:lpstr>
      <vt:lpstr>F_Inputs</vt:lpstr>
      <vt:lpstr>Final determination Totex</vt:lpstr>
      <vt:lpstr>Calculation</vt:lpstr>
      <vt:lpstr>PAYG</vt:lpstr>
      <vt:lpstr>F_Outputs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2019-12-12T12:51:15Z</dcterms:created>
  <dcterms:modified xsi:type="dcterms:W3CDTF">2019-12-12T14:26:54Z</dcterms:modified>
  <cp:category/>
  <cp:contentStatus/>
</cp:coreProperties>
</file>