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80" windowHeight="7695" firstSheet="1" activeTab="7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L31" i="18" l="1"/>
  <c r="K31" i="18"/>
  <c r="L17" i="18" l="1"/>
  <c r="K17" i="18"/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<sst xmlns="http://schemas.openxmlformats.org/spreadsheetml/2006/main" count="1347" uniqueCount="482">
  <si>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</si>
  <si>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</si>
  <si>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</si>
  <si>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</si>
  <si>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</si>
  <si>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</si>
  <si>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</si>
  <si>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</si>
  <si>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</si>
  <si>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</si>
  <si>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</si>
  <si>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</si>
  <si>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</si>
  <si>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</si>
  <si>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</si>
  <si>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</si>
  <si>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</si>
  <si>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</si>
  <si>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</si>
  <si>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</si>
  <si>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</si>
  <si>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</si>
  <si>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</si>
  <si>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</si>
  <si>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</si>
  <si>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</si>
  <si>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</si>
  <si>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</si>
  <si>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</si>
  <si>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</si>
  <si>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</si>
  <si>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</si>
  <si>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</si>
  <si>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</si>
  <si>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</si>
  <si>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</si>
  <si>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</si>
  <si>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</si>
  <si>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</si>
  <si>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</si>
  <si>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</si>
  <si>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</si>
  <si>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</si>
  <si>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</si>
  <si>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</si>
  <si>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</si>
  <si>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</si>
  <si>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</si>
  <si>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</si>
  <si>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</si>
  <si>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</si>
  <si>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</si>
  <si>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</si>
  <si>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</si>
  <si>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</si>
  <si>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</si>
  <si>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</si>
  <si>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</si>
  <si>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</si>
  <si>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</si>
  <si>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</si>
  <si>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</si>
  <si>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</si>
  <si>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</si>
  <si>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</si>
  <si>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</si>
  <si>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</si>
  <si>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</si>
  <si>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</si>
  <si>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</si>
  <si>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</si>
  <si>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</si>
  <si>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</si>
  <si>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</si>
  <si>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</si>
  <si>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</si>
  <si>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</si>
  <si>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</si>
  <si>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</si>
  <si>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</si>
  <si>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</si>
  <si>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</si>
  <si>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</si>
  <si>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</si>
  <si>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</si>
  <si>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</si>
  <si>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</si>
  <si>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</si>
  <si>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</si>
  <si>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</si>
  <si>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</si>
  <si>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</si>
  <si>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</si>
  <si>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</si>
  <si>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</si>
  <si>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</si>
  <si>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</si>
  <si>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</si>
  <si>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</si>
  <si>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</si>
  <si>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</si>
  <si>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</si>
  <si>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</si>
  <si>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</si>
  <si>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</si>
  <si>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</si>
  <si>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</si>
  <si>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</si>
  <si>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</si>
  <si>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</si>
  <si>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</si>
  <si>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</si>
  <si>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</si>
  <si>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</si>
  <si>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</si>
  <si>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</si>
  <si>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</si>
  <si>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</si>
  <si>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</si>
  <si>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</si>
  <si>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</si>
  <si>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</si>
  <si>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</si>
  <si>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</si>
  <si>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</si>
  <si>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</si>
  <si>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</si>
  <si>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</si>
  <si>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</si>
  <si>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</si>
  <si>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</si>
  <si>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</si>
  <si>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</si>
  <si>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</si>
  <si>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</si>
  <si>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</si>
  <si>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</si>
  <si>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</si>
  <si>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</si>
  <si>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</si>
  <si>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</si>
  <si>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</si>
  <si>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</si>
  <si>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</si>
  <si>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</si>
  <si>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</si>
  <si>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</si>
  <si>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</si>
  <si>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</si>
  <si>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</si>
  <si>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</si>
  <si>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</si>
  <si>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</si>
  <si>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</si>
  <si>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</si>
  <si>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</si>
  <si>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</si>
  <si>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</si>
  <si>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</si>
  <si>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</si>
  <si>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</si>
  <si>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</si>
  <si>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</si>
  <si>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</si>
  <si>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</si>
  <si>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</si>
  <si>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</si>
  <si>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</si>
  <si>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</si>
  <si>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</si>
  <si>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</si>
  <si>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</si>
  <si>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</si>
  <si>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</si>
  <si>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</si>
  <si>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</si>
  <si>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</si>
  <si>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</si>
  <si>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</si>
  <si>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</si>
  <si>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</si>
  <si>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</si>
  <si>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</si>
  <si>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</si>
  <si>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</si>
  <si>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</si>
  <si>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</si>
  <si>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</si>
  <si>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</si>
  <si>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</si>
  <si>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</si>
  <si>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</si>
  <si>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</si>
  <si>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</si>
  <si>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</si>
  <si>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</si>
  <si>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</si>
  <si>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</si>
  <si>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</si>
  <si>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</si>
  <si>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</si>
  <si>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</si>
  <si>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</si>
  <si>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</si>
  <si>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</si>
  <si>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</si>
  <si>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</si>
  <si>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</si>
  <si>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</si>
  <si>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</si>
  <si>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</si>
  <si>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</si>
  <si>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</si>
  <si>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</si>
  <si>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</si>
  <si>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</si>
  <si>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</si>
  <si>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</si>
  <si>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</si>
  <si>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</si>
  <si>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</si>
  <si>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</si>
  <si>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</si>
  <si>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</si>
  <si>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</si>
  <si>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</si>
  <si>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</si>
  <si>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</si>
  <si>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</si>
  <si>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</si>
  <si>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</si>
  <si>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</si>
  <si>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</si>
  <si>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</si>
  <si>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</si>
  <si>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</si>
  <si>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</si>
  <si>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</si>
  <si>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</si>
  <si>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</si>
  <si>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</si>
  <si>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</si>
  <si>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</si>
  <si>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</si>
  <si>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</si>
  <si>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</si>
  <si>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</si>
  <si>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</si>
  <si>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</si>
  <si>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</si>
  <si>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</si>
  <si>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</si>
  <si>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</si>
  <si>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</si>
  <si>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</si>
  <si>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</si>
  <si>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</si>
  <si>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</si>
  <si>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</si>
  <si>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</si>
  <si>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</si>
  <si>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</si>
  <si>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</si>
  <si>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</si>
  <si>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</si>
  <si>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</si>
  <si>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</si>
  <si>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</si>
  <si>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</si>
  <si>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</si>
  <si>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</si>
  <si>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</si>
  <si>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</si>
  <si>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</si>
  <si>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</si>
  <si>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</si>
  <si>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</si>
  <si>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</si>
  <si>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</si>
  <si>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</si>
  <si>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</si>
  <si>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</si>
  <si>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</si>
  <si>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</si>
  <si>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</si>
  <si>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</si>
  <si>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</si>
  <si>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</si>
  <si>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</si>
  <si>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</si>
  <si>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</si>
  <si>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</si>
  <si>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</si>
  <si>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</si>
  <si>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</si>
  <si>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</si>
  <si>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</si>
  <si>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</si>
  <si>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</si>
  <si>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</si>
  <si>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</si>
  <si>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</si>
  <si>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</si>
  <si>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</si>
  <si>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</si>
  <si>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</si>
  <si>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</si>
  <si>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</si>
  <si>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</si>
  <si>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</si>
  <si>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</si>
  <si>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</si>
  <si>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</si>
  <si>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</si>
  <si>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</si>
  <si>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</si>
  <si>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</si>
  <si>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</si>
  <si>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</si>
  <si>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</si>
  <si>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</si>
  <si>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</si>
  <si>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</si>
  <si>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</si>
  <si>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</si>
  <si>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</si>
  <si>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</si>
  <si>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</si>
  <si>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</si>
  <si>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</si>
  <si>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</si>
  <si>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</si>
  <si>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</si>
  <si>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</si>
  <si>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</si>
  <si>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</si>
  <si>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</si>
  <si>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</si>
  <si>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</si>
  <si>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</si>
  <si>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</si>
  <si>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</si>
  <si>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</si>
  <si>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</si>
  <si>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</si>
  <si>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</si>
  <si>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</si>
  <si>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</si>
  <si>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</si>
  <si>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</si>
  <si>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</si>
  <si>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</si>
  <si>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</si>
  <si>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</si>
  <si>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</si>
  <si>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</si>
  <si>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</si>
  <si>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</si>
  <si>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</si>
  <si>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</si>
  <si>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</si>
  <si>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</si>
  <si>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</si>
  <si>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</si>
  <si>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</si>
  <si>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</si>
  <si>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</si>
  <si>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</si>
  <si>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</si>
  <si>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</si>
  <si>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</si>
  <si>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</si>
  <si>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</si>
  <si>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</si>
  <si>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</si>
  <si>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</si>
  <si>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</si>
  <si>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</si>
  <si>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</si>
  <si>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</si>
  <si>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</si>
  <si>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</si>
  <si>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</si>
  <si>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</si>
  <si>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</si>
  <si>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</si>
  <si>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</si>
  <si>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</si>
  <si>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</si>
  <si>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</si>
  <si>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</si>
  <si>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</si>
  <si>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</si>
  <si>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</si>
  <si>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</si>
  <si>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</si>
  <si>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</si>
  <si>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</si>
  <si>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</si>
  <si>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</si>
  <si>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</si>
  <si>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</si>
  <si>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</si>
  <si>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</si>
  <si>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</si>
  <si>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</si>
  <si>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</si>
  <si>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</si>
  <si>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</si>
  <si>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</si>
  <si>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</si>
  <si>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</si>
  <si>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</si>
  <si>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</si>
  <si>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</si>
  <si>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</si>
  <si>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</si>
  <si>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</si>
  <si>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</si>
  <si>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</si>
  <si>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</si>
  <si>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</si>
  <si>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</si>
  <si>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</si>
  <si>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</si>
  <si>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</si>
  <si>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</si>
  <si>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</si>
  <si>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</si>
  <si>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</si>
  <si>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</si>
  <si>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</si>
  <si>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</si>
  <si>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</si>
  <si>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</si>
  <si>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</si>
  <si>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</si>
  <si>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</si>
  <si>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</si>
  <si>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</si>
  <si>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</si>
  <si>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</si>
  <si>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</si>
  <si>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</si>
  <si>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</si>
  <si>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</si>
  <si>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</si>
  <si>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</si>
  <si>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</si>
  <si>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</si>
  <si>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</si>
  <si>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</si>
  <si>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</si>
  <si>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</si>
  <si>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</si>
  <si>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</si>
  <si>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</si>
  <si>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</si>
  <si>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</si>
  <si>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</si>
  <si>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</si>
  <si>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</si>
  <si>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</si>
  <si>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</si>
  <si>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</si>
  <si>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</si>
  <si>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</si>
  <si>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</si>
  <si>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</si>
  <si>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PR19_PD006_Run8</t>
  </si>
  <si>
    <t>SRN</t>
  </si>
  <si>
    <t>SRN.PD.C006.04</t>
  </si>
  <si>
    <t>SRN.PD.C006.03</t>
  </si>
  <si>
    <t>SRN.PD.C006.01</t>
  </si>
  <si>
    <t>SRN.PD.C006.02</t>
  </si>
  <si>
    <t>SRN.PD.D006.01</t>
  </si>
  <si>
    <t>Change log</t>
  </si>
  <si>
    <t>#</t>
  </si>
  <si>
    <t>Issue</t>
  </si>
  <si>
    <t>Change</t>
  </si>
  <si>
    <t>Sheet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</si>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</sst>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0" fillId="0" borderId="0" xfId="0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activeCell="M18" sqref="M18"/>
      <selection pane="bottomLeft"/>
    </sheetView>
  </sheetViews>
  <sheetFormatPr defaultRowHeight="15"/>
  <cols>
    <col min="1" max="1" width="3.8554687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469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470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470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2.5370338146609299</v>
      </c>
      <c r="K5" s="217">
        <v>2.5370338146609299</v>
      </c>
      <c r="L5" s="217">
        <v>2.5370338146609299</v>
      </c>
      <c r="M5" s="217">
        <v>2.5370338146609299</v>
      </c>
      <c r="N5" s="217">
        <v>2.5370338146609299</v>
      </c>
      <c r="O5" s="217"/>
      <c r="P5" s="217"/>
    </row>
    <row r="6" spans="1:16">
      <c r="A6" t="s">
        <v>470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5.53597397784623</v>
      </c>
      <c r="K6" s="217">
        <v>5.53597397784623</v>
      </c>
      <c r="L6" s="217">
        <v>5.53597397784623</v>
      </c>
      <c r="M6" s="217">
        <v>5.53597397784623</v>
      </c>
      <c r="N6" s="217">
        <v>5.53597397784623</v>
      </c>
      <c r="O6" s="217"/>
      <c r="P6" s="217"/>
    </row>
    <row r="7" spans="1:16">
      <c r="A7" t="s">
        <v>470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106.253638469002</v>
      </c>
    </row>
    <row r="8" spans="1:16">
      <c r="A8" t="s">
        <v>470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102.026894758127</v>
      </c>
    </row>
    <row r="9" spans="1:16">
      <c r="A9" t="s">
        <v>470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106.3</v>
      </c>
    </row>
    <row r="10" spans="1:16">
      <c r="A10" t="s">
        <v>470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100</v>
      </c>
    </row>
    <row r="11" spans="1:16">
      <c r="A11" t="s">
        <v>470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470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155.576080359282</v>
      </c>
      <c r="K12" s="217">
        <v>168.19891107619699</v>
      </c>
      <c r="L12" s="217">
        <v>166.313253513896</v>
      </c>
      <c r="M12" s="217">
        <v>151.20293061123101</v>
      </c>
      <c r="N12" s="217">
        <v>126.62106801828899</v>
      </c>
      <c r="O12" s="217"/>
      <c r="P12" s="217"/>
    </row>
    <row r="13" spans="1:16">
      <c r="A13" t="s">
        <v>470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367.47961058352502</v>
      </c>
      <c r="K13" s="217">
        <v>402.926549619642</v>
      </c>
      <c r="L13" s="217">
        <v>394.66391232961797</v>
      </c>
      <c r="M13" s="217">
        <v>369.52734228227598</v>
      </c>
      <c r="N13" s="217">
        <v>336.888583131411</v>
      </c>
      <c r="O13" s="217"/>
      <c r="P13" s="217"/>
    </row>
    <row r="14" spans="1:16">
      <c r="A14" t="s">
        <v>470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150.55223406202799</v>
      </c>
      <c r="K14" s="217">
        <v>163.07311875423699</v>
      </c>
      <c r="L14" s="217">
        <v>161.24456217346301</v>
      </c>
      <c r="M14" s="217">
        <v>146.393157598991</v>
      </c>
      <c r="N14" s="217">
        <v>122.21480876073799</v>
      </c>
      <c r="O14" s="217"/>
      <c r="P14" s="217"/>
    </row>
    <row r="15" spans="1:16">
      <c r="A15" t="s">
        <v>470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365.42476210728699</v>
      </c>
      <c r="K15" s="217">
        <v>400.89511908108199</v>
      </c>
      <c r="L15" s="217">
        <v>392.67413944239797</v>
      </c>
      <c r="M15" s="217">
        <v>367.66430017533702</v>
      </c>
      <c r="N15" s="217">
        <v>335.19009551248502</v>
      </c>
      <c r="O15" s="217"/>
      <c r="P15" s="217"/>
    </row>
    <row r="16" spans="1:16">
      <c r="A16" t="s">
        <v>470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128.613</v>
      </c>
      <c r="K16" s="217">
        <v>161.28100000000001</v>
      </c>
      <c r="L16" s="217">
        <v>227.072</v>
      </c>
      <c r="M16" s="217">
        <v>223.423</v>
      </c>
      <c r="N16" s="217">
        <v>221.333</v>
      </c>
      <c r="O16" s="217"/>
      <c r="P16" s="217"/>
    </row>
    <row r="17" spans="1:16">
      <c r="A17" t="s">
        <v>470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325.06099999999901</v>
      </c>
      <c r="K17" s="217">
        <v>371.78599999999898</v>
      </c>
      <c r="L17" s="217">
        <v>424.745</v>
      </c>
      <c r="M17" s="217">
        <v>468.33</v>
      </c>
      <c r="N17" s="217">
        <v>467.839</v>
      </c>
      <c r="O17" s="217"/>
      <c r="P17" s="217"/>
    </row>
    <row r="18" spans="1:16">
      <c r="A18" t="s">
        <v>470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2.165</v>
      </c>
      <c r="K18" s="217">
        <v>2.2050000000000001</v>
      </c>
      <c r="L18" s="217">
        <v>3.125</v>
      </c>
      <c r="M18" s="217">
        <v>3.0659999999999998</v>
      </c>
      <c r="N18" s="217">
        <v>2.7639999999999998</v>
      </c>
      <c r="O18" s="217"/>
      <c r="P18" s="217"/>
    </row>
    <row r="19" spans="1:16">
      <c r="A19" t="s">
        <v>470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3.702</v>
      </c>
      <c r="L19" s="217">
        <v>1.3859999999999999</v>
      </c>
      <c r="M19" s="217">
        <v>1.615</v>
      </c>
      <c r="N19" s="217">
        <v>0.17799999999999999</v>
      </c>
      <c r="O19" s="217"/>
      <c r="P19" s="217"/>
    </row>
    <row r="20" spans="1:16">
      <c r="A20" t="s">
        <v>470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8.8759999999999994</v>
      </c>
      <c r="K20" s="217">
        <v>0</v>
      </c>
      <c r="L20" s="217">
        <v>0.53700000000000003</v>
      </c>
      <c r="M20" s="217">
        <v>4.8440000000000003</v>
      </c>
      <c r="N20" s="217">
        <v>5.2510000000000003</v>
      </c>
      <c r="O20" s="217"/>
      <c r="P20" s="217"/>
    </row>
    <row r="21" spans="1:16">
      <c r="A21" t="s">
        <v>470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470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/>
      <c r="P22" s="217"/>
    </row>
    <row r="23" spans="1:16">
      <c r="A23" t="s">
        <v>470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1.448</v>
      </c>
      <c r="L23" s="217">
        <v>0.1</v>
      </c>
      <c r="M23" s="217">
        <v>1.5489999999999999</v>
      </c>
      <c r="N23" s="217">
        <v>0</v>
      </c>
      <c r="O23" s="217"/>
      <c r="P23" s="217"/>
    </row>
    <row r="24" spans="1:16">
      <c r="A24" t="s">
        <v>470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19.37</v>
      </c>
      <c r="K24" s="217">
        <v>0</v>
      </c>
      <c r="L24" s="217">
        <v>1.1719999999999999</v>
      </c>
      <c r="M24" s="217">
        <v>10.57</v>
      </c>
      <c r="N24" s="217">
        <v>11.457000000000001</v>
      </c>
      <c r="O24" s="217"/>
      <c r="P24" s="217"/>
    </row>
    <row r="25" spans="1:16">
      <c r="A25" t="s">
        <v>470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470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10.200375898869501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470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13.768000000000001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470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0.53200000000000003</v>
      </c>
      <c r="K28" s="218">
        <v>0.46300000000000002</v>
      </c>
      <c r="L28" s="218">
        <v>0.47399999999999998</v>
      </c>
      <c r="M28" s="218">
        <v>0.53500000000000003</v>
      </c>
      <c r="N28" s="218">
        <v>0.55500000000000005</v>
      </c>
      <c r="O28" s="218"/>
      <c r="P28" s="218"/>
    </row>
    <row r="29" spans="1:16">
      <c r="A29" t="s">
        <v>470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0.47499999999999998</v>
      </c>
      <c r="K29" s="218">
        <v>0.44299999999999801</v>
      </c>
      <c r="L29" s="218">
        <v>0.434</v>
      </c>
      <c r="M29" s="218">
        <v>0.433</v>
      </c>
      <c r="N29" s="218">
        <v>0.52300000000000002</v>
      </c>
      <c r="O29" s="218"/>
      <c r="P29" s="218"/>
    </row>
    <row r="30" spans="1:16">
      <c r="A30" t="s">
        <v>470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0.55000000000000004</v>
      </c>
      <c r="M30" s="217">
        <v>0.11</v>
      </c>
      <c r="N30" s="217">
        <v>0</v>
      </c>
      <c r="O30" s="217"/>
      <c r="P30" s="217"/>
    </row>
    <row r="31" spans="1:16">
      <c r="A31" t="s">
        <v>470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19.067</v>
      </c>
      <c r="L31" s="217">
        <v>27.010999999999999</v>
      </c>
      <c r="M31" s="217">
        <v>15.225</v>
      </c>
      <c r="N31" s="217">
        <v>4</v>
      </c>
      <c r="O31" s="217"/>
      <c r="P31" s="217"/>
    </row>
    <row r="32" spans="1:16">
      <c r="A32" t="s">
        <v>470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/>
      <c r="P32" s="217"/>
    </row>
    <row r="33" spans="1:16">
      <c r="A33" t="s">
        <v>470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/>
      <c r="P33" s="217"/>
    </row>
    <row r="34" spans="1:16">
      <c r="A34" t="s">
        <v>470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</v>
      </c>
      <c r="O34" s="220">
        <v>296.60000000000002</v>
      </c>
      <c r="P34" s="220"/>
    </row>
    <row r="35" spans="1:16">
      <c r="A35" t="s">
        <v>470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288.8</v>
      </c>
      <c r="O35" s="220">
        <v>297.39999999999998</v>
      </c>
      <c r="P35" s="220"/>
    </row>
    <row r="36" spans="1:16">
      <c r="A36" t="s">
        <v>470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289.8</v>
      </c>
      <c r="O36" s="220">
        <v>298.39999999999998</v>
      </c>
      <c r="P36" s="220"/>
    </row>
    <row r="37" spans="1:16">
      <c r="A37" t="s">
        <v>470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289.89999999999998</v>
      </c>
      <c r="O37" s="220">
        <v>298.5</v>
      </c>
      <c r="P37" s="220"/>
    </row>
    <row r="38" spans="1:16">
      <c r="A38" t="s">
        <v>470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291.89999999999998</v>
      </c>
      <c r="O38" s="220">
        <v>300.60000000000002</v>
      </c>
      <c r="P38" s="220"/>
    </row>
    <row r="39" spans="1:16">
      <c r="A39" t="s">
        <v>470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292.10000000000002</v>
      </c>
      <c r="O39" s="220">
        <v>300.89999999999998</v>
      </c>
      <c r="P39" s="220"/>
    </row>
    <row r="40" spans="1:16">
      <c r="A40" t="s">
        <v>470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292.2</v>
      </c>
      <c r="O40" s="220">
        <v>300.89999999999998</v>
      </c>
      <c r="P40" s="220"/>
    </row>
    <row r="41" spans="1:16">
      <c r="A41" t="s">
        <v>470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292.39999999999998</v>
      </c>
      <c r="O41" s="220">
        <v>301.2</v>
      </c>
      <c r="P41" s="220"/>
    </row>
    <row r="42" spans="1:16">
      <c r="A42" t="s">
        <v>470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293.8</v>
      </c>
      <c r="O42" s="220">
        <v>302.60000000000002</v>
      </c>
      <c r="P42" s="220"/>
    </row>
    <row r="43" spans="1:16">
      <c r="A43" t="s">
        <v>470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291.60000000000002</v>
      </c>
      <c r="O43" s="220">
        <v>300.3</v>
      </c>
      <c r="P43" s="220"/>
    </row>
    <row r="44" spans="1:16">
      <c r="A44" t="s">
        <v>470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293.7</v>
      </c>
      <c r="O44" s="220">
        <v>302.5</v>
      </c>
      <c r="P44" s="220"/>
    </row>
    <row r="45" spans="1:16">
      <c r="A45" t="s">
        <v>470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294.3</v>
      </c>
      <c r="O45" s="220">
        <v>303.10000000000002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M18" sqref="M18"/>
      <selection pane="topRight" activeCell="M18" sqref="M18"/>
      <selection pane="bottomLeft" activeCell="M18" sqref="M18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28515625" style="7" customWidth="1"/>
    <col min="6" max="6" width="4" style="7" customWidth="1"/>
    <col min="7" max="7" width="11.5703125" style="7" customWidth="1"/>
    <col min="8" max="8" width="4" style="7" customWidth="1"/>
    <col min="9" max="21" width="9.5703125" style="7" customWidth="1"/>
    <col min="22" max="22" width="15.85546875" style="7" bestFit="1" customWidth="1"/>
    <col min="23" max="16384" width="9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="90" zoomScaleNormal="90" workbookViewId="0">
      <pane ySplit="2" topLeftCell="A3" activePane="bottomLeft" state="frozen"/>
      <selection activeCell="M18" sqref="M18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41.85546875" customWidth="1"/>
    <col min="4" max="4" width="4.7109375" bestFit="1" customWidth="1"/>
    <col min="5" max="5" width="17" bestFit="1" customWidth="1"/>
    <col min="6" max="16" width="7.285156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SRN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SRN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SRN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SRN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SRN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SRN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>
        <v>106.253638469002</v>
      </c>
      <c r="Q9" t="s">
        <v>475</v>
      </c>
    </row>
    <row r="10" spans="1:17">
      <c r="A10" t="str">
        <f>F_Inputs!A10</f>
        <v>SRN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tr">
        <f>F_Inputs!A11</f>
        <v>SRN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SRN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SRN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SRN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SRN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SRN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7">
      <c r="A17" t="str">
        <f>F_Inputs!A17</f>
        <v>SRN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>
        <f>F_Inputs!K17-17.067</f>
        <v>354.71899999999897</v>
      </c>
      <c r="L17" s="264">
        <f>F_Inputs!L17-23.702</f>
        <v>401.04300000000001</v>
      </c>
      <c r="M17" s="264"/>
      <c r="N17" s="264"/>
      <c r="O17" s="217"/>
      <c r="P17" s="217"/>
      <c r="Q17" t="s">
        <v>472</v>
      </c>
    </row>
    <row r="18" spans="1:17">
      <c r="A18" t="str">
        <f>F_Inputs!A18</f>
        <v>SRN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7">
      <c r="A19" t="str">
        <f>F_Inputs!A19</f>
        <v>SRN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7">
      <c r="A20" t="str">
        <f>F_Inputs!A20</f>
        <v>SRN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7">
      <c r="A21" t="str">
        <f>F_Inputs!A21</f>
        <v>SRN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7">
      <c r="A22" t="str">
        <f>F_Inputs!A22</f>
        <v>SRN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7">
      <c r="A23" t="str">
        <f>F_Inputs!A23</f>
        <v>SRN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7">
      <c r="A24" t="str">
        <f>F_Inputs!A24</f>
        <v>SRN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7">
      <c r="A25" t="str">
        <f>F_Inputs!A25</f>
        <v>SRN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7">
      <c r="A26" t="str">
        <f>F_Inputs!A26</f>
        <v>SRN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v>1.498</v>
      </c>
      <c r="J26" s="217"/>
      <c r="K26" s="217"/>
      <c r="L26" s="217"/>
      <c r="M26" s="217"/>
      <c r="N26" s="217"/>
      <c r="O26" s="217"/>
      <c r="P26" s="217"/>
      <c r="Q26" t="s">
        <v>473</v>
      </c>
    </row>
    <row r="27" spans="1:17">
      <c r="A27" t="str">
        <f>F_Inputs!A27</f>
        <v>SRN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v>14.255000000000001</v>
      </c>
      <c r="J27" s="217"/>
      <c r="K27" s="217"/>
      <c r="L27" s="217"/>
      <c r="M27" s="217"/>
      <c r="N27" s="217"/>
      <c r="O27" s="217"/>
      <c r="P27" s="217"/>
      <c r="Q27" t="s">
        <v>474</v>
      </c>
    </row>
    <row r="28" spans="1:17">
      <c r="A28" t="str">
        <f>F_Inputs!A28</f>
        <v>SRN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7">
      <c r="A29" t="str">
        <f>F_Inputs!A29</f>
        <v>SRN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7">
      <c r="A30" t="str">
        <f>F_Inputs!A30</f>
        <v>SRN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7">
      <c r="A31" t="str">
        <f>F_Inputs!A31</f>
        <v>SRN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>
        <f>F_Inputs!K31-17.067</f>
        <v>2</v>
      </c>
      <c r="L31" s="264">
        <f>F_Inputs!L31-23.702</f>
        <v>3.3089999999999975</v>
      </c>
      <c r="M31" s="264"/>
      <c r="N31" s="264"/>
      <c r="O31" s="217"/>
      <c r="P31" s="217"/>
      <c r="Q31" t="s">
        <v>471</v>
      </c>
    </row>
    <row r="32" spans="1:17">
      <c r="A32" t="str">
        <f>F_Inputs!A32</f>
        <v>SRN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SRN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SRN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SRN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SRN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SRN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SRN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SRN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SRN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SRN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SRN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SRN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SRN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SRN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M18" sqref="M18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" bestFit="1" customWidth="1"/>
    <col min="4" max="4" width="4.7109375" bestFit="1" customWidth="1"/>
    <col min="5" max="5" width="17" bestFit="1" customWidth="1"/>
    <col min="6" max="16" width="7.285156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SRN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SRN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2.5370338146609299</v>
      </c>
      <c r="K5" s="264">
        <f>IF(InpOverride!K5="",F_Inputs!K5,InpOverride!K5)</f>
        <v>2.5370338146609299</v>
      </c>
      <c r="L5" s="264">
        <f>IF(InpOverride!L5="",F_Inputs!L5,InpOverride!L5)</f>
        <v>2.5370338146609299</v>
      </c>
      <c r="M5" s="264">
        <f>IF(InpOverride!M5="",F_Inputs!M5,InpOverride!M5)</f>
        <v>2.5370338146609299</v>
      </c>
      <c r="N5" s="264">
        <f>IF(InpOverride!N5="",F_Inputs!N5,InpOverride!N5)</f>
        <v>2.5370338146609299</v>
      </c>
      <c r="O5" s="217"/>
      <c r="P5" s="217"/>
    </row>
    <row r="6" spans="1:16">
      <c r="A6" t="str">
        <f>F_Inputs!A6</f>
        <v>SRN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5.53597397784623</v>
      </c>
      <c r="K6" s="264">
        <f>IF(InpOverride!K6="",F_Inputs!K6,InpOverride!K6)</f>
        <v>5.53597397784623</v>
      </c>
      <c r="L6" s="264">
        <f>IF(InpOverride!L6="",F_Inputs!L6,InpOverride!L6)</f>
        <v>5.53597397784623</v>
      </c>
      <c r="M6" s="264">
        <f>IF(InpOverride!M6="",F_Inputs!M6,InpOverride!M6)</f>
        <v>5.53597397784623</v>
      </c>
      <c r="N6" s="264">
        <f>IF(InpOverride!N6="",F_Inputs!N6,InpOverride!N6)</f>
        <v>5.53597397784623</v>
      </c>
      <c r="O6" s="217"/>
      <c r="P6" s="217"/>
    </row>
    <row r="7" spans="1:16">
      <c r="A7" t="str">
        <f>F_Inputs!A7</f>
        <v>SRN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106.253638469002</v>
      </c>
    </row>
    <row r="8" spans="1:16">
      <c r="A8" t="str">
        <f>F_Inputs!A8</f>
        <v>SRN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102.026894758127</v>
      </c>
    </row>
    <row r="9" spans="1:16">
      <c r="A9" t="str">
        <f>F_Inputs!A9</f>
        <v>SRN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106.253638469002</v>
      </c>
    </row>
    <row r="10" spans="1:16">
      <c r="A10" t="str">
        <f>F_Inputs!A10</f>
        <v>SRN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100</v>
      </c>
    </row>
    <row r="11" spans="1:16">
      <c r="A11" t="str">
        <f>F_Inputs!A11</f>
        <v>SRN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SRN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155.576080359282</v>
      </c>
      <c r="K12" s="264">
        <f>IF(InpOverride!K12="",F_Inputs!K12,InpOverride!K12)</f>
        <v>168.19891107619699</v>
      </c>
      <c r="L12" s="264">
        <f>IF(InpOverride!L12="",F_Inputs!L12,InpOverride!L12)</f>
        <v>166.313253513896</v>
      </c>
      <c r="M12" s="264">
        <f>IF(InpOverride!M12="",F_Inputs!M12,InpOverride!M12)</f>
        <v>151.20293061123101</v>
      </c>
      <c r="N12" s="264">
        <f>IF(InpOverride!N12="",F_Inputs!N12,InpOverride!N12)</f>
        <v>126.62106801828899</v>
      </c>
      <c r="O12" s="217"/>
      <c r="P12" s="217"/>
    </row>
    <row r="13" spans="1:16">
      <c r="A13" t="str">
        <f>F_Inputs!A13</f>
        <v>SRN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367.47961058352502</v>
      </c>
      <c r="K13" s="264">
        <f>IF(InpOverride!K13="",F_Inputs!K13,InpOverride!K13)</f>
        <v>402.926549619642</v>
      </c>
      <c r="L13" s="264">
        <f>IF(InpOverride!L13="",F_Inputs!L13,InpOverride!L13)</f>
        <v>394.66391232961797</v>
      </c>
      <c r="M13" s="264">
        <f>IF(InpOverride!M13="",F_Inputs!M13,InpOverride!M13)</f>
        <v>369.52734228227598</v>
      </c>
      <c r="N13" s="264">
        <f>IF(InpOverride!N13="",F_Inputs!N13,InpOverride!N13)</f>
        <v>336.888583131411</v>
      </c>
      <c r="O13" s="217"/>
      <c r="P13" s="217"/>
    </row>
    <row r="14" spans="1:16">
      <c r="A14" t="str">
        <f>F_Inputs!A14</f>
        <v>SRN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150.55223406202799</v>
      </c>
      <c r="K14" s="264">
        <f>IF(InpOverride!K14="",F_Inputs!K14,InpOverride!K14)</f>
        <v>163.07311875423699</v>
      </c>
      <c r="L14" s="264">
        <f>IF(InpOverride!L14="",F_Inputs!L14,InpOverride!L14)</f>
        <v>161.24456217346301</v>
      </c>
      <c r="M14" s="264">
        <f>IF(InpOverride!M14="",F_Inputs!M14,InpOverride!M14)</f>
        <v>146.393157598991</v>
      </c>
      <c r="N14" s="264">
        <f>IF(InpOverride!N14="",F_Inputs!N14,InpOverride!N14)</f>
        <v>122.21480876073799</v>
      </c>
      <c r="O14" s="217"/>
      <c r="P14" s="217"/>
    </row>
    <row r="15" spans="1:16">
      <c r="A15" t="str">
        <f>F_Inputs!A15</f>
        <v>SRN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365.42476210728699</v>
      </c>
      <c r="K15" s="264">
        <f>IF(InpOverride!K15="",F_Inputs!K15,InpOverride!K15)</f>
        <v>400.89511908108199</v>
      </c>
      <c r="L15" s="264">
        <f>IF(InpOverride!L15="",F_Inputs!L15,InpOverride!L15)</f>
        <v>392.67413944239797</v>
      </c>
      <c r="M15" s="264">
        <f>IF(InpOverride!M15="",F_Inputs!M15,InpOverride!M15)</f>
        <v>367.66430017533702</v>
      </c>
      <c r="N15" s="264">
        <f>IF(InpOverride!N15="",F_Inputs!N15,InpOverride!N15)</f>
        <v>335.19009551248502</v>
      </c>
      <c r="O15" s="217"/>
      <c r="P15" s="217"/>
    </row>
    <row r="16" spans="1:16">
      <c r="A16" t="str">
        <f>F_Inputs!A16</f>
        <v>SRN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128.613</v>
      </c>
      <c r="K16" s="264">
        <f>IF(InpOverride!K16="",F_Inputs!K16,InpOverride!K16)</f>
        <v>161.28100000000001</v>
      </c>
      <c r="L16" s="264">
        <f>IF(InpOverride!L16="",F_Inputs!L16,InpOverride!L16)</f>
        <v>227.072</v>
      </c>
      <c r="M16" s="264">
        <f>IF(InpOverride!M16="",F_Inputs!M16,InpOverride!M16)</f>
        <v>223.423</v>
      </c>
      <c r="N16" s="264">
        <f>IF(InpOverride!N16="",F_Inputs!N16,InpOverride!N16)</f>
        <v>221.333</v>
      </c>
      <c r="O16" s="217"/>
      <c r="P16" s="217"/>
    </row>
    <row r="17" spans="1:16">
      <c r="A17" t="str">
        <f>F_Inputs!A17</f>
        <v>SRN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325.06099999999901</v>
      </c>
      <c r="K17" s="264">
        <f>IF(InpOverride!K17="",F_Inputs!K17,InpOverride!K17)</f>
        <v>354.71899999999897</v>
      </c>
      <c r="L17" s="264">
        <f>IF(InpOverride!L17="",F_Inputs!L17,InpOverride!L17)</f>
        <v>401.04300000000001</v>
      </c>
      <c r="M17" s="264">
        <f>IF(InpOverride!M17="",F_Inputs!M17,InpOverride!M17)</f>
        <v>468.33</v>
      </c>
      <c r="N17" s="264">
        <f>IF(InpOverride!N17="",F_Inputs!N17,InpOverride!N17)</f>
        <v>467.839</v>
      </c>
      <c r="O17" s="217"/>
      <c r="P17" s="217"/>
    </row>
    <row r="18" spans="1:16">
      <c r="A18" t="str">
        <f>F_Inputs!A18</f>
        <v>SRN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2.165</v>
      </c>
      <c r="K18" s="264">
        <f>IF(InpOverride!K18="",F_Inputs!K18,InpOverride!K18)</f>
        <v>2.2050000000000001</v>
      </c>
      <c r="L18" s="264">
        <f>IF(InpOverride!L18="",F_Inputs!L18,InpOverride!L18)</f>
        <v>3.125</v>
      </c>
      <c r="M18" s="264">
        <f>IF(InpOverride!M18="",F_Inputs!M18,InpOverride!M18)</f>
        <v>3.0659999999999998</v>
      </c>
      <c r="N18" s="264">
        <f>IF(InpOverride!N18="",F_Inputs!N18,InpOverride!N18)</f>
        <v>2.7639999999999998</v>
      </c>
      <c r="O18" s="217"/>
      <c r="P18" s="217"/>
    </row>
    <row r="19" spans="1:16">
      <c r="A19" t="str">
        <f>F_Inputs!A19</f>
        <v>SRN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3.702</v>
      </c>
      <c r="L19" s="264">
        <f>IF(InpOverride!L19="",F_Inputs!L19,InpOverride!L19)</f>
        <v>1.3859999999999999</v>
      </c>
      <c r="M19" s="264">
        <f>IF(InpOverride!M19="",F_Inputs!M19,InpOverride!M19)</f>
        <v>1.615</v>
      </c>
      <c r="N19" s="264">
        <f>IF(InpOverride!N19="",F_Inputs!N19,InpOverride!N19)</f>
        <v>0.17799999999999999</v>
      </c>
      <c r="O19" s="217"/>
      <c r="P19" s="217"/>
    </row>
    <row r="20" spans="1:16">
      <c r="A20" t="str">
        <f>F_Inputs!A20</f>
        <v>SRN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8.8759999999999994</v>
      </c>
      <c r="K20" s="264">
        <f>IF(InpOverride!K20="",F_Inputs!K20,InpOverride!K20)</f>
        <v>0</v>
      </c>
      <c r="L20" s="264">
        <f>IF(InpOverride!L20="",F_Inputs!L20,InpOverride!L20)</f>
        <v>0.53700000000000003</v>
      </c>
      <c r="M20" s="264">
        <f>IF(InpOverride!M20="",F_Inputs!M20,InpOverride!M20)</f>
        <v>4.8440000000000003</v>
      </c>
      <c r="N20" s="264">
        <f>IF(InpOverride!N20="",F_Inputs!N20,InpOverride!N20)</f>
        <v>5.2510000000000003</v>
      </c>
      <c r="O20" s="217"/>
      <c r="P20" s="217"/>
    </row>
    <row r="21" spans="1:16">
      <c r="A21" t="str">
        <f>F_Inputs!A21</f>
        <v>SRN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SRN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SRN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1.448</v>
      </c>
      <c r="L23" s="264">
        <f>IF(InpOverride!L23="",F_Inputs!L23,InpOverride!L23)</f>
        <v>0.1</v>
      </c>
      <c r="M23" s="264">
        <f>IF(InpOverride!M23="",F_Inputs!M23,InpOverride!M23)</f>
        <v>1.5489999999999999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SRN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19.37</v>
      </c>
      <c r="K24" s="264">
        <f>IF(InpOverride!K24="",F_Inputs!K24,InpOverride!K24)</f>
        <v>0</v>
      </c>
      <c r="L24" s="264">
        <f>IF(InpOverride!L24="",F_Inputs!L24,InpOverride!L24)</f>
        <v>1.1719999999999999</v>
      </c>
      <c r="M24" s="264">
        <f>IF(InpOverride!M24="",F_Inputs!M24,InpOverride!M24)</f>
        <v>10.57</v>
      </c>
      <c r="N24" s="264">
        <f>IF(InpOverride!N24="",F_Inputs!N24,InpOverride!N24)</f>
        <v>11.457000000000001</v>
      </c>
      <c r="O24" s="217"/>
      <c r="P24" s="217"/>
    </row>
    <row r="25" spans="1:16">
      <c r="A25" t="str">
        <f>F_Inputs!A25</f>
        <v>SRN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SRN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1.498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SRN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14.255000000000001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SRN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0.53200000000000003</v>
      </c>
      <c r="K28" s="264">
        <f>IF(InpOverride!K28="",F_Inputs!K28,InpOverride!K28)</f>
        <v>0.46300000000000002</v>
      </c>
      <c r="L28" s="264">
        <f>IF(InpOverride!L28="",F_Inputs!L28,InpOverride!L28)</f>
        <v>0.47399999999999998</v>
      </c>
      <c r="M28" s="264">
        <f>IF(InpOverride!M28="",F_Inputs!M28,InpOverride!M28)</f>
        <v>0.53500000000000003</v>
      </c>
      <c r="N28" s="264">
        <f>IF(InpOverride!N28="",F_Inputs!N28,InpOverride!N28)</f>
        <v>0.55500000000000005</v>
      </c>
      <c r="O28" s="218"/>
      <c r="P28" s="218"/>
    </row>
    <row r="29" spans="1:16">
      <c r="A29" t="str">
        <f>F_Inputs!A29</f>
        <v>SRN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0.47499999999999998</v>
      </c>
      <c r="K29" s="264">
        <f>IF(InpOverride!K29="",F_Inputs!K29,InpOverride!K29)</f>
        <v>0.44299999999999801</v>
      </c>
      <c r="L29" s="264">
        <f>IF(InpOverride!L29="",F_Inputs!L29,InpOverride!L29)</f>
        <v>0.434</v>
      </c>
      <c r="M29" s="264">
        <f>IF(InpOverride!M29="",F_Inputs!M29,InpOverride!M29)</f>
        <v>0.433</v>
      </c>
      <c r="N29" s="264">
        <f>IF(InpOverride!N29="",F_Inputs!N29,InpOverride!N29)</f>
        <v>0.52300000000000002</v>
      </c>
      <c r="O29" s="218"/>
      <c r="P29" s="218"/>
    </row>
    <row r="30" spans="1:16">
      <c r="A30" t="str">
        <f>F_Inputs!A30</f>
        <v>SRN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0.55000000000000004</v>
      </c>
      <c r="M30" s="264">
        <f>IF(InpOverride!M30="",F_Inputs!M30,InpOverride!M30)</f>
        <v>0.11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SRN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2</v>
      </c>
      <c r="L31" s="264">
        <f>IF(InpOverride!L31="",F_Inputs!L31,InpOverride!L31)</f>
        <v>3.3089999999999975</v>
      </c>
      <c r="M31" s="264">
        <f>IF(InpOverride!M31="",F_Inputs!M31,InpOverride!M31)</f>
        <v>15.225</v>
      </c>
      <c r="N31" s="264">
        <f>IF(InpOverride!N31="",F_Inputs!N31,InpOverride!N31)</f>
        <v>4</v>
      </c>
      <c r="O31" s="217"/>
      <c r="P31" s="217"/>
    </row>
    <row r="32" spans="1:16">
      <c r="A32" t="str">
        <f>F_Inputs!A32</f>
        <v>SRN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SRN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SRN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</v>
      </c>
      <c r="O34" s="264">
        <f>IF(InpOverride!O34="",F_Inputs!O34,InpOverride!O34)</f>
        <v>296.60000000000002</v>
      </c>
      <c r="P34" s="220"/>
    </row>
    <row r="35" spans="1:16">
      <c r="A35" t="str">
        <f>F_Inputs!A35</f>
        <v>SRN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288.8</v>
      </c>
      <c r="O35" s="264">
        <f>IF(InpOverride!O35="",F_Inputs!O35,InpOverride!O35)</f>
        <v>297.39999999999998</v>
      </c>
      <c r="P35" s="220"/>
    </row>
    <row r="36" spans="1:16">
      <c r="A36" t="str">
        <f>F_Inputs!A36</f>
        <v>SRN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289.8</v>
      </c>
      <c r="O36" s="264">
        <f>IF(InpOverride!O36="",F_Inputs!O36,InpOverride!O36)</f>
        <v>298.39999999999998</v>
      </c>
      <c r="P36" s="220"/>
    </row>
    <row r="37" spans="1:16">
      <c r="A37" t="str">
        <f>F_Inputs!A37</f>
        <v>SRN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289.89999999999998</v>
      </c>
      <c r="O37" s="264">
        <f>IF(InpOverride!O37="",F_Inputs!O37,InpOverride!O37)</f>
        <v>298.5</v>
      </c>
      <c r="P37" s="220"/>
    </row>
    <row r="38" spans="1:16">
      <c r="A38" t="str">
        <f>F_Inputs!A38</f>
        <v>SRN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291.89999999999998</v>
      </c>
      <c r="O38" s="264">
        <f>IF(InpOverride!O38="",F_Inputs!O38,InpOverride!O38)</f>
        <v>300.60000000000002</v>
      </c>
      <c r="P38" s="220"/>
    </row>
    <row r="39" spans="1:16">
      <c r="A39" t="str">
        <f>F_Inputs!A39</f>
        <v>SRN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292.10000000000002</v>
      </c>
      <c r="O39" s="264">
        <f>IF(InpOverride!O39="",F_Inputs!O39,InpOverride!O39)</f>
        <v>300.89999999999998</v>
      </c>
      <c r="P39" s="220"/>
    </row>
    <row r="40" spans="1:16">
      <c r="A40" t="str">
        <f>F_Inputs!A40</f>
        <v>SRN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292.2</v>
      </c>
      <c r="O40" s="264">
        <f>IF(InpOverride!O40="",F_Inputs!O40,InpOverride!O40)</f>
        <v>300.89999999999998</v>
      </c>
      <c r="P40" s="220"/>
    </row>
    <row r="41" spans="1:16">
      <c r="A41" t="str">
        <f>F_Inputs!A41</f>
        <v>SRN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292.39999999999998</v>
      </c>
      <c r="O41" s="264">
        <f>IF(InpOverride!O41="",F_Inputs!O41,InpOverride!O41)</f>
        <v>301.2</v>
      </c>
      <c r="P41" s="220"/>
    </row>
    <row r="42" spans="1:16">
      <c r="A42" t="str">
        <f>F_Inputs!A42</f>
        <v>SRN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293.8</v>
      </c>
      <c r="O42" s="264">
        <f>IF(InpOverride!O42="",F_Inputs!O42,InpOverride!O42)</f>
        <v>302.60000000000002</v>
      </c>
      <c r="P42" s="220"/>
    </row>
    <row r="43" spans="1:16">
      <c r="A43" t="str">
        <f>F_Inputs!A43</f>
        <v>SRN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291.60000000000002</v>
      </c>
      <c r="O43" s="264">
        <f>IF(InpOverride!O43="",F_Inputs!O43,InpOverride!O43)</f>
        <v>300.3</v>
      </c>
      <c r="P43" s="220"/>
    </row>
    <row r="44" spans="1:16">
      <c r="A44" t="str">
        <f>F_Inputs!A44</f>
        <v>SRN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293.7</v>
      </c>
      <c r="O44" s="264">
        <f>IF(InpOverride!O44="",F_Inputs!O44,InpOverride!O44)</f>
        <v>302.5</v>
      </c>
      <c r="P44" s="220"/>
    </row>
    <row r="45" spans="1:16">
      <c r="A45" t="str">
        <f>F_Inputs!A45</f>
        <v>SRN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294.3</v>
      </c>
      <c r="O45" s="264">
        <f>IF(InpOverride!O45="",F_Inputs!O45,InpOverride!O45)</f>
        <v>303.10000000000002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M18" sqref="M18"/>
      <selection pane="topRight" activeCell="M18" sqref="M18"/>
      <selection pane="bottomLeft" activeCell="M18" sqref="M18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-3.5362945231494685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0.52923618024219365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-3.0070583429072748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27.746361978927634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-82.273207824637993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-54.526845845710355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[…]10/12/2019 12:10:38</v>
      </c>
      <c r="G10" s="259" t="str">
        <f ca="1">CONCATENATE("[…]", TEXT(NOW(),"dd/mm/yyy hh:mm:ss"))</f>
        <v>[…]10/12/2019 12:10:38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menu_SRN_FD</v>
      </c>
      <c r="G11" s="262" t="str">
        <f ca="1">MID(CELL("filename",F1),SEARCH("[",CELL("filename",F1))+1,SEARCH(".",CELL("filename",F1))-1-SEARCH("[",CELL("filename",F1)))</f>
        <v>Totex menu_SRN_FD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476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477</v>
      </c>
      <c r="C3" s="273" t="s">
        <v>478</v>
      </c>
      <c r="D3" s="273" t="s">
        <v>479</v>
      </c>
      <c r="E3" s="273" t="s">
        <v>480</v>
      </c>
      <c r="F3" s="273" t="s">
        <v>481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M18" sqref="M18"/>
      <selection pane="topRight" activeCell="M18" sqref="M18"/>
      <selection pane="bottomLeft" activeCell="M18" sqref="M18"/>
      <selection pane="bottomRight"/>
    </sheetView>
  </sheetViews>
  <sheetFormatPr defaultColWidth="0" defaultRowHeight="12.75" zeroHeight="1"/>
  <cols>
    <col min="1" max="3" width="3" style="30" customWidth="1"/>
    <col min="4" max="4" width="10" style="30" customWidth="1"/>
    <col min="5" max="5" width="45" style="39" customWidth="1"/>
    <col min="6" max="6" width="6" style="30" customWidth="1"/>
    <col min="7" max="7" width="10" style="30" customWidth="1"/>
    <col min="8" max="8" width="12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" style="30" customWidth="1"/>
    <col min="26" max="27" width="13" style="30" customWidth="1"/>
    <col min="28" max="16384" width="9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SRN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106.253638469002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102.026894758127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2.5370338146609299</v>
      </c>
      <c r="M26" s="35">
        <f>InpActive!K5</f>
        <v>2.5370338146609299</v>
      </c>
      <c r="N26" s="35">
        <f>InpActive!L5</f>
        <v>2.5370338146609299</v>
      </c>
      <c r="O26" s="35">
        <f>InpActive!M5</f>
        <v>2.5370338146609299</v>
      </c>
      <c r="P26" s="35">
        <f>InpActive!N5</f>
        <v>2.5370338146609299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5.53597397784623</v>
      </c>
      <c r="M27" s="35">
        <f>InpActive!K6</f>
        <v>5.53597397784623</v>
      </c>
      <c r="N27" s="35">
        <f>InpActive!L6</f>
        <v>5.53597397784623</v>
      </c>
      <c r="O27" s="35">
        <f>InpActive!M6</f>
        <v>5.53597397784623</v>
      </c>
      <c r="P27" s="35">
        <f>InpActive!N6</f>
        <v>5.53597397784623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106.253638469002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100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150.55223406202799</v>
      </c>
      <c r="M40" s="35">
        <f>InpActive!K14</f>
        <v>163.07311875423699</v>
      </c>
      <c r="N40" s="35">
        <f>InpActive!L14</f>
        <v>161.24456217346301</v>
      </c>
      <c r="O40" s="35">
        <f>InpActive!M14</f>
        <v>146.393157598991</v>
      </c>
      <c r="P40" s="35">
        <f>InpActive!N14</f>
        <v>122.21480876073799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365.42476210728699</v>
      </c>
      <c r="M41" s="35">
        <f>InpActive!K15</f>
        <v>400.89511908108199</v>
      </c>
      <c r="N41" s="35">
        <f>InpActive!L15</f>
        <v>392.67413944239797</v>
      </c>
      <c r="O41" s="35">
        <f>InpActive!M15</f>
        <v>367.66430017533702</v>
      </c>
      <c r="P41" s="35">
        <f>InpActive!N15</f>
        <v>335.19009551248502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155.576080359282</v>
      </c>
      <c r="M46" s="35">
        <f>InpActive!K12</f>
        <v>168.19891107619699</v>
      </c>
      <c r="N46" s="35">
        <f>InpActive!L12</f>
        <v>166.313253513896</v>
      </c>
      <c r="O46" s="35">
        <f>InpActive!M12</f>
        <v>151.20293061123101</v>
      </c>
      <c r="P46" s="35">
        <f>InpActive!N12</f>
        <v>126.62106801828899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367.47961058352502</v>
      </c>
      <c r="M47" s="35">
        <f>InpActive!K13</f>
        <v>402.926549619642</v>
      </c>
      <c r="N47" s="35">
        <f>InpActive!L13</f>
        <v>394.66391232961797</v>
      </c>
      <c r="O47" s="35">
        <f>InpActive!M13</f>
        <v>369.52734228227598</v>
      </c>
      <c r="P47" s="35">
        <f>InpActive!N13</f>
        <v>336.888583131411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128.613</v>
      </c>
      <c r="M52" s="35">
        <f>InpActive!K16</f>
        <v>161.28100000000001</v>
      </c>
      <c r="N52" s="35">
        <f>InpActive!L16</f>
        <v>227.072</v>
      </c>
      <c r="O52" s="35">
        <f>InpActive!M16</f>
        <v>223.423</v>
      </c>
      <c r="P52" s="35">
        <f>InpActive!N16</f>
        <v>221.333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325.06099999999901</v>
      </c>
      <c r="M53" s="35">
        <f>InpActive!K17</f>
        <v>354.71899999999897</v>
      </c>
      <c r="N53" s="35">
        <f>InpActive!L17</f>
        <v>401.04300000000001</v>
      </c>
      <c r="O53" s="35">
        <f>InpActive!M17</f>
        <v>468.33</v>
      </c>
      <c r="P53" s="35">
        <f>InpActive!N17</f>
        <v>467.839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2.165</v>
      </c>
      <c r="M60" s="35">
        <f>InpActive!K18</f>
        <v>2.2050000000000001</v>
      </c>
      <c r="N60" s="35">
        <f>InpActive!L18</f>
        <v>3.125</v>
      </c>
      <c r="O60" s="35">
        <f>InpActive!M18</f>
        <v>3.0659999999999998</v>
      </c>
      <c r="P60" s="35">
        <f>InpActive!N18</f>
        <v>2.7639999999999998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3.702</v>
      </c>
      <c r="N61" s="35">
        <f>InpActive!L19</f>
        <v>1.3859999999999999</v>
      </c>
      <c r="O61" s="35">
        <f>InpActive!M19</f>
        <v>1.615</v>
      </c>
      <c r="P61" s="35">
        <f>InpActive!N19</f>
        <v>0.17799999999999999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8.8759999999999994</v>
      </c>
      <c r="M62" s="35">
        <f>InpActive!K20</f>
        <v>0</v>
      </c>
      <c r="N62" s="35">
        <f>InpActive!L20</f>
        <v>0.53700000000000003</v>
      </c>
      <c r="O62" s="35">
        <f>InpActive!M20</f>
        <v>4.8440000000000003</v>
      </c>
      <c r="P62" s="35">
        <f>InpActive!N20</f>
        <v>5.2510000000000003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0.55000000000000004</v>
      </c>
      <c r="O64" s="221">
        <f>InpActive!M30</f>
        <v>0.11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1.448</v>
      </c>
      <c r="N67" s="35">
        <f>InpActive!L23</f>
        <v>0.1</v>
      </c>
      <c r="O67" s="35">
        <f>InpActive!M23</f>
        <v>1.5489999999999999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19.37</v>
      </c>
      <c r="M68" s="35">
        <f>InpActive!K24</f>
        <v>0</v>
      </c>
      <c r="N68" s="35">
        <f>InpActive!L24</f>
        <v>1.1719999999999999</v>
      </c>
      <c r="O68" s="35">
        <f>InpActive!M24</f>
        <v>10.57</v>
      </c>
      <c r="P68" s="35">
        <f>InpActive!N24</f>
        <v>11.457000000000001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2</v>
      </c>
      <c r="N70" s="221">
        <f>InpActive!L31</f>
        <v>3.3089999999999975</v>
      </c>
      <c r="O70" s="221">
        <f>InpActive!M31</f>
        <v>15.225</v>
      </c>
      <c r="P70" s="221">
        <f>InpActive!N31</f>
        <v>4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1.498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14.255000000000001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0.53200000000000003</v>
      </c>
      <c r="M125" s="173">
        <f>InpActive!K28</f>
        <v>0.46300000000000002</v>
      </c>
      <c r="N125" s="173">
        <f>InpActive!L28</f>
        <v>0.47399999999999998</v>
      </c>
      <c r="O125" s="173">
        <f>InpActive!M28</f>
        <v>0.53500000000000003</v>
      </c>
      <c r="P125" s="173">
        <f>InpActive!N28</f>
        <v>0.55500000000000005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0.47499999999999998</v>
      </c>
      <c r="M126" s="173">
        <f>InpActive!K29</f>
        <v>0.44299999999999801</v>
      </c>
      <c r="N126" s="173">
        <f>InpActive!L29</f>
        <v>0.434</v>
      </c>
      <c r="O126" s="173">
        <f>InpActive!M29</f>
        <v>0.433</v>
      </c>
      <c r="P126" s="173">
        <f>InpActive!N29</f>
        <v>0.52300000000000002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0.48749272306199598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1.015634096172505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M18" sqref="M18"/>
      <selection pane="topRight" activeCell="M18" sqref="M18"/>
      <selection pane="bottomLeft" activeCell="M18" sqref="M18"/>
      <selection pane="bottomRight"/>
    </sheetView>
  </sheetViews>
  <sheetFormatPr defaultColWidth="0" defaultRowHeight="12.75" zeroHeight="1"/>
  <cols>
    <col min="1" max="3" width="2.5703125" style="3" customWidth="1"/>
    <col min="4" max="4" width="9.28515625" style="3" bestFit="1" customWidth="1"/>
    <col min="5" max="5" width="49.7109375" style="87" customWidth="1"/>
    <col min="6" max="6" width="20.28515625" style="87" customWidth="1"/>
    <col min="7" max="7" width="14.5703125" style="87" customWidth="1"/>
    <col min="8" max="8" width="14.28515625" style="3" customWidth="1"/>
    <col min="9" max="9" width="11.28515625" style="3" customWidth="1"/>
    <col min="10" max="10" width="11.5703125" style="3" customWidth="1"/>
    <col min="11" max="17" width="11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" style="3" bestFit="1" customWidth="1"/>
    <col min="24" max="24" width="3.5703125" style="70" customWidth="1"/>
    <col min="25" max="25" width="13.5703125" style="3" customWidth="1"/>
    <col min="26" max="38" width="9" style="3" customWidth="1"/>
    <col min="39" max="39" width="10" style="3" customWidth="1"/>
    <col min="40" max="16384" width="9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121.2966174033149</v>
      </c>
      <c r="M14" s="50">
        <f>Actual.Totex.Water/Indexation.Average</f>
        <v>148.91573448850588</v>
      </c>
      <c r="N14" s="50">
        <f>Actual.Totex.Water/Indexation.Average</f>
        <v>202.09951777865345</v>
      </c>
      <c r="O14" s="50">
        <f>Actual.Totex.Water/Indexation.Average</f>
        <v>192.95592855251931</v>
      </c>
      <c r="P14" s="50">
        <f>Actual.Totex.Water/Indexation.Average</f>
        <v>185.75270010004286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306.56931841834671</v>
      </c>
      <c r="M15" s="50">
        <f>Actual.Totex.Sewerage/Indexation.Average</f>
        <v>327.52302144721426</v>
      </c>
      <c r="N15" s="50">
        <f>Actual.Totex.Sewerage/Indexation.Average</f>
        <v>356.9378739276728</v>
      </c>
      <c r="O15" s="50">
        <f>Actual.Totex.Sewerage/Indexation.Average</f>
        <v>404.46619201694261</v>
      </c>
      <c r="P15" s="50">
        <f>Actual.Totex.Sewerage/Indexation.Average</f>
        <v>392.63172442475343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10.412912790697673</v>
      </c>
      <c r="M18" s="50">
        <f>SUM(INDEX(Actual.Exclusions.Water,,M6))/Indexation.Average</f>
        <v>5.4541157583571795</v>
      </c>
      <c r="N18" s="50">
        <f>SUM(INDEX(Actual.Exclusions.Water,,N6))/Indexation.Average</f>
        <v>4.982354057413076</v>
      </c>
      <c r="O18" s="50">
        <f>SUM(INDEX(Actual.Exclusions.Water,,O6))/Indexation.Average</f>
        <v>8.3211234814836583</v>
      </c>
      <c r="P18" s="50">
        <f>SUM(INDEX(Actual.Exclusions.Water,,P6))/Indexation.Average</f>
        <v>6.8759374874946397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18.268102595400229</v>
      </c>
      <c r="M19" s="212">
        <f>SUM(Inputs!M66:M72)/Indexation.Average</f>
        <v>3.1836450202836559</v>
      </c>
      <c r="N19" s="212">
        <f>SUM(Inputs!N66:N72)/Indexation.Average</f>
        <v>4.0771997029312779</v>
      </c>
      <c r="O19" s="212">
        <f>SUM(Inputs!O66:O72)/Indexation.Average</f>
        <v>23.615236167897166</v>
      </c>
      <c r="P19" s="212">
        <f>SUM(Inputs!P66:P72)/Indexation.Average</f>
        <v>12.972216006860082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1.498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14.255000000000001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112.38170461261723</v>
      </c>
      <c r="M30" s="212">
        <f t="shared" ref="M30:P30" si="2">M14-M18+M22</f>
        <v>143.4616187301487</v>
      </c>
      <c r="N30" s="212">
        <f t="shared" si="2"/>
        <v>197.11716372124039</v>
      </c>
      <c r="O30" s="212">
        <f t="shared" si="2"/>
        <v>184.63480507103566</v>
      </c>
      <c r="P30" s="212">
        <f t="shared" si="2"/>
        <v>178.87676261254822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302.55621582294646</v>
      </c>
      <c r="M31" s="212">
        <f t="shared" ref="M31:P31" si="3">M15-M19+M23</f>
        <v>324.33937642693058</v>
      </c>
      <c r="N31" s="212">
        <f t="shared" si="3"/>
        <v>352.8606742247415</v>
      </c>
      <c r="O31" s="212">
        <f t="shared" si="3"/>
        <v>380.85095584904548</v>
      </c>
      <c r="P31" s="212">
        <f t="shared" si="3"/>
        <v>379.65950841789333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414.93792043556368</v>
      </c>
      <c r="M32" s="77">
        <f>SUM(M30:M31)</f>
        <v>467.80099515707929</v>
      </c>
      <c r="N32" s="77">
        <f t="shared" ref="N32:P32" si="4">SUM(N30:N31)</f>
        <v>549.97783794598195</v>
      </c>
      <c r="O32" s="77">
        <f t="shared" si="4"/>
        <v>565.48576092008113</v>
      </c>
      <c r="P32" s="77">
        <f t="shared" si="4"/>
        <v>558.53627103044153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0.48749272306199598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101.5634096172505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-0.80125880567574015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0.49594621048374599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100.50672368953175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-0.25541599594613551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0.48749272306199598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101.5634096172505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-0.80125880567574015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0.49999999999999994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100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0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1.0981793476702284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109.81793476702283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-4.8252797485219858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-4.8252797485219857E-2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0.93469839729625581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93.469839729625576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3.2650801351872114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3.2650801351872115E-2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-35.874887643495668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60.790842788515938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-1.2063130325635505</v>
      </c>
      <c r="M97" s="147">
        <f>FD.AddInc.Coeff.Water/100*Baseline.Totex.Water</f>
        <v>-1.3066377237083808</v>
      </c>
      <c r="N97" s="147">
        <f>FD.AddInc.Coeff.Water/100*Baseline.Totex.Water</f>
        <v>-1.2919862530881661</v>
      </c>
      <c r="O97" s="147">
        <f>FD.AddInc.Coeff.Water/100*Baseline.Totex.Water</f>
        <v>-1.1729880661686793</v>
      </c>
      <c r="P97" s="147">
        <f>FD.AddInc.Coeff.Water/100*Baseline.Totex.Water</f>
        <v>-0.97925691703517914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-0.93335329557012359</v>
      </c>
      <c r="M98" s="147">
        <f>FD.AddInc.Coeff.Sewerage/100*Baseline.Totex.Sewerage</f>
        <v>-1.0239502611003917</v>
      </c>
      <c r="N98" s="147">
        <f>FD.AddInc.Coeff.Sewerage/100*Baseline.Totex.Sewerage</f>
        <v>-1.0029525640797177</v>
      </c>
      <c r="O98" s="147">
        <f>FD.AddInc.Coeff.Sewerage/100*Baseline.Totex.Sewerage</f>
        <v>-0.93907343403122634</v>
      </c>
      <c r="P98" s="147">
        <f>FD.AddInc.Coeff.Sewerage/100*Baseline.Totex.Sewerage</f>
        <v>-0.85612912076601655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-29.917705650931712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65.546301464063419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-6.0582534285789054</v>
      </c>
      <c r="M105" s="147">
        <f>IF(SUM(Baseline.Totex.Water)=0,0,$G101*(Baseline.Totex.Water/SUM(Baseline.Totex.Water)))</f>
        <v>-6.5620964508230255</v>
      </c>
      <c r="N105" s="147">
        <f>IF(SUM(Baseline.Totex.Water)=0,0,$G101*(Baseline.Totex.Water/SUM(Baseline.Totex.Water)))</f>
        <v>-6.4885149510608873</v>
      </c>
      <c r="O105" s="147">
        <f>IF(SUM(Baseline.Totex.Water)=0,0,$G101*(Baseline.Totex.Water/SUM(Baseline.Totex.Water)))</f>
        <v>-5.8908913206773077</v>
      </c>
      <c r="P105" s="147">
        <f>IF(SUM(Baseline.Totex.Water)=0,0,$G101*(Baseline.Totex.Water/SUM(Baseline.Totex.Water)))</f>
        <v>-4.9179494997915851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12.864764612190276</v>
      </c>
      <c r="M106" s="147">
        <f>IF(SUM(Baseline.Totex.Sewerage)=0,0,$G102*(Baseline.Totex.Sewerage/SUM(Baseline.Totex.Sewerage)))</f>
        <v>14.113497157151915</v>
      </c>
      <c r="N106" s="147">
        <f>IF(SUM(Baseline.Totex.Sewerage)=0,0,$G102*(Baseline.Totex.Sewerage/SUM(Baseline.Totex.Sewerage)))</f>
        <v>13.824077887030784</v>
      </c>
      <c r="O106" s="147">
        <f>IF(SUM(Baseline.Totex.Sewerage)=0,0,$G102*(Baseline.Totex.Sewerage/SUM(Baseline.Totex.Sewerage)))</f>
        <v>12.943607463231235</v>
      </c>
      <c r="P106" s="147">
        <f>IF(SUM(Baseline.Totex.Sewerage)=0,0,$G102*(Baseline.Totex.Sewerage/SUM(Baseline.Totex.Sewerage)))</f>
        <v>11.800354344459207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-6.9788916919821435</v>
      </c>
      <c r="M109" s="147">
        <f>M105*(1+WACC)^Calcs!M7</f>
        <v>-7.2966224596847225</v>
      </c>
      <c r="N109" s="147">
        <f>N105*(1+WACC)^Calcs!N7</f>
        <v>-6.9640971429138459</v>
      </c>
      <c r="O109" s="147">
        <f>O105*(1+WACC)^Calcs!O7</f>
        <v>-6.102963408221691</v>
      </c>
      <c r="P109" s="147">
        <f>P105*(1+WACC)^Calcs!P7</f>
        <v>-4.9179494997915851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14.819749607665534</v>
      </c>
      <c r="M110" s="147">
        <f>M106*(1+WACC)^Calcs!M7</f>
        <v>15.693286606394693</v>
      </c>
      <c r="N110" s="147">
        <f>N106*(1+WACC)^Calcs!N7</f>
        <v>14.837327499838592</v>
      </c>
      <c r="O110" s="147">
        <f>O106*(1+WACC)^Calcs!O7</f>
        <v>13.40957733190756</v>
      </c>
      <c r="P110" s="147">
        <f>P106*(1+WACC)^Calcs!P7</f>
        <v>11.800354344459207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-32.260524202593984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70.560295390265594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152.90598216833922</v>
      </c>
      <c r="M136" s="147">
        <f>Baseline.Totex.Water*(FD.AllExp.Coeff.Water/100)</f>
        <v>165.62261957599105</v>
      </c>
      <c r="N136" s="147">
        <f>Baseline.Totex.Water*(FD.AllExp.Coeff.Water/100)</f>
        <v>163.76547516577639</v>
      </c>
      <c r="O136" s="147">
        <f>Baseline.Totex.Water*(FD.AllExp.Coeff.Water/100)</f>
        <v>148.68188230389029</v>
      </c>
      <c r="P136" s="147">
        <f>Baseline.Totex.Water*(FD.AllExp.Coeff.Water/100)</f>
        <v>124.12552683460768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367.27645594429964</v>
      </c>
      <c r="M137" s="147">
        <f>Baseline.Totex.Sewerage*(FD.AllExp.Coeff.Sewerage/100)</f>
        <v>402.92654961964234</v>
      </c>
      <c r="N137" s="147">
        <f>Baseline.Totex.Sewerage*(FD.AllExp.Coeff.Sewerage/100)</f>
        <v>394.66391232961757</v>
      </c>
      <c r="O137" s="147">
        <f>Baseline.Totex.Sewerage*(FD.AllExp.Coeff.Sewerage/100)</f>
        <v>369.52734228227661</v>
      </c>
      <c r="P137" s="147">
        <f>Baseline.Totex.Sewerage*(FD.AllExp.Coeff.Sewerage/100)</f>
        <v>336.88858313141088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155.576080359282</v>
      </c>
      <c r="M140" s="147">
        <f>Inputs!M46</f>
        <v>168.19891107619699</v>
      </c>
      <c r="N140" s="147">
        <f>Inputs!N46</f>
        <v>166.313253513896</v>
      </c>
      <c r="O140" s="147">
        <f>Inputs!O46</f>
        <v>151.20293061123101</v>
      </c>
      <c r="P140" s="147">
        <f>Inputs!P46</f>
        <v>126.62106801828899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367.47961058352502</v>
      </c>
      <c r="M141" s="147">
        <f>Inputs!M47</f>
        <v>402.926549619642</v>
      </c>
      <c r="N141" s="147">
        <f>Inputs!N47</f>
        <v>394.66391232961797</v>
      </c>
      <c r="O141" s="147">
        <f>Inputs!O47</f>
        <v>369.52734228227598</v>
      </c>
      <c r="P141" s="147">
        <f>Inputs!P47</f>
        <v>336.888583131411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2.670098190942781</v>
      </c>
      <c r="M144" s="147">
        <f t="shared" ref="M144:P144" si="5">M140-M136</f>
        <v>2.5762915002059401</v>
      </c>
      <c r="N144" s="147">
        <f t="shared" si="5"/>
        <v>2.547778348119607</v>
      </c>
      <c r="O144" s="147">
        <f t="shared" si="5"/>
        <v>2.5210483073407204</v>
      </c>
      <c r="P144" s="147">
        <f t="shared" si="5"/>
        <v>2.4955411836813113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0.20315463922537447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-6.2527760746888816E-13</v>
      </c>
      <c r="P145" s="147">
        <f t="shared" si="6"/>
        <v>0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152.90598216833922</v>
      </c>
      <c r="M148" s="147">
        <f>Baseline.Totex.Water*(AllExp.Coeff.Water/100)</f>
        <v>165.62261957599105</v>
      </c>
      <c r="N148" s="147">
        <f>Baseline.Totex.Water*(AllExp.Coeff.Water/100)</f>
        <v>163.76547516577639</v>
      </c>
      <c r="O148" s="147">
        <f>Baseline.Totex.Water*(AllExp.Coeff.Water/100)</f>
        <v>148.68188230389029</v>
      </c>
      <c r="P148" s="147">
        <f>Baseline.Totex.Water*(AllExp.Coeff.Water/100)</f>
        <v>124.12552683460768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365.42476210728699</v>
      </c>
      <c r="M149" s="147">
        <f>Baseline.Totex.Sewerage*(AllExp.Coeff.Sewerage/100)</f>
        <v>400.89511908108199</v>
      </c>
      <c r="N149" s="147">
        <f>Baseline.Totex.Sewerage*(AllExp.Coeff.Sewerage/100)</f>
        <v>392.67413944239797</v>
      </c>
      <c r="O149" s="147">
        <f>Baseline.Totex.Sewerage*(AllExp.Coeff.Sewerage/100)</f>
        <v>367.66430017533702</v>
      </c>
      <c r="P149" s="147">
        <f>Baseline.Totex.Sewerage*(AllExp.Coeff.Sewerage/100)</f>
        <v>335.19009551248502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155.576080359282</v>
      </c>
      <c r="M152" s="147">
        <f t="shared" ref="M152:P152" si="7">M148+M144</f>
        <v>168.19891107619699</v>
      </c>
      <c r="N152" s="147">
        <f t="shared" si="7"/>
        <v>166.313253513896</v>
      </c>
      <c r="O152" s="147">
        <f t="shared" si="7"/>
        <v>151.20293061123101</v>
      </c>
      <c r="P152" s="147">
        <f t="shared" si="7"/>
        <v>126.62106801828899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365.62791674651237</v>
      </c>
      <c r="M153" s="147">
        <f t="shared" ref="M153:P153" si="8">M149+M145</f>
        <v>400.89511908108199</v>
      </c>
      <c r="N153" s="147">
        <f t="shared" si="8"/>
        <v>392.67413944239797</v>
      </c>
      <c r="O153" s="147">
        <f t="shared" si="8"/>
        <v>367.66430017533639</v>
      </c>
      <c r="P153" s="147">
        <f t="shared" si="8"/>
        <v>335.19009551248502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-1.8516938370126468</v>
      </c>
      <c r="M157" s="147">
        <f t="shared" si="9"/>
        <v>-2.0314305385603575</v>
      </c>
      <c r="N157" s="147">
        <f t="shared" si="9"/>
        <v>-1.9897728872196012</v>
      </c>
      <c r="O157" s="147">
        <f t="shared" si="9"/>
        <v>-1.8630421069395879</v>
      </c>
      <c r="P157" s="147">
        <f t="shared" si="9"/>
        <v>-1.6984876189258671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-40.524277555721994</v>
      </c>
      <c r="M162" s="209">
        <f>(Actual.Totex.Water-SUM(Inputs!M60:M64))/Indexation.Average-M148</f>
        <v>-22.161000845842352</v>
      </c>
      <c r="N162" s="209">
        <f>(Actual.Totex.Water-SUM(Inputs!N60:N64))/Indexation.Average-N148</f>
        <v>33.351688555463966</v>
      </c>
      <c r="O162" s="209">
        <f>(Actual.Totex.Water-SUM(Inputs!O60:O64))/Indexation.Average-O148</f>
        <v>35.952922767145367</v>
      </c>
      <c r="P162" s="209">
        <f>(Actual.Totex.Water-SUM(Inputs!P60:P64))/Indexation.Average-P148</f>
        <v>54.751235777940508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-62.868546284340539</v>
      </c>
      <c r="M163" s="209">
        <f>(Actual.Totex.Sewerage-SUM(Inputs!M66:M72))/Indexation.Average-M149</f>
        <v>-76.555742654151345</v>
      </c>
      <c r="N163" s="209">
        <f>(Actual.Totex.Sewerage-SUM(Inputs!N66:N72))/Indexation.Average-N149</f>
        <v>-39.813465217656471</v>
      </c>
      <c r="O163" s="209">
        <f>(Actual.Totex.Sewerage-SUM(Inputs!O66:O72))/Indexation.Average-O149</f>
        <v>13.186655673708401</v>
      </c>
      <c r="P163" s="209">
        <f>(Actual.Totex.Sewerage-SUM(Inputs!P66:P72))/Indexation.Average-P149</f>
        <v>44.469412905408319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-40.524277555721994</v>
      </c>
      <c r="M166" s="147">
        <f t="shared" ref="L166:P167" si="10">M162+M156</f>
        <v>-22.161000845842352</v>
      </c>
      <c r="N166" s="147">
        <f t="shared" si="10"/>
        <v>33.351688555463966</v>
      </c>
      <c r="O166" s="147">
        <f t="shared" si="10"/>
        <v>35.952922767145367</v>
      </c>
      <c r="P166" s="147">
        <f t="shared" si="10"/>
        <v>54.751235777940508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-64.720240121353186</v>
      </c>
      <c r="M167" s="147">
        <f t="shared" si="10"/>
        <v>-78.587173192711703</v>
      </c>
      <c r="N167" s="147">
        <f t="shared" si="10"/>
        <v>-41.803238104876073</v>
      </c>
      <c r="O167" s="147">
        <f t="shared" si="10"/>
        <v>11.323613566768813</v>
      </c>
      <c r="P167" s="147">
        <f t="shared" si="10"/>
        <v>42.770925286482452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-46.682521174018788</v>
      </c>
      <c r="M170" s="147">
        <f>M166*(1+WACC)^Calcs!M7</f>
        <v>-24.641584852137427</v>
      </c>
      <c r="N170" s="147">
        <f>N166*(1+WACC)^Calcs!N7</f>
        <v>35.796233919825255</v>
      </c>
      <c r="O170" s="147">
        <f>O166*(1+WACC)^Calcs!O7</f>
        <v>37.247227986762603</v>
      </c>
      <c r="P170" s="147">
        <f>P166*(1+WACC)^Calcs!P7</f>
        <v>54.751235777940508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-74.555406341254937</v>
      </c>
      <c r="M171" s="147">
        <f>M167*(1+WACC)^Calcs!M7</f>
        <v>-87.383801390050309</v>
      </c>
      <c r="N171" s="147">
        <f>N167*(1+WACC)^Calcs!N7</f>
        <v>-44.867248245011069</v>
      </c>
      <c r="O171" s="147">
        <f>O167*(1+WACC)^Calcs!O7</f>
        <v>11.731263655172491</v>
      </c>
      <c r="P171" s="147">
        <f>P167*(1+WACC)^Calcs!P7</f>
        <v>42.770925286482452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56.47059165837215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-152.30426703466139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0.50865820307349219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0.45981022445080766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-3.5362945231494685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0.52923618024219365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27.746361978927634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-82.273207824637993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tabSelected="1" zoomScale="80" zoomScaleNormal="80" workbookViewId="0">
      <pane xSplit="8" ySplit="7" topLeftCell="I8" activePane="bottomRight" state="frozen"/>
      <selection activeCell="M18" sqref="M18"/>
      <selection pane="topRight" activeCell="M18" sqref="M18"/>
      <selection pane="bottomLeft" activeCell="M18" sqref="M18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28515625" style="7" customWidth="1"/>
    <col min="6" max="6" width="17.85546875" style="7" customWidth="1"/>
    <col min="7" max="7" width="11.5703125" style="7" customWidth="1"/>
    <col min="8" max="8" width="4" style="7" customWidth="1"/>
    <col min="9" max="21" width="13" style="7" customWidth="1"/>
    <col min="22" max="22" width="15.85546875" style="7" bestFit="1" customWidth="1"/>
    <col min="23" max="24" width="9" style="7" customWidth="1"/>
    <col min="25" max="16384" width="9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L11"/>
      <c r="M11"/>
      <c r="N11" s="269"/>
      <c r="P11" s="84">
        <f>Calcs!P197</f>
        <v>-3.5362945231494685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L12"/>
      <c r="M12"/>
      <c r="N12" s="269"/>
      <c r="P12" s="84">
        <f>Calcs!P198</f>
        <v>0.52923618024219365</v>
      </c>
    </row>
    <row r="13" spans="1:22" s="3" customFormat="1" ht="15">
      <c r="E13" s="87"/>
      <c r="F13" s="33"/>
      <c r="L13"/>
      <c r="M13"/>
      <c r="N13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M14" s="150"/>
      <c r="P14" s="150">
        <f>SUM(P11:P12)</f>
        <v>-3.0070583429072748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L18"/>
      <c r="M18"/>
      <c r="N18" s="269"/>
      <c r="P18" s="84">
        <f>Calcs!P202</f>
        <v>27.746361978927634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L19"/>
      <c r="M19"/>
      <c r="N19" s="269"/>
      <c r="P19" s="84">
        <f>Calcs!P203</f>
        <v>-82.273207824637993</v>
      </c>
    </row>
    <row r="20" spans="1:22" customFormat="1" ht="15">
      <c r="G20" s="7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M21" s="150"/>
      <c r="P21" s="150">
        <f>SUM(P18:P19)</f>
        <v>-54.526845845710355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M18" sqref="M18"/>
      <selection pane="topRight" activeCell="M18" sqref="M18"/>
      <selection pane="bottomLeft" activeCell="M18" sqref="M18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</v>
      </c>
      <c r="Q11" s="122">
        <f>InpActive!O34</f>
        <v>296.60000000000002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288.8</v>
      </c>
      <c r="Q12" s="122">
        <f>InpActive!O35</f>
        <v>297.39999999999998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289.8</v>
      </c>
      <c r="Q13" s="122">
        <f>InpActive!O36</f>
        <v>298.39999999999998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289.89999999999998</v>
      </c>
      <c r="Q14" s="122">
        <f>InpActive!O37</f>
        <v>298.5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291.89999999999998</v>
      </c>
      <c r="Q15" s="122">
        <f>InpActive!O38</f>
        <v>300.60000000000002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292.10000000000002</v>
      </c>
      <c r="Q16" s="122">
        <f>InpActive!O39</f>
        <v>300.89999999999998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292.2</v>
      </c>
      <c r="Q17" s="122">
        <f>InpActive!O40</f>
        <v>300.89999999999998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292.39999999999998</v>
      </c>
      <c r="Q18" s="122">
        <f>InpActive!O41</f>
        <v>301.2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293.8</v>
      </c>
      <c r="Q19" s="122">
        <f>InpActive!O42</f>
        <v>302.60000000000002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291.60000000000002</v>
      </c>
      <c r="Q20" s="122">
        <f>InpActive!O43</f>
        <v>300.3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293.7</v>
      </c>
      <c r="Q21" s="122">
        <f>InpActive!O44</f>
        <v>302.5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294.3</v>
      </c>
      <c r="Q22" s="122">
        <f>InpActive!O45</f>
        <v>303.10000000000002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</v>
      </c>
      <c r="Q29" s="127">
        <f t="shared" si="2"/>
        <v>296.60000000000002</v>
      </c>
      <c r="R29" s="127">
        <f t="shared" si="2"/>
        <v>296.60000000000002</v>
      </c>
      <c r="S29" s="127">
        <f t="shared" si="2"/>
        <v>296.60000000000002</v>
      </c>
      <c r="T29" s="127">
        <f t="shared" si="2"/>
        <v>296.60000000000002</v>
      </c>
      <c r="U29" s="127">
        <f t="shared" si="2"/>
        <v>296.60000000000002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288.8</v>
      </c>
      <c r="Q30" s="127">
        <f t="shared" si="3"/>
        <v>297.39999999999998</v>
      </c>
      <c r="R30" s="127">
        <f t="shared" si="3"/>
        <v>297.39999999999998</v>
      </c>
      <c r="S30" s="127">
        <f t="shared" si="3"/>
        <v>297.39999999999998</v>
      </c>
      <c r="T30" s="127">
        <f t="shared" si="3"/>
        <v>297.39999999999998</v>
      </c>
      <c r="U30" s="127">
        <f t="shared" si="3"/>
        <v>297.39999999999998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289.8</v>
      </c>
      <c r="Q31" s="127">
        <f t="shared" si="3"/>
        <v>298.39999999999998</v>
      </c>
      <c r="R31" s="127">
        <f t="shared" si="3"/>
        <v>298.39999999999998</v>
      </c>
      <c r="S31" s="127">
        <f t="shared" si="3"/>
        <v>298.39999999999998</v>
      </c>
      <c r="T31" s="127">
        <f t="shared" si="3"/>
        <v>298.39999999999998</v>
      </c>
      <c r="U31" s="127">
        <f t="shared" si="3"/>
        <v>298.39999999999998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289.89999999999998</v>
      </c>
      <c r="Q32" s="127">
        <f t="shared" si="3"/>
        <v>298.5</v>
      </c>
      <c r="R32" s="127">
        <f t="shared" si="3"/>
        <v>298.5</v>
      </c>
      <c r="S32" s="127">
        <f t="shared" si="3"/>
        <v>298.5</v>
      </c>
      <c r="T32" s="127">
        <f t="shared" si="3"/>
        <v>298.5</v>
      </c>
      <c r="U32" s="127">
        <f t="shared" si="3"/>
        <v>298.5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291.89999999999998</v>
      </c>
      <c r="Q33" s="127">
        <f t="shared" si="3"/>
        <v>300.60000000000002</v>
      </c>
      <c r="R33" s="127">
        <f t="shared" si="3"/>
        <v>300.60000000000002</v>
      </c>
      <c r="S33" s="127">
        <f t="shared" si="3"/>
        <v>300.60000000000002</v>
      </c>
      <c r="T33" s="127">
        <f t="shared" si="3"/>
        <v>300.60000000000002</v>
      </c>
      <c r="U33" s="127">
        <f t="shared" si="3"/>
        <v>300.60000000000002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292.10000000000002</v>
      </c>
      <c r="Q34" s="127">
        <f t="shared" si="3"/>
        <v>300.89999999999998</v>
      </c>
      <c r="R34" s="127">
        <f t="shared" si="3"/>
        <v>300.89999999999998</v>
      </c>
      <c r="S34" s="127">
        <f t="shared" si="3"/>
        <v>300.89999999999998</v>
      </c>
      <c r="T34" s="127">
        <f t="shared" si="3"/>
        <v>300.89999999999998</v>
      </c>
      <c r="U34" s="127">
        <f t="shared" si="3"/>
        <v>300.89999999999998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292.2</v>
      </c>
      <c r="Q35" s="127">
        <f t="shared" si="3"/>
        <v>300.89999999999998</v>
      </c>
      <c r="R35" s="127">
        <f t="shared" si="3"/>
        <v>300.89999999999998</v>
      </c>
      <c r="S35" s="127">
        <f t="shared" si="3"/>
        <v>300.89999999999998</v>
      </c>
      <c r="T35" s="127">
        <f t="shared" si="3"/>
        <v>300.89999999999998</v>
      </c>
      <c r="U35" s="127">
        <f t="shared" si="3"/>
        <v>300.89999999999998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292.39999999999998</v>
      </c>
      <c r="Q36" s="127">
        <f t="shared" si="3"/>
        <v>301.2</v>
      </c>
      <c r="R36" s="127">
        <f t="shared" si="3"/>
        <v>301.2</v>
      </c>
      <c r="S36" s="127">
        <f t="shared" si="3"/>
        <v>301.2</v>
      </c>
      <c r="T36" s="127">
        <f t="shared" si="3"/>
        <v>301.2</v>
      </c>
      <c r="U36" s="127">
        <f t="shared" si="3"/>
        <v>301.2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293.8</v>
      </c>
      <c r="Q37" s="127">
        <f t="shared" si="3"/>
        <v>302.60000000000002</v>
      </c>
      <c r="R37" s="127">
        <f t="shared" si="3"/>
        <v>302.60000000000002</v>
      </c>
      <c r="S37" s="127">
        <f t="shared" si="3"/>
        <v>302.60000000000002</v>
      </c>
      <c r="T37" s="127">
        <f t="shared" si="3"/>
        <v>302.60000000000002</v>
      </c>
      <c r="U37" s="127">
        <f t="shared" si="3"/>
        <v>302.60000000000002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291.60000000000002</v>
      </c>
      <c r="Q38" s="127">
        <f t="shared" si="3"/>
        <v>300.3</v>
      </c>
      <c r="R38" s="127">
        <f t="shared" si="3"/>
        <v>300.3</v>
      </c>
      <c r="S38" s="127">
        <f t="shared" si="3"/>
        <v>300.3</v>
      </c>
      <c r="T38" s="127">
        <f t="shared" si="3"/>
        <v>300.3</v>
      </c>
      <c r="U38" s="127">
        <f t="shared" si="3"/>
        <v>300.3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293.7</v>
      </c>
      <c r="Q39" s="127">
        <f t="shared" si="3"/>
        <v>302.5</v>
      </c>
      <c r="R39" s="127">
        <f t="shared" si="3"/>
        <v>302.5</v>
      </c>
      <c r="S39" s="127">
        <f t="shared" si="3"/>
        <v>302.5</v>
      </c>
      <c r="T39" s="127">
        <f t="shared" si="3"/>
        <v>302.5</v>
      </c>
      <c r="U39" s="127">
        <f t="shared" si="3"/>
        <v>302.5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294.3</v>
      </c>
      <c r="Q40" s="127">
        <f t="shared" si="3"/>
        <v>303.10000000000002</v>
      </c>
      <c r="R40" s="127">
        <f t="shared" si="3"/>
        <v>303.10000000000002</v>
      </c>
      <c r="S40" s="127">
        <f t="shared" si="3"/>
        <v>303.10000000000002</v>
      </c>
      <c r="T40" s="127">
        <f t="shared" si="3"/>
        <v>303.10000000000002</v>
      </c>
      <c r="U40" s="127">
        <f t="shared" si="3"/>
        <v>303.10000000000002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291.54166666666669</v>
      </c>
      <c r="Q41" s="123">
        <f t="shared" si="4"/>
        <v>300.25</v>
      </c>
      <c r="R41" s="123">
        <f t="shared" si="4"/>
        <v>300.25</v>
      </c>
      <c r="S41" s="123">
        <f t="shared" si="4"/>
        <v>300.25</v>
      </c>
      <c r="T41" s="123">
        <f t="shared" si="4"/>
        <v>300.25</v>
      </c>
      <c r="U41" s="123">
        <f t="shared" si="4"/>
        <v>300.25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1.2259958071278825</v>
      </c>
      <c r="R45" s="179">
        <f t="shared" si="5"/>
        <v>1.2628930817610062</v>
      </c>
      <c r="S45" s="179">
        <f t="shared" si="5"/>
        <v>1.2628930817610062</v>
      </c>
      <c r="T45" s="179">
        <f t="shared" si="5"/>
        <v>1.2628930817610062</v>
      </c>
      <c r="U45" s="179">
        <f t="shared" si="5"/>
        <v>1.2628930817610062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1.1915466094479072</v>
      </c>
      <c r="Q49" s="179">
        <f t="shared" si="6"/>
        <v>1.2271380402574845</v>
      </c>
      <c r="R49" s="179">
        <f t="shared" si="6"/>
        <v>1.2271380402574845</v>
      </c>
      <c r="S49" s="179">
        <f t="shared" si="6"/>
        <v>1.2271380402574845</v>
      </c>
      <c r="T49" s="179">
        <f t="shared" si="6"/>
        <v>1.2271380402574845</v>
      </c>
      <c r="U49" s="179">
        <f t="shared" si="6"/>
        <v>1.2271380402574845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2.9061387769509173E-2</v>
      </c>
      <c r="Q51" s="133">
        <f t="shared" si="7"/>
        <v>2.9869944261826431E-2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2019-12-05T10:34:46Z</dcterms:created>
  <dcterms:modified xsi:type="dcterms:W3CDTF">2019-12-10T12:10:45Z</dcterms:modified>
  <cp:category/>
  <cp:contentStatus/>
</cp:coreProperties>
</file>