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 firstSheet="1" activeTab="7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<sst xmlns="http://schemas.openxmlformats.org/spreadsheetml/2006/main" count="1344" uniqueCount="478">
  <si>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</si>
  <si>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</si>
  <si>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</si>
  <si>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</si>
  <si>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</si>
  <si>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</si>
  <si>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</si>
  <si>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</si>
  <si>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</si>
  <si>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</si>
  <si>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</si>
  <si>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</si>
  <si>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</si>
  <si>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</si>
  <si>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</si>
  <si>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</si>
  <si>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</si>
  <si>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</si>
  <si>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</si>
  <si>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</si>
  <si>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</si>
  <si>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</si>
  <si>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</si>
  <si>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</si>
  <si>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</si>
  <si>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</si>
  <si>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</si>
  <si>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</si>
  <si>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</si>
  <si>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</si>
  <si>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</si>
  <si>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</si>
  <si>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</si>
  <si>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</si>
  <si>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</si>
  <si>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</si>
  <si>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</si>
  <si>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</si>
  <si>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</si>
  <si>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</si>
  <si>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</si>
  <si>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</si>
  <si>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</si>
  <si>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</si>
  <si>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</si>
  <si>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</si>
  <si>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</si>
  <si>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</si>
  <si>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</si>
  <si>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</si>
  <si>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</si>
  <si>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</si>
  <si>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</si>
  <si>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</si>
  <si>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</si>
  <si>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</si>
  <si>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</si>
  <si>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</si>
  <si>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</si>
  <si>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</si>
  <si>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</si>
  <si>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</si>
  <si>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</si>
  <si>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</si>
  <si>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</si>
  <si>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</si>
  <si>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</si>
  <si>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</si>
  <si>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</si>
  <si>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</si>
  <si>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</si>
  <si>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</si>
  <si>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</si>
  <si>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</si>
  <si>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</si>
  <si>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</si>
  <si>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</si>
  <si>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</si>
  <si>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</si>
  <si>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</si>
  <si>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</si>
  <si>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</si>
  <si>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</si>
  <si>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</si>
  <si>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</si>
  <si>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</si>
  <si>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</si>
  <si>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</si>
  <si>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</si>
  <si>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</si>
  <si>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</si>
  <si>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</si>
  <si>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</si>
  <si>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</si>
  <si>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</si>
  <si>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</si>
  <si>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</si>
  <si>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</si>
  <si>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</si>
  <si>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</si>
  <si>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</si>
  <si>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</si>
  <si>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</si>
  <si>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</si>
  <si>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</si>
  <si>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</si>
  <si>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</si>
  <si>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</si>
  <si>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</si>
  <si>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</si>
  <si>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</si>
  <si>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</si>
  <si>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</si>
  <si>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</si>
  <si>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</si>
  <si>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</si>
  <si>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</si>
  <si>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</si>
  <si>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</si>
  <si>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</si>
  <si>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</si>
  <si>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</si>
  <si>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</si>
  <si>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</si>
  <si>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</si>
  <si>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</si>
  <si>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</si>
  <si>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</si>
  <si>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</si>
  <si>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</si>
  <si>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</si>
  <si>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</si>
  <si>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</si>
  <si>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</si>
  <si>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</si>
  <si>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</si>
  <si>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</si>
  <si>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</si>
  <si>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</si>
  <si>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</si>
  <si>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</si>
  <si>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</si>
  <si>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</si>
  <si>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</si>
  <si>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</si>
  <si>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</si>
  <si>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</si>
  <si>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</si>
  <si>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</si>
  <si>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</si>
  <si>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</si>
  <si>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</si>
  <si>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</si>
  <si>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</si>
  <si>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</si>
  <si>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</si>
  <si>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</si>
  <si>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</si>
  <si>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</si>
  <si>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</si>
  <si>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</si>
  <si>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</si>
  <si>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</si>
  <si>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</si>
  <si>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</si>
  <si>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</si>
  <si>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</si>
  <si>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</si>
  <si>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</si>
  <si>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</si>
  <si>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</si>
  <si>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</si>
  <si>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</si>
  <si>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</si>
  <si>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</si>
  <si>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</si>
  <si>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</si>
  <si>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</si>
  <si>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</si>
  <si>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</si>
  <si>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</si>
  <si>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</si>
  <si>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</si>
  <si>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</si>
  <si>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</si>
  <si>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</si>
  <si>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</si>
  <si>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</si>
  <si>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</si>
  <si>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</si>
  <si>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</si>
  <si>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</si>
  <si>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</si>
  <si>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</si>
  <si>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</si>
  <si>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</si>
  <si>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</si>
  <si>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</si>
  <si>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</si>
  <si>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</si>
  <si>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</si>
  <si>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</si>
  <si>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</si>
  <si>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</si>
  <si>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</si>
  <si>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</si>
  <si>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</si>
  <si>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</si>
  <si>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</si>
  <si>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</si>
  <si>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</si>
  <si>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</si>
  <si>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</si>
  <si>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</si>
  <si>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</si>
  <si>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</si>
  <si>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</si>
  <si>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</si>
  <si>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</si>
  <si>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</si>
  <si>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</si>
  <si>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</si>
  <si>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</si>
  <si>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</si>
  <si>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</si>
  <si>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</si>
  <si>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</si>
  <si>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</si>
  <si>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</si>
  <si>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</si>
  <si>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</si>
  <si>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</si>
  <si>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</si>
  <si>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</si>
  <si>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</si>
  <si>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</si>
  <si>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</si>
  <si>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</si>
  <si>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</si>
  <si>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</si>
  <si>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</si>
  <si>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</si>
  <si>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</si>
  <si>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</si>
  <si>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</si>
  <si>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</si>
  <si>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</si>
  <si>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</si>
  <si>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</si>
  <si>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</si>
  <si>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</si>
  <si>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</si>
  <si>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</si>
  <si>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</si>
  <si>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</si>
  <si>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</si>
  <si>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</si>
  <si>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</si>
  <si>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</si>
  <si>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</si>
  <si>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</si>
  <si>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</si>
  <si>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</si>
  <si>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</si>
  <si>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</si>
  <si>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</si>
  <si>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</si>
  <si>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</si>
  <si>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</si>
  <si>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</si>
  <si>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</si>
  <si>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</si>
  <si>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</si>
  <si>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</si>
  <si>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</si>
  <si>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</si>
  <si>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</si>
  <si>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</si>
  <si>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</si>
  <si>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</si>
  <si>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</si>
  <si>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</si>
  <si>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</si>
  <si>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</si>
  <si>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</si>
  <si>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</si>
  <si>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</si>
  <si>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</si>
  <si>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</si>
  <si>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</si>
  <si>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</si>
  <si>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</si>
  <si>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</si>
  <si>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</si>
  <si>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</si>
  <si>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</si>
  <si>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</si>
  <si>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</si>
  <si>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</si>
  <si>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</si>
  <si>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</si>
  <si>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</si>
  <si>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</si>
  <si>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</si>
  <si>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</si>
  <si>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</si>
  <si>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</si>
  <si>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</si>
  <si>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</si>
  <si>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</si>
  <si>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</si>
  <si>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</si>
  <si>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</si>
  <si>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</si>
  <si>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</si>
  <si>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</si>
  <si>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</si>
  <si>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</si>
  <si>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</si>
  <si>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</si>
  <si>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</si>
  <si>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</si>
  <si>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</si>
  <si>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</si>
  <si>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</si>
  <si>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</si>
  <si>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</si>
  <si>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</si>
  <si>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</si>
  <si>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</si>
  <si>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</si>
  <si>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</si>
  <si>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</si>
  <si>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</si>
  <si>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</si>
  <si>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</si>
  <si>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</si>
  <si>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</si>
  <si>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</si>
  <si>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</si>
  <si>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</si>
  <si>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</si>
  <si>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</si>
  <si>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</si>
  <si>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</si>
  <si>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</si>
  <si>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</si>
  <si>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</si>
  <si>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</si>
  <si>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</si>
  <si>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</si>
  <si>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</si>
  <si>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</si>
  <si>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</si>
  <si>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</si>
  <si>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</si>
  <si>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</si>
  <si>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</si>
  <si>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</si>
  <si>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</si>
  <si>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</si>
  <si>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</si>
  <si>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</si>
  <si>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</si>
  <si>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</si>
  <si>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</si>
  <si>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</si>
  <si>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</si>
  <si>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</si>
  <si>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</si>
  <si>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</si>
  <si>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</si>
  <si>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</si>
  <si>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</si>
  <si>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</si>
  <si>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</si>
  <si>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</si>
  <si>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</si>
  <si>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</si>
  <si>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</si>
  <si>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</si>
  <si>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</si>
  <si>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</si>
  <si>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</si>
  <si>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</si>
  <si>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</si>
  <si>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</si>
  <si>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</si>
  <si>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</si>
  <si>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</si>
  <si>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</si>
  <si>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</si>
  <si>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</si>
  <si>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</si>
  <si>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</si>
  <si>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</si>
  <si>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</si>
  <si>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</si>
  <si>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</si>
  <si>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</si>
  <si>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</si>
  <si>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</si>
  <si>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</si>
  <si>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</si>
  <si>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</si>
  <si>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</si>
  <si>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</si>
  <si>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</si>
  <si>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</si>
  <si>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</si>
  <si>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</si>
  <si>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</si>
  <si>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</si>
  <si>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</si>
  <si>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</si>
  <si>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</si>
  <si>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</si>
  <si>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</si>
  <si>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</si>
  <si>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</si>
  <si>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</si>
  <si>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</si>
  <si>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</si>
  <si>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</si>
  <si>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</si>
  <si>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</si>
  <si>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</si>
  <si>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</si>
  <si>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</si>
  <si>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</si>
  <si>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</si>
  <si>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</si>
  <si>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</si>
  <si>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</si>
  <si>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</si>
  <si>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</si>
  <si>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</si>
  <si>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</si>
  <si>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</si>
  <si>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</si>
  <si>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</si>
  <si>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</si>
  <si>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</si>
  <si>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</si>
  <si>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</si>
  <si>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</si>
  <si>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</si>
  <si>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</si>
  <si>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</si>
  <si>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</si>
  <si>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</si>
  <si>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</si>
  <si>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</si>
  <si>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</si>
  <si>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</si>
  <si>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</si>
  <si>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</si>
  <si>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</si>
  <si>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</si>
  <si>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</si>
  <si>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</si>
  <si>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</si>
  <si>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</si>
  <si>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</si>
  <si>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</si>
  <si>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</si>
  <si>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</si>
  <si>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</si>
  <si>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</si>
  <si>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PR19_PD006_Run8</t>
  </si>
  <si>
    <t>NWT</t>
  </si>
  <si>
    <t>UUW.PD.D006.01</t>
  </si>
  <si>
    <t>Change log</t>
  </si>
  <si>
    <t>#</t>
  </si>
  <si>
    <t>Issue</t>
  </si>
  <si>
    <t>Change</t>
  </si>
  <si>
    <t>Sheet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</si>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</sst>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4" fillId="0" borderId="0" xfId="1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4.710937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469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470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470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8.2289999999999992</v>
      </c>
      <c r="K5" s="217">
        <v>8.2289999999999992</v>
      </c>
      <c r="L5" s="217">
        <v>8.2289999999999992</v>
      </c>
      <c r="M5" s="217">
        <v>8.2289999999999992</v>
      </c>
      <c r="N5" s="217">
        <v>8.2289999999999992</v>
      </c>
      <c r="O5" s="217"/>
      <c r="P5" s="217"/>
    </row>
    <row r="6" spans="1:16">
      <c r="A6" t="s">
        <v>470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7.6970000000000001</v>
      </c>
      <c r="K6" s="217">
        <v>7.6970000000000001</v>
      </c>
      <c r="L6" s="217">
        <v>7.6970000000000001</v>
      </c>
      <c r="M6" s="217">
        <v>7.6970000000000001</v>
      </c>
      <c r="N6" s="217">
        <v>7.6970000000000001</v>
      </c>
      <c r="O6" s="217"/>
      <c r="P6" s="217"/>
    </row>
    <row r="7" spans="1:16">
      <c r="A7" t="s">
        <v>470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100.47639263536</v>
      </c>
    </row>
    <row r="8" spans="1:16">
      <c r="A8" t="s">
        <v>470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106.23906281156999</v>
      </c>
    </row>
    <row r="9" spans="1:16">
      <c r="A9" t="s">
        <v>470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7">
        <v>100.47</v>
      </c>
    </row>
    <row r="10" spans="1:16">
      <c r="A10" t="s">
        <v>470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17">
        <v>106.24</v>
      </c>
    </row>
    <row r="11" spans="1:16">
      <c r="A11" t="s">
        <v>470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470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449.40004645009498</v>
      </c>
      <c r="K12" s="217">
        <v>471.05515187200598</v>
      </c>
      <c r="L12" s="217">
        <v>473.23691023384902</v>
      </c>
      <c r="M12" s="217">
        <v>502.115395001259</v>
      </c>
      <c r="N12" s="217">
        <v>460.44806291255998</v>
      </c>
      <c r="O12" s="217"/>
      <c r="P12" s="217"/>
    </row>
    <row r="13" spans="1:16">
      <c r="A13" t="s">
        <v>470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554.14981010127201</v>
      </c>
      <c r="K13" s="217">
        <v>573.86919731840806</v>
      </c>
      <c r="L13" s="217">
        <v>627.34713994804304</v>
      </c>
      <c r="M13" s="217">
        <v>636.67446842074901</v>
      </c>
      <c r="N13" s="217">
        <v>548.07382105617205</v>
      </c>
      <c r="O13" s="217"/>
      <c r="P13" s="217"/>
    </row>
    <row r="14" spans="1:16">
      <c r="A14" t="s">
        <v>470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447.52554382422801</v>
      </c>
      <c r="K14" s="217">
        <v>469.14359908797297</v>
      </c>
      <c r="L14" s="217">
        <v>470.07320862981697</v>
      </c>
      <c r="M14" s="217">
        <v>499.11448384469901</v>
      </c>
      <c r="N14" s="217">
        <v>459.199800903756</v>
      </c>
      <c r="O14" s="217"/>
      <c r="P14" s="217"/>
    </row>
    <row r="15" spans="1:16">
      <c r="A15" t="s">
        <v>470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545.27570582639396</v>
      </c>
      <c r="K15" s="217">
        <v>565.05565304003403</v>
      </c>
      <c r="L15" s="217">
        <v>617.71227572866997</v>
      </c>
      <c r="M15" s="217">
        <v>626.89635409686105</v>
      </c>
      <c r="N15" s="217">
        <v>539.65644491493902</v>
      </c>
      <c r="O15" s="217"/>
      <c r="P15" s="217"/>
    </row>
    <row r="16" spans="1:16">
      <c r="A16" t="s">
        <v>470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534.75797769644396</v>
      </c>
      <c r="K16" s="217">
        <v>597.10700633669705</v>
      </c>
      <c r="L16" s="217">
        <v>601.49800000000005</v>
      </c>
      <c r="M16" s="217">
        <v>663.91949728560701</v>
      </c>
      <c r="N16" s="217">
        <v>663.71393614372403</v>
      </c>
      <c r="O16" s="217"/>
      <c r="P16" s="217"/>
    </row>
    <row r="17" spans="1:16">
      <c r="A17" t="s">
        <v>470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713.20667173950301</v>
      </c>
      <c r="K17" s="217">
        <v>696.55151663802098</v>
      </c>
      <c r="L17" s="217">
        <v>711.57799999999997</v>
      </c>
      <c r="M17" s="217">
        <v>697.67590444741495</v>
      </c>
      <c r="N17" s="217">
        <v>609.900070358927</v>
      </c>
      <c r="O17" s="217"/>
      <c r="P17" s="217"/>
    </row>
    <row r="18" spans="1:16">
      <c r="A18" t="s">
        <v>470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2.42225293</v>
      </c>
      <c r="K18" s="217">
        <v>2.8255362273969999</v>
      </c>
      <c r="L18" s="217">
        <v>1.1688462803999999</v>
      </c>
      <c r="M18" s="217">
        <v>1.2914161575749901</v>
      </c>
      <c r="N18" s="217">
        <v>1.6001742325107799</v>
      </c>
      <c r="O18" s="217"/>
      <c r="P18" s="217"/>
    </row>
    <row r="19" spans="1:16">
      <c r="A19" t="s">
        <v>470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470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11.974895448714401</v>
      </c>
      <c r="K20" s="217">
        <v>16.0416813696446</v>
      </c>
      <c r="L20" s="217">
        <v>16.2103598885436</v>
      </c>
      <c r="M20" s="217">
        <v>20.1771524002341</v>
      </c>
      <c r="N20" s="217">
        <v>39.967768249999999</v>
      </c>
      <c r="O20" s="217"/>
      <c r="P20" s="217"/>
    </row>
    <row r="21" spans="1:16">
      <c r="A21" t="s">
        <v>470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470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0.26205774999999998</v>
      </c>
      <c r="M22" s="217">
        <v>0.19153755</v>
      </c>
      <c r="N22" s="217">
        <v>0.19153755</v>
      </c>
      <c r="O22" s="217"/>
      <c r="P22" s="217"/>
    </row>
    <row r="23" spans="1:16">
      <c r="A23" t="s">
        <v>470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/>
      <c r="P23" s="217"/>
    </row>
    <row r="24" spans="1:16">
      <c r="A24" t="s">
        <v>470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11.2005905754071</v>
      </c>
      <c r="K24" s="217">
        <v>15.0044153564459</v>
      </c>
      <c r="L24" s="217">
        <v>15.162187007743</v>
      </c>
      <c r="M24" s="217">
        <v>18.872484021301101</v>
      </c>
      <c r="N24" s="217">
        <v>37.379224399999998</v>
      </c>
      <c r="O24" s="217"/>
      <c r="P24" s="217"/>
    </row>
    <row r="25" spans="1:16">
      <c r="A25" t="s">
        <v>470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470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10.2896959090909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470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16.179054935064901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470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0.67174</v>
      </c>
      <c r="K28" s="218">
        <v>0.65608</v>
      </c>
      <c r="L28" s="218">
        <v>0.64969999999999895</v>
      </c>
      <c r="M28" s="218">
        <v>0.62089000000000005</v>
      </c>
      <c r="N28" s="218">
        <v>0.70347999999999999</v>
      </c>
      <c r="O28" s="218"/>
      <c r="P28" s="218"/>
    </row>
    <row r="29" spans="1:16">
      <c r="A29" t="s">
        <v>470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0.51412999999999998</v>
      </c>
      <c r="K29" s="218">
        <v>0.50909000000000004</v>
      </c>
      <c r="L29" s="218">
        <v>0.47055000000000002</v>
      </c>
      <c r="M29" s="218">
        <v>0.46311999999999998</v>
      </c>
      <c r="N29" s="218">
        <v>0.54125999999999996</v>
      </c>
      <c r="O29" s="218"/>
      <c r="P29" s="218"/>
    </row>
    <row r="30" spans="1:16">
      <c r="A30" t="s">
        <v>470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23.77364532</v>
      </c>
      <c r="K30" s="217">
        <v>3.0267019159999999</v>
      </c>
      <c r="L30" s="217">
        <v>1.7048468522120099</v>
      </c>
      <c r="M30" s="217">
        <v>-1.3165119300000001</v>
      </c>
      <c r="N30" s="217">
        <v>0.33692784401504999</v>
      </c>
      <c r="O30" s="217"/>
      <c r="P30" s="217"/>
    </row>
    <row r="31" spans="1:16">
      <c r="A31" t="s">
        <v>470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3.3109689100000002</v>
      </c>
      <c r="K31" s="217">
        <v>-0.63566023599999999</v>
      </c>
      <c r="L31" s="217">
        <v>0.28772832778799001</v>
      </c>
      <c r="M31" s="217">
        <v>0.97933223000000003</v>
      </c>
      <c r="N31" s="217">
        <v>0.91193611079954995</v>
      </c>
      <c r="O31" s="217"/>
      <c r="P31" s="217"/>
    </row>
    <row r="32" spans="1:16">
      <c r="A32" t="s">
        <v>470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470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470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287.60000000000002</v>
      </c>
      <c r="O34" s="220">
        <v>298.08199999999999</v>
      </c>
      <c r="P34" s="220"/>
    </row>
    <row r="35" spans="1:16">
      <c r="A35" t="s">
        <v>470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288.3</v>
      </c>
      <c r="O35" s="220">
        <v>299.11200000000002</v>
      </c>
      <c r="P35" s="220"/>
    </row>
    <row r="36" spans="1:16">
      <c r="A36" t="s">
        <v>470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289.2</v>
      </c>
      <c r="O36" s="220">
        <v>300.12139999999999</v>
      </c>
      <c r="P36" s="220"/>
    </row>
    <row r="37" spans="1:16">
      <c r="A37" t="s">
        <v>470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289.2</v>
      </c>
      <c r="O37" s="220">
        <v>300.40980000000002</v>
      </c>
      <c r="P37" s="220"/>
    </row>
    <row r="38" spans="1:16">
      <c r="A38" t="s">
        <v>470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291.3</v>
      </c>
      <c r="O38" s="220">
        <v>301.97539999999998</v>
      </c>
      <c r="P38" s="220"/>
    </row>
    <row r="39" spans="1:16">
      <c r="A39" t="s">
        <v>470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291.10000000000002</v>
      </c>
      <c r="O39" s="220">
        <v>302.44920000000002</v>
      </c>
      <c r="P39" s="220"/>
    </row>
    <row r="40" spans="1:16">
      <c r="A40" t="s">
        <v>470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291</v>
      </c>
      <c r="O40" s="220">
        <v>302.61399999999998</v>
      </c>
      <c r="P40" s="220"/>
    </row>
    <row r="41" spans="1:16">
      <c r="A41" t="s">
        <v>470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>
        <v>302.42015400000003</v>
      </c>
      <c r="P41" s="220"/>
    </row>
    <row r="42" spans="1:16">
      <c r="A42" t="s">
        <v>470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292.7</v>
      </c>
      <c r="O42" s="220">
        <v>304.62682599999999</v>
      </c>
      <c r="P42" s="220"/>
    </row>
    <row r="43" spans="1:16">
      <c r="A43" t="s">
        <v>470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290.5</v>
      </c>
      <c r="O43" s="220">
        <v>302.37771800000002</v>
      </c>
      <c r="P43" s="220"/>
    </row>
    <row r="44" spans="1:16">
      <c r="A44" t="s">
        <v>470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292.7</v>
      </c>
      <c r="O44" s="220">
        <v>304.69047999999998</v>
      </c>
      <c r="P44" s="220"/>
    </row>
    <row r="45" spans="1:16">
      <c r="A45" t="s">
        <v>470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293</v>
      </c>
      <c r="O45" s="220">
        <v>305.43311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NWT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NWT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NWT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NWT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NWT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NWT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>
        <v>100.47639263536</v>
      </c>
      <c r="Q9" t="s">
        <v>471</v>
      </c>
    </row>
    <row r="10" spans="1:17">
      <c r="A10" t="str">
        <f>F_Inputs!A10</f>
        <v>NWT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>
        <v>106.23906281156999</v>
      </c>
      <c r="Q10" t="s">
        <v>471</v>
      </c>
    </row>
    <row r="11" spans="1:17">
      <c r="A11" t="str">
        <f>F_Inputs!A11</f>
        <v>NWT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NWT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NWT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NWT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NWT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NWT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NWT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NWT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NWT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NWT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NWT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NWT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NWT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NWT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NWT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NWT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NWT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NWT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NWT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NWT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NWT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NWT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NWT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NWT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NWT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NWT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NWT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NWT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NWT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NWT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NWT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NWT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NWT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NWT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NWT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NWT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NWT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8.2289999999999992</v>
      </c>
      <c r="K5" s="264">
        <f>IF(InpOverride!K5="",F_Inputs!K5,InpOverride!K5)</f>
        <v>8.2289999999999992</v>
      </c>
      <c r="L5" s="264">
        <f>IF(InpOverride!L5="",F_Inputs!L5,InpOverride!L5)</f>
        <v>8.2289999999999992</v>
      </c>
      <c r="M5" s="264">
        <f>IF(InpOverride!M5="",F_Inputs!M5,InpOverride!M5)</f>
        <v>8.2289999999999992</v>
      </c>
      <c r="N5" s="264">
        <f>IF(InpOverride!N5="",F_Inputs!N5,InpOverride!N5)</f>
        <v>8.2289999999999992</v>
      </c>
      <c r="O5" s="217"/>
      <c r="P5" s="217"/>
    </row>
    <row r="6" spans="1:16">
      <c r="A6" t="str">
        <f>F_Inputs!A6</f>
        <v>NWT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7.6970000000000001</v>
      </c>
      <c r="K6" s="264">
        <f>IF(InpOverride!K6="",F_Inputs!K6,InpOverride!K6)</f>
        <v>7.6970000000000001</v>
      </c>
      <c r="L6" s="264">
        <f>IF(InpOverride!L6="",F_Inputs!L6,InpOverride!L6)</f>
        <v>7.6970000000000001</v>
      </c>
      <c r="M6" s="264">
        <f>IF(InpOverride!M6="",F_Inputs!M6,InpOverride!M6)</f>
        <v>7.6970000000000001</v>
      </c>
      <c r="N6" s="264">
        <f>IF(InpOverride!N6="",F_Inputs!N6,InpOverride!N6)</f>
        <v>7.6970000000000001</v>
      </c>
      <c r="O6" s="217"/>
      <c r="P6" s="217"/>
    </row>
    <row r="7" spans="1:16">
      <c r="A7" t="str">
        <f>F_Inputs!A7</f>
        <v>NWT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100.47639263536</v>
      </c>
    </row>
    <row r="8" spans="1:16">
      <c r="A8" t="str">
        <f>F_Inputs!A8</f>
        <v>NWT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106.23906281156999</v>
      </c>
    </row>
    <row r="9" spans="1:16">
      <c r="A9" t="str">
        <f>F_Inputs!A9</f>
        <v>NWT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100.47639263536</v>
      </c>
    </row>
    <row r="10" spans="1:16">
      <c r="A10" t="str">
        <f>F_Inputs!A10</f>
        <v>NWT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106.23906281156999</v>
      </c>
    </row>
    <row r="11" spans="1:16">
      <c r="A11" t="str">
        <f>F_Inputs!A11</f>
        <v>NWT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NWT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449.40004645009498</v>
      </c>
      <c r="K12" s="264">
        <f>IF(InpOverride!K12="",F_Inputs!K12,InpOverride!K12)</f>
        <v>471.05515187200598</v>
      </c>
      <c r="L12" s="264">
        <f>IF(InpOverride!L12="",F_Inputs!L12,InpOverride!L12)</f>
        <v>473.23691023384902</v>
      </c>
      <c r="M12" s="264">
        <f>IF(InpOverride!M12="",F_Inputs!M12,InpOverride!M12)</f>
        <v>502.115395001259</v>
      </c>
      <c r="N12" s="264">
        <f>IF(InpOverride!N12="",F_Inputs!N12,InpOverride!N12)</f>
        <v>460.44806291255998</v>
      </c>
      <c r="O12" s="217"/>
      <c r="P12" s="217"/>
    </row>
    <row r="13" spans="1:16">
      <c r="A13" t="str">
        <f>F_Inputs!A13</f>
        <v>NWT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554.14981010127201</v>
      </c>
      <c r="K13" s="264">
        <f>IF(InpOverride!K13="",F_Inputs!K13,InpOverride!K13)</f>
        <v>573.86919731840806</v>
      </c>
      <c r="L13" s="264">
        <f>IF(InpOverride!L13="",F_Inputs!L13,InpOverride!L13)</f>
        <v>627.34713994804304</v>
      </c>
      <c r="M13" s="264">
        <f>IF(InpOverride!M13="",F_Inputs!M13,InpOverride!M13)</f>
        <v>636.67446842074901</v>
      </c>
      <c r="N13" s="264">
        <f>IF(InpOverride!N13="",F_Inputs!N13,InpOverride!N13)</f>
        <v>548.07382105617205</v>
      </c>
      <c r="O13" s="217"/>
      <c r="P13" s="217"/>
    </row>
    <row r="14" spans="1:16">
      <c r="A14" t="str">
        <f>F_Inputs!A14</f>
        <v>NWT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447.52554382422801</v>
      </c>
      <c r="K14" s="264">
        <f>IF(InpOverride!K14="",F_Inputs!K14,InpOverride!K14)</f>
        <v>469.14359908797297</v>
      </c>
      <c r="L14" s="264">
        <f>IF(InpOverride!L14="",F_Inputs!L14,InpOverride!L14)</f>
        <v>470.07320862981697</v>
      </c>
      <c r="M14" s="264">
        <f>IF(InpOverride!M14="",F_Inputs!M14,InpOverride!M14)</f>
        <v>499.11448384469901</v>
      </c>
      <c r="N14" s="264">
        <f>IF(InpOverride!N14="",F_Inputs!N14,InpOverride!N14)</f>
        <v>459.199800903756</v>
      </c>
      <c r="O14" s="217"/>
      <c r="P14" s="217"/>
    </row>
    <row r="15" spans="1:16">
      <c r="A15" t="str">
        <f>F_Inputs!A15</f>
        <v>NWT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545.27570582639396</v>
      </c>
      <c r="K15" s="264">
        <f>IF(InpOverride!K15="",F_Inputs!K15,InpOverride!K15)</f>
        <v>565.05565304003403</v>
      </c>
      <c r="L15" s="264">
        <f>IF(InpOverride!L15="",F_Inputs!L15,InpOverride!L15)</f>
        <v>617.71227572866997</v>
      </c>
      <c r="M15" s="264">
        <f>IF(InpOverride!M15="",F_Inputs!M15,InpOverride!M15)</f>
        <v>626.89635409686105</v>
      </c>
      <c r="N15" s="264">
        <f>IF(InpOverride!N15="",F_Inputs!N15,InpOverride!N15)</f>
        <v>539.65644491493902</v>
      </c>
      <c r="O15" s="217"/>
      <c r="P15" s="217"/>
    </row>
    <row r="16" spans="1:16">
      <c r="A16" t="str">
        <f>F_Inputs!A16</f>
        <v>NWT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534.75797769644396</v>
      </c>
      <c r="K16" s="264">
        <f>IF(InpOverride!K16="",F_Inputs!K16,InpOverride!K16)</f>
        <v>597.10700633669705</v>
      </c>
      <c r="L16" s="264">
        <f>IF(InpOverride!L16="",F_Inputs!L16,InpOverride!L16)</f>
        <v>601.49800000000005</v>
      </c>
      <c r="M16" s="264">
        <f>IF(InpOverride!M16="",F_Inputs!M16,InpOverride!M16)</f>
        <v>663.91949728560701</v>
      </c>
      <c r="N16" s="264">
        <f>IF(InpOverride!N16="",F_Inputs!N16,InpOverride!N16)</f>
        <v>663.71393614372403</v>
      </c>
      <c r="O16" s="217"/>
      <c r="P16" s="217"/>
    </row>
    <row r="17" spans="1:16">
      <c r="A17" t="str">
        <f>F_Inputs!A17</f>
        <v>NWT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713.20667173950301</v>
      </c>
      <c r="K17" s="264">
        <f>IF(InpOverride!K17="",F_Inputs!K17,InpOverride!K17)</f>
        <v>696.55151663802098</v>
      </c>
      <c r="L17" s="264">
        <f>IF(InpOverride!L17="",F_Inputs!L17,InpOverride!L17)</f>
        <v>711.57799999999997</v>
      </c>
      <c r="M17" s="264">
        <f>IF(InpOverride!M17="",F_Inputs!M17,InpOverride!M17)</f>
        <v>697.67590444741495</v>
      </c>
      <c r="N17" s="264">
        <f>IF(InpOverride!N17="",F_Inputs!N17,InpOverride!N17)</f>
        <v>609.900070358927</v>
      </c>
      <c r="O17" s="217"/>
      <c r="P17" s="217"/>
    </row>
    <row r="18" spans="1:16">
      <c r="A18" t="str">
        <f>F_Inputs!A18</f>
        <v>NWT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2.42225293</v>
      </c>
      <c r="K18" s="264">
        <f>IF(InpOverride!K18="",F_Inputs!K18,InpOverride!K18)</f>
        <v>2.8255362273969999</v>
      </c>
      <c r="L18" s="264">
        <f>IF(InpOverride!L18="",F_Inputs!L18,InpOverride!L18)</f>
        <v>1.1688462803999999</v>
      </c>
      <c r="M18" s="264">
        <f>IF(InpOverride!M18="",F_Inputs!M18,InpOverride!M18)</f>
        <v>1.2914161575749901</v>
      </c>
      <c r="N18" s="264">
        <f>IF(InpOverride!N18="",F_Inputs!N18,InpOverride!N18)</f>
        <v>1.6001742325107799</v>
      </c>
      <c r="O18" s="217"/>
      <c r="P18" s="217"/>
    </row>
    <row r="19" spans="1:16">
      <c r="A19" t="str">
        <f>F_Inputs!A19</f>
        <v>NWT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NWT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11.974895448714401</v>
      </c>
      <c r="K20" s="264">
        <f>IF(InpOverride!K20="",F_Inputs!K20,InpOverride!K20)</f>
        <v>16.0416813696446</v>
      </c>
      <c r="L20" s="264">
        <f>IF(InpOverride!L20="",F_Inputs!L20,InpOverride!L20)</f>
        <v>16.2103598885436</v>
      </c>
      <c r="M20" s="264">
        <f>IF(InpOverride!M20="",F_Inputs!M20,InpOverride!M20)</f>
        <v>20.1771524002341</v>
      </c>
      <c r="N20" s="264">
        <f>IF(InpOverride!N20="",F_Inputs!N20,InpOverride!N20)</f>
        <v>39.967768249999999</v>
      </c>
      <c r="O20" s="217"/>
      <c r="P20" s="217"/>
    </row>
    <row r="21" spans="1:16">
      <c r="A21" t="str">
        <f>F_Inputs!A21</f>
        <v>NWT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NWT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0.26205774999999998</v>
      </c>
      <c r="M22" s="264">
        <f>IF(InpOverride!M22="",F_Inputs!M22,InpOverride!M22)</f>
        <v>0.19153755</v>
      </c>
      <c r="N22" s="264">
        <f>IF(InpOverride!N22="",F_Inputs!N22,InpOverride!N22)</f>
        <v>0.19153755</v>
      </c>
      <c r="O22" s="217"/>
      <c r="P22" s="217"/>
    </row>
    <row r="23" spans="1:16">
      <c r="A23" t="str">
        <f>F_Inputs!A23</f>
        <v>NWT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NWT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11.2005905754071</v>
      </c>
      <c r="K24" s="264">
        <f>IF(InpOverride!K24="",F_Inputs!K24,InpOverride!K24)</f>
        <v>15.0044153564459</v>
      </c>
      <c r="L24" s="264">
        <f>IF(InpOverride!L24="",F_Inputs!L24,InpOverride!L24)</f>
        <v>15.162187007743</v>
      </c>
      <c r="M24" s="264">
        <f>IF(InpOverride!M24="",F_Inputs!M24,InpOverride!M24)</f>
        <v>18.872484021301101</v>
      </c>
      <c r="N24" s="264">
        <f>IF(InpOverride!N24="",F_Inputs!N24,InpOverride!N24)</f>
        <v>37.379224399999998</v>
      </c>
      <c r="O24" s="217"/>
      <c r="P24" s="217"/>
    </row>
    <row r="25" spans="1:16">
      <c r="A25" t="str">
        <f>F_Inputs!A25</f>
        <v>NWT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NWT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10.2896959090909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NWT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16.179054935064901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NWT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0.67174</v>
      </c>
      <c r="K28" s="264">
        <f>IF(InpOverride!K28="",F_Inputs!K28,InpOverride!K28)</f>
        <v>0.65608</v>
      </c>
      <c r="L28" s="264">
        <f>IF(InpOverride!L28="",F_Inputs!L28,InpOverride!L28)</f>
        <v>0.64969999999999895</v>
      </c>
      <c r="M28" s="264">
        <f>IF(InpOverride!M28="",F_Inputs!M28,InpOverride!M28)</f>
        <v>0.62089000000000005</v>
      </c>
      <c r="N28" s="264">
        <f>IF(InpOverride!N28="",F_Inputs!N28,InpOverride!N28)</f>
        <v>0.70347999999999999</v>
      </c>
      <c r="O28" s="218"/>
      <c r="P28" s="218"/>
    </row>
    <row r="29" spans="1:16">
      <c r="A29" t="str">
        <f>F_Inputs!A29</f>
        <v>NWT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0.51412999999999998</v>
      </c>
      <c r="K29" s="264">
        <f>IF(InpOverride!K29="",F_Inputs!K29,InpOverride!K29)</f>
        <v>0.50909000000000004</v>
      </c>
      <c r="L29" s="264">
        <f>IF(InpOverride!L29="",F_Inputs!L29,InpOverride!L29)</f>
        <v>0.47055000000000002</v>
      </c>
      <c r="M29" s="264">
        <f>IF(InpOverride!M29="",F_Inputs!M29,InpOverride!M29)</f>
        <v>0.46311999999999998</v>
      </c>
      <c r="N29" s="264">
        <f>IF(InpOverride!N29="",F_Inputs!N29,InpOverride!N29)</f>
        <v>0.54125999999999996</v>
      </c>
      <c r="O29" s="218"/>
      <c r="P29" s="218"/>
    </row>
    <row r="30" spans="1:16">
      <c r="A30" t="str">
        <f>F_Inputs!A30</f>
        <v>NWT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23.77364532</v>
      </c>
      <c r="K30" s="264">
        <f>IF(InpOverride!K30="",F_Inputs!K30,InpOverride!K30)</f>
        <v>3.0267019159999999</v>
      </c>
      <c r="L30" s="264">
        <f>IF(InpOverride!L30="",F_Inputs!L30,InpOverride!L30)</f>
        <v>1.7048468522120099</v>
      </c>
      <c r="M30" s="264">
        <f>IF(InpOverride!M30="",F_Inputs!M30,InpOverride!M30)</f>
        <v>-1.3165119300000001</v>
      </c>
      <c r="N30" s="264">
        <f>IF(InpOverride!N30="",F_Inputs!N30,InpOverride!N30)</f>
        <v>0.33692784401504999</v>
      </c>
      <c r="O30" s="217"/>
      <c r="P30" s="217"/>
    </row>
    <row r="31" spans="1:16">
      <c r="A31" t="str">
        <f>F_Inputs!A31</f>
        <v>NWT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3.3109689100000002</v>
      </c>
      <c r="K31" s="264">
        <f>IF(InpOverride!K31="",F_Inputs!K31,InpOverride!K31)</f>
        <v>-0.63566023599999999</v>
      </c>
      <c r="L31" s="264">
        <f>IF(InpOverride!L31="",F_Inputs!L31,InpOverride!L31)</f>
        <v>0.28772832778799001</v>
      </c>
      <c r="M31" s="264">
        <f>IF(InpOverride!M31="",F_Inputs!M31,InpOverride!M31)</f>
        <v>0.97933223000000003</v>
      </c>
      <c r="N31" s="264">
        <f>IF(InpOverride!N31="",F_Inputs!N31,InpOverride!N31)</f>
        <v>0.91193611079954995</v>
      </c>
      <c r="O31" s="217"/>
      <c r="P31" s="217"/>
    </row>
    <row r="32" spans="1:16">
      <c r="A32" t="str">
        <f>F_Inputs!A32</f>
        <v>NWT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NWT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NWT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287.60000000000002</v>
      </c>
      <c r="O34" s="264">
        <f>IF(InpOverride!O34="",F_Inputs!O34,InpOverride!O34)</f>
        <v>298.08199999999999</v>
      </c>
      <c r="P34" s="220"/>
    </row>
    <row r="35" spans="1:16">
      <c r="A35" t="str">
        <f>F_Inputs!A35</f>
        <v>NWT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288.3</v>
      </c>
      <c r="O35" s="264">
        <f>IF(InpOverride!O35="",F_Inputs!O35,InpOverride!O35)</f>
        <v>299.11200000000002</v>
      </c>
      <c r="P35" s="220"/>
    </row>
    <row r="36" spans="1:16">
      <c r="A36" t="str">
        <f>F_Inputs!A36</f>
        <v>NWT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289.2</v>
      </c>
      <c r="O36" s="264">
        <f>IF(InpOverride!O36="",F_Inputs!O36,InpOverride!O36)</f>
        <v>300.12139999999999</v>
      </c>
      <c r="P36" s="220"/>
    </row>
    <row r="37" spans="1:16">
      <c r="A37" t="str">
        <f>F_Inputs!A37</f>
        <v>NWT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289.2</v>
      </c>
      <c r="O37" s="264">
        <f>IF(InpOverride!O37="",F_Inputs!O37,InpOverride!O37)</f>
        <v>300.40980000000002</v>
      </c>
      <c r="P37" s="220"/>
    </row>
    <row r="38" spans="1:16">
      <c r="A38" t="str">
        <f>F_Inputs!A38</f>
        <v>NWT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291.3</v>
      </c>
      <c r="O38" s="264">
        <f>IF(InpOverride!O38="",F_Inputs!O38,InpOverride!O38)</f>
        <v>301.97539999999998</v>
      </c>
      <c r="P38" s="220"/>
    </row>
    <row r="39" spans="1:16">
      <c r="A39" t="str">
        <f>F_Inputs!A39</f>
        <v>NWT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291.10000000000002</v>
      </c>
      <c r="O39" s="264">
        <f>IF(InpOverride!O39="",F_Inputs!O39,InpOverride!O39)</f>
        <v>302.44920000000002</v>
      </c>
      <c r="P39" s="220"/>
    </row>
    <row r="40" spans="1:16">
      <c r="A40" t="str">
        <f>F_Inputs!A40</f>
        <v>NWT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291</v>
      </c>
      <c r="O40" s="264">
        <f>IF(InpOverride!O40="",F_Inputs!O40,InpOverride!O40)</f>
        <v>302.61399999999998</v>
      </c>
      <c r="P40" s="220"/>
    </row>
    <row r="41" spans="1:16">
      <c r="A41" t="str">
        <f>F_Inputs!A41</f>
        <v>NWT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302.42015400000003</v>
      </c>
      <c r="P41" s="220"/>
    </row>
    <row r="42" spans="1:16">
      <c r="A42" t="str">
        <f>F_Inputs!A42</f>
        <v>NWT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292.7</v>
      </c>
      <c r="O42" s="264">
        <f>IF(InpOverride!O42="",F_Inputs!O42,InpOverride!O42)</f>
        <v>304.62682599999999</v>
      </c>
      <c r="P42" s="220"/>
    </row>
    <row r="43" spans="1:16">
      <c r="A43" t="str">
        <f>F_Inputs!A43</f>
        <v>NWT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290.5</v>
      </c>
      <c r="O43" s="264">
        <f>IF(InpOverride!O43="",F_Inputs!O43,InpOverride!O43)</f>
        <v>302.37771800000002</v>
      </c>
      <c r="P43" s="220"/>
    </row>
    <row r="44" spans="1:16">
      <c r="A44" t="str">
        <f>F_Inputs!A44</f>
        <v>NWT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292.7</v>
      </c>
      <c r="O44" s="264">
        <f>IF(InpOverride!O44="",F_Inputs!O44,InpOverride!O44)</f>
        <v>304.69047999999998</v>
      </c>
      <c r="P44" s="220"/>
    </row>
    <row r="45" spans="1:16">
      <c r="A45" t="str">
        <f>F_Inputs!A45</f>
        <v>NWT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293</v>
      </c>
      <c r="O45" s="264">
        <f>IF(InpOverride!O45="",F_Inputs!O45,InpOverride!O45)</f>
        <v>305.43311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43.376051228001529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9.7798769629719686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53.155928190973498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94.213295365911065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36.734981312275238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130.94827667818629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[…]10/12/2019 12:57:33</v>
      </c>
      <c r="G10" s="259" t="str">
        <f ca="1">CONCATENATE("[…]", TEXT(NOW(),"dd/mm/yyy hh:mm:ss"))</f>
        <v>[…]10/12/2019 12:57:33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menu_UUW_FD</v>
      </c>
      <c r="G11" s="262" t="str">
        <f ca="1">MID(CELL("filename",F1),SEARCH("[",CELL("filename",F1))+1,SEARCH(".",CELL("filename",F1))-1-SEARCH("[",CELL("filename",F1)))</f>
        <v>Totex menu_UUW_FD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472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473</v>
      </c>
      <c r="C3" s="273" t="s">
        <v>474</v>
      </c>
      <c r="D3" s="273" t="s">
        <v>475</v>
      </c>
      <c r="E3" s="273" t="s">
        <v>476</v>
      </c>
      <c r="F3" s="273" t="s">
        <v>477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NWT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100.47639263536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106.23906281156999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8.2289999999999992</v>
      </c>
      <c r="M26" s="35">
        <f>InpActive!K5</f>
        <v>8.2289999999999992</v>
      </c>
      <c r="N26" s="35">
        <f>InpActive!L5</f>
        <v>8.2289999999999992</v>
      </c>
      <c r="O26" s="35">
        <f>InpActive!M5</f>
        <v>8.2289999999999992</v>
      </c>
      <c r="P26" s="35">
        <f>InpActive!N5</f>
        <v>8.2289999999999992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7.6970000000000001</v>
      </c>
      <c r="M27" s="35">
        <f>InpActive!K6</f>
        <v>7.6970000000000001</v>
      </c>
      <c r="N27" s="35">
        <f>InpActive!L6</f>
        <v>7.6970000000000001</v>
      </c>
      <c r="O27" s="35">
        <f>InpActive!M6</f>
        <v>7.6970000000000001</v>
      </c>
      <c r="P27" s="35">
        <f>InpActive!N6</f>
        <v>7.6970000000000001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100.47639263536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106.23906281156999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447.52554382422801</v>
      </c>
      <c r="M40" s="35">
        <f>InpActive!K14</f>
        <v>469.14359908797297</v>
      </c>
      <c r="N40" s="35">
        <f>InpActive!L14</f>
        <v>470.07320862981697</v>
      </c>
      <c r="O40" s="35">
        <f>InpActive!M14</f>
        <v>499.11448384469901</v>
      </c>
      <c r="P40" s="35">
        <f>InpActive!N14</f>
        <v>459.199800903756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545.27570582639396</v>
      </c>
      <c r="M41" s="35">
        <f>InpActive!K15</f>
        <v>565.05565304003403</v>
      </c>
      <c r="N41" s="35">
        <f>InpActive!L15</f>
        <v>617.71227572866997</v>
      </c>
      <c r="O41" s="35">
        <f>InpActive!M15</f>
        <v>626.89635409686105</v>
      </c>
      <c r="P41" s="35">
        <f>InpActive!N15</f>
        <v>539.65644491493902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449.40004645009498</v>
      </c>
      <c r="M46" s="35">
        <f>InpActive!K12</f>
        <v>471.05515187200598</v>
      </c>
      <c r="N46" s="35">
        <f>InpActive!L12</f>
        <v>473.23691023384902</v>
      </c>
      <c r="O46" s="35">
        <f>InpActive!M12</f>
        <v>502.115395001259</v>
      </c>
      <c r="P46" s="35">
        <f>InpActive!N12</f>
        <v>460.44806291255998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554.14981010127201</v>
      </c>
      <c r="M47" s="35">
        <f>InpActive!K13</f>
        <v>573.86919731840806</v>
      </c>
      <c r="N47" s="35">
        <f>InpActive!L13</f>
        <v>627.34713994804304</v>
      </c>
      <c r="O47" s="35">
        <f>InpActive!M13</f>
        <v>636.67446842074901</v>
      </c>
      <c r="P47" s="35">
        <f>InpActive!N13</f>
        <v>548.07382105617205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534.75797769644396</v>
      </c>
      <c r="M52" s="35">
        <f>InpActive!K16</f>
        <v>597.10700633669705</v>
      </c>
      <c r="N52" s="35">
        <f>InpActive!L16</f>
        <v>601.49800000000005</v>
      </c>
      <c r="O52" s="35">
        <f>InpActive!M16</f>
        <v>663.91949728560701</v>
      </c>
      <c r="P52" s="35">
        <f>InpActive!N16</f>
        <v>663.71393614372403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713.20667173950301</v>
      </c>
      <c r="M53" s="35">
        <f>InpActive!K17</f>
        <v>696.55151663802098</v>
      </c>
      <c r="N53" s="35">
        <f>InpActive!L17</f>
        <v>711.57799999999997</v>
      </c>
      <c r="O53" s="35">
        <f>InpActive!M17</f>
        <v>697.67590444741495</v>
      </c>
      <c r="P53" s="35">
        <f>InpActive!N17</f>
        <v>609.900070358927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2.42225293</v>
      </c>
      <c r="M60" s="35">
        <f>InpActive!K18</f>
        <v>2.8255362273969999</v>
      </c>
      <c r="N60" s="35">
        <f>InpActive!L18</f>
        <v>1.1688462803999999</v>
      </c>
      <c r="O60" s="35">
        <f>InpActive!M18</f>
        <v>1.2914161575749901</v>
      </c>
      <c r="P60" s="35">
        <f>InpActive!N18</f>
        <v>1.6001742325107799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11.974895448714401</v>
      </c>
      <c r="M62" s="35">
        <f>InpActive!K20</f>
        <v>16.0416813696446</v>
      </c>
      <c r="N62" s="35">
        <f>InpActive!L20</f>
        <v>16.2103598885436</v>
      </c>
      <c r="O62" s="35">
        <f>InpActive!M20</f>
        <v>20.1771524002341</v>
      </c>
      <c r="P62" s="35">
        <f>InpActive!N20</f>
        <v>39.967768249999999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23.77364532</v>
      </c>
      <c r="M64" s="221">
        <f>InpActive!K30</f>
        <v>3.0267019159999999</v>
      </c>
      <c r="N64" s="221">
        <f>InpActive!L30</f>
        <v>1.7048468522120099</v>
      </c>
      <c r="O64" s="221">
        <f>InpActive!M30</f>
        <v>-1.3165119300000001</v>
      </c>
      <c r="P64" s="221">
        <f>InpActive!N30</f>
        <v>0.33692784401504999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0.26205774999999998</v>
      </c>
      <c r="O66" s="35">
        <f>InpActive!M22</f>
        <v>0.19153755</v>
      </c>
      <c r="P66" s="35">
        <f>InpActive!N22</f>
        <v>0.19153755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11.2005905754071</v>
      </c>
      <c r="M68" s="35">
        <f>InpActive!K24</f>
        <v>15.0044153564459</v>
      </c>
      <c r="N68" s="35">
        <f>InpActive!L24</f>
        <v>15.162187007743</v>
      </c>
      <c r="O68" s="35">
        <f>InpActive!M24</f>
        <v>18.872484021301101</v>
      </c>
      <c r="P68" s="35">
        <f>InpActive!N24</f>
        <v>37.379224399999998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3.3109689100000002</v>
      </c>
      <c r="M70" s="221">
        <f>InpActive!K31</f>
        <v>-0.63566023599999999</v>
      </c>
      <c r="N70" s="221">
        <f>InpActive!L31</f>
        <v>0.28772832778799001</v>
      </c>
      <c r="O70" s="221">
        <f>InpActive!M31</f>
        <v>0.97933223000000003</v>
      </c>
      <c r="P70" s="221">
        <f>InpActive!N31</f>
        <v>0.91193611079954995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10.2896959090909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16.179054935064901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0.67174</v>
      </c>
      <c r="M125" s="173">
        <f>InpActive!K28</f>
        <v>0.65608</v>
      </c>
      <c r="N125" s="173">
        <f>InpActive!L28</f>
        <v>0.64969999999999895</v>
      </c>
      <c r="O125" s="173">
        <f>InpActive!M28</f>
        <v>0.62089000000000005</v>
      </c>
      <c r="P125" s="173">
        <f>InpActive!N28</f>
        <v>0.70347999999999999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0.51412999999999998</v>
      </c>
      <c r="M126" s="173">
        <f>InpActive!K29</f>
        <v>0.50909000000000004</v>
      </c>
      <c r="N126" s="173">
        <f>InpActive!L29</f>
        <v>0.47055000000000002</v>
      </c>
      <c r="O126" s="173">
        <f>InpActive!M29</f>
        <v>0.46311999999999998</v>
      </c>
      <c r="P126" s="173">
        <f>InpActive!N29</f>
        <v>0.54125999999999996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0.49904721472927993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1.0011909815884001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504.33730512480048</v>
      </c>
      <c r="M14" s="50">
        <f>Actual.Totex.Water/Indexation.Average</f>
        <v>551.32736290612149</v>
      </c>
      <c r="N14" s="50">
        <f>Actual.Totex.Water/Indexation.Average</f>
        <v>535.34762429900877</v>
      </c>
      <c r="O14" s="50">
        <f>Actual.Totex.Water/Indexation.Average</f>
        <v>573.38413271178945</v>
      </c>
      <c r="P14" s="50">
        <f>Actual.Totex.Water/Indexation.Average</f>
        <v>558.75974535829459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672.6346231833337</v>
      </c>
      <c r="M15" s="50">
        <f>Actual.Totex.Sewerage/Indexation.Average</f>
        <v>643.14755432588845</v>
      </c>
      <c r="N15" s="50">
        <f>Actual.Totex.Sewerage/Indexation.Average</f>
        <v>633.32146042620252</v>
      </c>
      <c r="O15" s="50">
        <f>Actual.Totex.Sewerage/Indexation.Average</f>
        <v>602.53734830957285</v>
      </c>
      <c r="P15" s="50">
        <f>Actual.Totex.Sewerage/Indexation.Average</f>
        <v>513.45555584953706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35.999379217138426</v>
      </c>
      <c r="M18" s="50">
        <f>SUM(INDEX(Actual.Exclusions.Water,,M6))/Indexation.Average</f>
        <v>20.215332897965791</v>
      </c>
      <c r="N18" s="50">
        <f>SUM(INDEX(Actual.Exclusions.Water,,N6))/Indexation.Average</f>
        <v>16.985264201829391</v>
      </c>
      <c r="O18" s="50">
        <f>SUM(INDEX(Actual.Exclusions.Water,,O6))/Indexation.Average</f>
        <v>17.404021962205565</v>
      </c>
      <c r="P18" s="50">
        <f>SUM(INDEX(Actual.Exclusions.Water,,P6))/Indexation.Average</f>
        <v>35.278383348352016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13.686043236895728</v>
      </c>
      <c r="M19" s="212">
        <f>SUM(Inputs!M66:M72)/Indexation.Average</f>
        <v>13.267115918469511</v>
      </c>
      <c r="N19" s="212">
        <f>SUM(Inputs!N66:N72)/Indexation.Average</f>
        <v>13.984032306656017</v>
      </c>
      <c r="O19" s="212">
        <f>SUM(Inputs!O66:O72)/Indexation.Average</f>
        <v>17.310142393740669</v>
      </c>
      <c r="P19" s="212">
        <f>SUM(Inputs!P66:P72)/Indexation.Average</f>
        <v>32.397364885971314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10.2896959090909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16.179054935064901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478.62762181675294</v>
      </c>
      <c r="M30" s="212">
        <f t="shared" ref="M30:P30" si="2">M14-M18+M22</f>
        <v>531.11203000815567</v>
      </c>
      <c r="N30" s="212">
        <f t="shared" si="2"/>
        <v>518.36236009717936</v>
      </c>
      <c r="O30" s="212">
        <f t="shared" si="2"/>
        <v>555.9801107495839</v>
      </c>
      <c r="P30" s="212">
        <f t="shared" si="2"/>
        <v>523.48136200994259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675.1276348815029</v>
      </c>
      <c r="M31" s="212">
        <f t="shared" ref="M31:P31" si="3">M15-M19+M23</f>
        <v>629.88043840741898</v>
      </c>
      <c r="N31" s="212">
        <f t="shared" si="3"/>
        <v>619.33742811954653</v>
      </c>
      <c r="O31" s="212">
        <f t="shared" si="3"/>
        <v>585.2272059158322</v>
      </c>
      <c r="P31" s="212">
        <f t="shared" si="3"/>
        <v>481.05819096356572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1153.7552566982558</v>
      </c>
      <c r="M32" s="77">
        <f>SUM(M30:M31)</f>
        <v>1160.9924684155746</v>
      </c>
      <c r="N32" s="77">
        <f t="shared" ref="N32:P32" si="4">SUM(N30:N31)</f>
        <v>1137.6997882167259</v>
      </c>
      <c r="O32" s="77">
        <f t="shared" si="4"/>
        <v>1141.2073166654161</v>
      </c>
      <c r="P32" s="77">
        <f t="shared" si="4"/>
        <v>1004.5395529735083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0.49904721472927993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100.11909815884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-5.9662554391512579E-2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0.48752187437685995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101.55976570289249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-0.79934580382960707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0.49904721472927993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100.11909815884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-5.9662554391512579E-2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0.48752187437685995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101.55976570289249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-0.79934580382960707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1.1119405153499353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111.19405153499353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-5.5865871900175668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-5.5865871900175668E-2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1.0331771515939103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103.31771515939103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-1.6563846179215558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-1.6563846179215559E-2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-131.0086336416604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-47.945650077170605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-0.26700517100004251</v>
      </c>
      <c r="M97" s="147">
        <f>FD.AddInc.Coeff.Water/100*Baseline.Totex.Water</f>
        <v>-0.27990305498016155</v>
      </c>
      <c r="N97" s="147">
        <f>FD.AddInc.Coeff.Water/100*Baseline.Totex.Water</f>
        <v>-0.28045768377869296</v>
      </c>
      <c r="O97" s="147">
        <f>FD.AddInc.Coeff.Water/100*Baseline.Totex.Water</f>
        <v>-0.29778445039976081</v>
      </c>
      <c r="P97" s="147">
        <f>FD.AddInc.Coeff.Water/100*Baseline.Totex.Water</f>
        <v>-0.27397033097992091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-4.358638473825553</v>
      </c>
      <c r="M98" s="147">
        <f>FD.AddInc.Coeff.Sewerage/100*Baseline.Totex.Sewerage</f>
        <v>-4.5167486518774957</v>
      </c>
      <c r="N98" s="147">
        <f>FD.AddInc.Coeff.Sewerage/100*Baseline.Totex.Sewerage</f>
        <v>-4.9376571557774964</v>
      </c>
      <c r="O98" s="147">
        <f>FD.AddInc.Coeff.Sewerage/100*Baseline.Totex.Sewerage</f>
        <v>-5.0110697008340539</v>
      </c>
      <c r="P98" s="147">
        <f>FD.AddInc.Coeff.Sewerage/100*Baseline.Totex.Sewerage</f>
        <v>-4.3137211475236006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-129.6095129505218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-24.807814947332403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-24.734399532340728</v>
      </c>
      <c r="M105" s="147">
        <f>IF(SUM(Baseline.Totex.Water)=0,0,$G101*(Baseline.Totex.Water/SUM(Baseline.Totex.Water)))</f>
        <v>-25.929213154455905</v>
      </c>
      <c r="N105" s="147">
        <f>IF(SUM(Baseline.Totex.Water)=0,0,$G101*(Baseline.Totex.Water/SUM(Baseline.Totex.Water)))</f>
        <v>-25.980591973239211</v>
      </c>
      <c r="O105" s="147">
        <f>IF(SUM(Baseline.Totex.Water)=0,0,$G101*(Baseline.Totex.Water/SUM(Baseline.Totex.Water)))</f>
        <v>-27.585681367590485</v>
      </c>
      <c r="P105" s="147">
        <f>IF(SUM(Baseline.Totex.Water)=0,0,$G101*(Baseline.Totex.Water/SUM(Baseline.Totex.Water)))</f>
        <v>-25.379626922895479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-4.6732244427460303</v>
      </c>
      <c r="M106" s="147">
        <f>IF(SUM(Baseline.Totex.Sewerage)=0,0,$G102*(Baseline.Totex.Sewerage/SUM(Baseline.Totex.Sewerage)))</f>
        <v>-4.8427462677738236</v>
      </c>
      <c r="N106" s="147">
        <f>IF(SUM(Baseline.Totex.Sewerage)=0,0,$G102*(Baseline.Totex.Sewerage/SUM(Baseline.Totex.Sewerage)))</f>
        <v>-5.2940339624053809</v>
      </c>
      <c r="O106" s="147">
        <f>IF(SUM(Baseline.Totex.Sewerage)=0,0,$G102*(Baseline.Totex.Sewerage/SUM(Baseline.Totex.Sewerage)))</f>
        <v>-5.3727450787374016</v>
      </c>
      <c r="P106" s="147">
        <f>IF(SUM(Baseline.Totex.Sewerage)=0,0,$G102*(Baseline.Totex.Sewerage/SUM(Baseline.Totex.Sewerage)))</f>
        <v>-4.6250651956697642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-28.493145332632807</v>
      </c>
      <c r="M109" s="147">
        <f>M105*(1+WACC)^Calcs!M7</f>
        <v>-28.831590709250602</v>
      </c>
      <c r="N109" s="147">
        <f>N105*(1+WACC)^Calcs!N7</f>
        <v>-27.884865442509753</v>
      </c>
      <c r="O109" s="147">
        <f>O105*(1+WACC)^Calcs!O7</f>
        <v>-28.578765896823743</v>
      </c>
      <c r="P109" s="147">
        <f>P105*(1+WACC)^Calcs!P7</f>
        <v>-25.379626922895479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-5.3833877408292006</v>
      </c>
      <c r="M110" s="147">
        <f>M106*(1+WACC)^Calcs!M7</f>
        <v>-5.3848174053523712</v>
      </c>
      <c r="N110" s="147">
        <f>N106*(1+WACC)^Calcs!N7</f>
        <v>-5.6820654757138458</v>
      </c>
      <c r="O110" s="147">
        <f>O106*(1+WACC)^Calcs!O7</f>
        <v>-5.5661639015719482</v>
      </c>
      <c r="P110" s="147">
        <f>P106*(1+WACC)^Calcs!P7</f>
        <v>-4.6250651956697642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-139.16799430411237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-26.64149971913713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448.0585385072614</v>
      </c>
      <c r="M136" s="147">
        <f>Baseline.Totex.Water*(FD.AllExp.Coeff.Water/100)</f>
        <v>469.70234047680253</v>
      </c>
      <c r="N136" s="147">
        <f>Baseline.Totex.Water*(FD.AllExp.Coeff.Water/100)</f>
        <v>470.63305716649529</v>
      </c>
      <c r="O136" s="147">
        <f>Baseline.Totex.Water*(FD.AllExp.Coeff.Water/100)</f>
        <v>499.70892000546189</v>
      </c>
      <c r="P136" s="147">
        <f>Baseline.Totex.Water*(FD.AllExp.Coeff.Water/100)</f>
        <v>459.74669941202939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553.78072927207904</v>
      </c>
      <c r="M137" s="147">
        <f>Baseline.Totex.Sewerage*(FD.AllExp.Coeff.Sewerage/100)</f>
        <v>573.86919731840771</v>
      </c>
      <c r="N137" s="147">
        <f>Baseline.Totex.Sewerage*(FD.AllExp.Coeff.Sewerage/100)</f>
        <v>627.34713994804247</v>
      </c>
      <c r="O137" s="147">
        <f>Baseline.Totex.Sewerage*(FD.AllExp.Coeff.Sewerage/100)</f>
        <v>636.6744684207473</v>
      </c>
      <c r="P137" s="147">
        <f>Baseline.Totex.Sewerage*(FD.AllExp.Coeff.Sewerage/100)</f>
        <v>548.07382105617114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449.40004645009498</v>
      </c>
      <c r="M140" s="147">
        <f>Inputs!M46</f>
        <v>471.05515187200598</v>
      </c>
      <c r="N140" s="147">
        <f>Inputs!N46</f>
        <v>473.23691023384902</v>
      </c>
      <c r="O140" s="147">
        <f>Inputs!O46</f>
        <v>502.115395001259</v>
      </c>
      <c r="P140" s="147">
        <f>Inputs!P46</f>
        <v>460.44806291255998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554.14981010127201</v>
      </c>
      <c r="M141" s="147">
        <f>Inputs!M47</f>
        <v>573.86919731840806</v>
      </c>
      <c r="N141" s="147">
        <f>Inputs!N47</f>
        <v>627.34713994804304</v>
      </c>
      <c r="O141" s="147">
        <f>Inputs!O47</f>
        <v>636.67446842074901</v>
      </c>
      <c r="P141" s="147">
        <f>Inputs!P47</f>
        <v>548.07382105617205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1.341507942833573</v>
      </c>
      <c r="M144" s="147">
        <f t="shared" ref="M144:P144" si="5">M140-M136</f>
        <v>1.352811395203446</v>
      </c>
      <c r="N144" s="147">
        <f t="shared" si="5"/>
        <v>2.6038530673537252</v>
      </c>
      <c r="O144" s="147">
        <f t="shared" si="5"/>
        <v>2.4064749957971117</v>
      </c>
      <c r="P144" s="147">
        <f t="shared" si="5"/>
        <v>0.70136350053059004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0.36908082919296703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1.7053025658242404E-12</v>
      </c>
      <c r="P145" s="147">
        <f t="shared" si="6"/>
        <v>9.0949470177292824E-13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448.0585385072614</v>
      </c>
      <c r="M148" s="147">
        <f>Baseline.Totex.Water*(AllExp.Coeff.Water/100)</f>
        <v>469.70234047680253</v>
      </c>
      <c r="N148" s="147">
        <f>Baseline.Totex.Water*(AllExp.Coeff.Water/100)</f>
        <v>470.63305716649529</v>
      </c>
      <c r="O148" s="147">
        <f>Baseline.Totex.Water*(AllExp.Coeff.Water/100)</f>
        <v>499.70892000546189</v>
      </c>
      <c r="P148" s="147">
        <f>Baseline.Totex.Water*(AllExp.Coeff.Water/100)</f>
        <v>459.74669941202939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553.78072927207904</v>
      </c>
      <c r="M149" s="147">
        <f>Baseline.Totex.Sewerage*(AllExp.Coeff.Sewerage/100)</f>
        <v>573.86919731840771</v>
      </c>
      <c r="N149" s="147">
        <f>Baseline.Totex.Sewerage*(AllExp.Coeff.Sewerage/100)</f>
        <v>627.34713994804247</v>
      </c>
      <c r="O149" s="147">
        <f>Baseline.Totex.Sewerage*(AllExp.Coeff.Sewerage/100)</f>
        <v>636.6744684207473</v>
      </c>
      <c r="P149" s="147">
        <f>Baseline.Totex.Sewerage*(AllExp.Coeff.Sewerage/100)</f>
        <v>548.07382105617114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449.40004645009498</v>
      </c>
      <c r="M152" s="147">
        <f t="shared" ref="M152:P152" si="7">M148+M144</f>
        <v>471.05515187200598</v>
      </c>
      <c r="N152" s="147">
        <f t="shared" si="7"/>
        <v>473.23691023384902</v>
      </c>
      <c r="O152" s="147">
        <f t="shared" si="7"/>
        <v>502.115395001259</v>
      </c>
      <c r="P152" s="147">
        <f t="shared" si="7"/>
        <v>460.44806291255998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554.14981010127201</v>
      </c>
      <c r="M153" s="147">
        <f t="shared" ref="M153:P153" si="8">M149+M145</f>
        <v>573.86919731840771</v>
      </c>
      <c r="N153" s="147">
        <f t="shared" si="8"/>
        <v>627.34713994804247</v>
      </c>
      <c r="O153" s="147">
        <f t="shared" si="8"/>
        <v>636.67446842074901</v>
      </c>
      <c r="P153" s="147">
        <f t="shared" si="8"/>
        <v>548.07382105617205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30.569083309491532</v>
      </c>
      <c r="M162" s="209">
        <f>(Actual.Totex.Water-SUM(Inputs!M60:M64))/Indexation.Average-M148</f>
        <v>61.409689531353138</v>
      </c>
      <c r="N162" s="209">
        <f>(Actual.Totex.Water-SUM(Inputs!N60:N64))/Indexation.Average-N148</f>
        <v>47.729302930684071</v>
      </c>
      <c r="O162" s="209">
        <f>(Actual.Totex.Water-SUM(Inputs!O60:O64))/Indexation.Average-O148</f>
        <v>56.271190744122009</v>
      </c>
      <c r="P162" s="209">
        <f>(Actual.Totex.Water-SUM(Inputs!P60:P64))/Indexation.Average-P148</f>
        <v>63.7346625979132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121.34690560942374</v>
      </c>
      <c r="M163" s="209">
        <f>(Actual.Totex.Sewerage-SUM(Inputs!M66:M72))/Indexation.Average-M149</f>
        <v>56.011241089011264</v>
      </c>
      <c r="N163" s="209">
        <f>(Actual.Totex.Sewerage-SUM(Inputs!N66:N72))/Indexation.Average-N149</f>
        <v>-8.0097118284959379</v>
      </c>
      <c r="O163" s="209">
        <f>(Actual.Totex.Sewerage-SUM(Inputs!O66:O72))/Indexation.Average-O149</f>
        <v>-51.447262504915102</v>
      </c>
      <c r="P163" s="209">
        <f>(Actual.Totex.Sewerage-SUM(Inputs!P66:P72))/Indexation.Average-P149</f>
        <v>-67.015630092605363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30.569083309491532</v>
      </c>
      <c r="M166" s="147">
        <f t="shared" ref="L166:P167" si="10">M162+M156</f>
        <v>61.409689531353138</v>
      </c>
      <c r="N166" s="147">
        <f t="shared" si="10"/>
        <v>47.729302930684071</v>
      </c>
      <c r="O166" s="147">
        <f t="shared" si="10"/>
        <v>56.271190744122009</v>
      </c>
      <c r="P166" s="147">
        <f t="shared" si="10"/>
        <v>63.7346625979132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121.34690560942374</v>
      </c>
      <c r="M167" s="147">
        <f t="shared" si="10"/>
        <v>56.011241089011264</v>
      </c>
      <c r="N167" s="147">
        <f t="shared" si="10"/>
        <v>-8.0097118284959379</v>
      </c>
      <c r="O167" s="147">
        <f t="shared" si="10"/>
        <v>-51.447262504915102</v>
      </c>
      <c r="P167" s="147">
        <f t="shared" si="10"/>
        <v>-67.015630092605363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35.214492766797903</v>
      </c>
      <c r="M170" s="147">
        <f>M166*(1+WACC)^Calcs!M7</f>
        <v>68.283562004111957</v>
      </c>
      <c r="N170" s="147">
        <f>N166*(1+WACC)^Calcs!N7</f>
        <v>51.22766991829149</v>
      </c>
      <c r="O170" s="147">
        <f>O166*(1+WACC)^Calcs!O7</f>
        <v>58.2969536109104</v>
      </c>
      <c r="P170" s="147">
        <f>P166*(1+WACC)^Calcs!P7</f>
        <v>63.7346625979132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139.78730361631631</v>
      </c>
      <c r="M171" s="147">
        <f>M167*(1+WACC)^Calcs!M7</f>
        <v>62.280840092442808</v>
      </c>
      <c r="N171" s="147">
        <f>N167*(1+WACC)^Calcs!N7</f>
        <v>-8.596791666677376</v>
      </c>
      <c r="O171" s="147">
        <f>O167*(1+WACC)^Calcs!O7</f>
        <v>-53.299363955092048</v>
      </c>
      <c r="P171" s="147">
        <f>P167*(1+WACC)^Calcs!P7</f>
        <v>-67.015630092605363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276.75734089802495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73.156357994384337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0.65958158486345175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0.49785661397885461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43.376051228001529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9.7798769629719686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94.213295365911065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36.734981312275238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tabSelected="1" zoomScale="80" zoomScaleNormal="80" workbookViewId="0">
      <pane xSplit="8" ySplit="7" topLeftCell="I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P11" s="84">
        <f>Calcs!P197</f>
        <v>43.376051228001529</v>
      </c>
      <c r="Q11" s="269"/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P12" s="84">
        <f>Calcs!P198</f>
        <v>9.7798769629719686</v>
      </c>
      <c r="Q12" s="269"/>
    </row>
    <row r="13" spans="1:22" s="3" customFormat="1" ht="12.75">
      <c r="E13" s="87"/>
      <c r="F13" s="33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P14" s="150">
        <f>SUM(P11:P12)</f>
        <v>53.155928190973498</v>
      </c>
      <c r="Q14" s="269"/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P18" s="84">
        <f>Calcs!P202</f>
        <v>94.213295365911065</v>
      </c>
      <c r="Q18" s="269"/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P19" s="84">
        <f>Calcs!P203</f>
        <v>36.734981312275238</v>
      </c>
      <c r="Q19" s="269"/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P21" s="150">
        <f>SUM(P18:P19)</f>
        <v>130.94827667818629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287.60000000000002</v>
      </c>
      <c r="Q11" s="122">
        <f>InpActive!O34</f>
        <v>298.08199999999999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288.3</v>
      </c>
      <c r="Q12" s="122">
        <f>InpActive!O35</f>
        <v>299.11200000000002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289.2</v>
      </c>
      <c r="Q13" s="122">
        <f>InpActive!O36</f>
        <v>300.12139999999999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289.2</v>
      </c>
      <c r="Q14" s="122">
        <f>InpActive!O37</f>
        <v>300.40980000000002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291.3</v>
      </c>
      <c r="Q15" s="122">
        <f>InpActive!O38</f>
        <v>301.97539999999998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291.10000000000002</v>
      </c>
      <c r="Q16" s="122">
        <f>InpActive!O39</f>
        <v>302.44920000000002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291</v>
      </c>
      <c r="Q17" s="122">
        <f>InpActive!O40</f>
        <v>302.61399999999998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302.42015400000003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292.7</v>
      </c>
      <c r="Q19" s="122">
        <f>InpActive!O42</f>
        <v>304.62682599999999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290.5</v>
      </c>
      <c r="Q20" s="122">
        <f>InpActive!O43</f>
        <v>302.37771800000002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292.7</v>
      </c>
      <c r="Q21" s="122">
        <f>InpActive!O44</f>
        <v>304.69047999999998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293</v>
      </c>
      <c r="Q22" s="122">
        <f>InpActive!O45</f>
        <v>305.43311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287.60000000000002</v>
      </c>
      <c r="Q29" s="127">
        <f t="shared" si="2"/>
        <v>298.08199999999999</v>
      </c>
      <c r="R29" s="127">
        <f t="shared" si="2"/>
        <v>298.08199999999999</v>
      </c>
      <c r="S29" s="127">
        <f t="shared" si="2"/>
        <v>298.08199999999999</v>
      </c>
      <c r="T29" s="127">
        <f t="shared" si="2"/>
        <v>298.08199999999999</v>
      </c>
      <c r="U29" s="127">
        <f t="shared" si="2"/>
        <v>298.08199999999999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288.3</v>
      </c>
      <c r="Q30" s="127">
        <f t="shared" si="3"/>
        <v>299.11200000000002</v>
      </c>
      <c r="R30" s="127">
        <f t="shared" si="3"/>
        <v>299.11200000000002</v>
      </c>
      <c r="S30" s="127">
        <f t="shared" si="3"/>
        <v>299.11200000000002</v>
      </c>
      <c r="T30" s="127">
        <f t="shared" si="3"/>
        <v>299.11200000000002</v>
      </c>
      <c r="U30" s="127">
        <f t="shared" si="3"/>
        <v>299.11200000000002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289.2</v>
      </c>
      <c r="Q31" s="127">
        <f t="shared" si="3"/>
        <v>300.12139999999999</v>
      </c>
      <c r="R31" s="127">
        <f t="shared" si="3"/>
        <v>300.12139999999999</v>
      </c>
      <c r="S31" s="127">
        <f t="shared" si="3"/>
        <v>300.12139999999999</v>
      </c>
      <c r="T31" s="127">
        <f t="shared" si="3"/>
        <v>300.12139999999999</v>
      </c>
      <c r="U31" s="127">
        <f t="shared" si="3"/>
        <v>300.12139999999999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289.2</v>
      </c>
      <c r="Q32" s="127">
        <f t="shared" si="3"/>
        <v>300.40980000000002</v>
      </c>
      <c r="R32" s="127">
        <f t="shared" si="3"/>
        <v>300.40980000000002</v>
      </c>
      <c r="S32" s="127">
        <f t="shared" si="3"/>
        <v>300.40980000000002</v>
      </c>
      <c r="T32" s="127">
        <f t="shared" si="3"/>
        <v>300.40980000000002</v>
      </c>
      <c r="U32" s="127">
        <f t="shared" si="3"/>
        <v>300.40980000000002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291.3</v>
      </c>
      <c r="Q33" s="127">
        <f t="shared" si="3"/>
        <v>301.97539999999998</v>
      </c>
      <c r="R33" s="127">
        <f t="shared" si="3"/>
        <v>301.97539999999998</v>
      </c>
      <c r="S33" s="127">
        <f t="shared" si="3"/>
        <v>301.97539999999998</v>
      </c>
      <c r="T33" s="127">
        <f t="shared" si="3"/>
        <v>301.97539999999998</v>
      </c>
      <c r="U33" s="127">
        <f t="shared" si="3"/>
        <v>301.97539999999998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291.10000000000002</v>
      </c>
      <c r="Q34" s="127">
        <f t="shared" si="3"/>
        <v>302.44920000000002</v>
      </c>
      <c r="R34" s="127">
        <f t="shared" si="3"/>
        <v>302.44920000000002</v>
      </c>
      <c r="S34" s="127">
        <f t="shared" si="3"/>
        <v>302.44920000000002</v>
      </c>
      <c r="T34" s="127">
        <f t="shared" si="3"/>
        <v>302.44920000000002</v>
      </c>
      <c r="U34" s="127">
        <f t="shared" si="3"/>
        <v>302.44920000000002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291</v>
      </c>
      <c r="Q35" s="127">
        <f t="shared" si="3"/>
        <v>302.61399999999998</v>
      </c>
      <c r="R35" s="127">
        <f t="shared" si="3"/>
        <v>302.61399999999998</v>
      </c>
      <c r="S35" s="127">
        <f t="shared" si="3"/>
        <v>302.61399999999998</v>
      </c>
      <c r="T35" s="127">
        <f t="shared" si="3"/>
        <v>302.61399999999998</v>
      </c>
      <c r="U35" s="127">
        <f t="shared" si="3"/>
        <v>302.61399999999998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302.42015400000003</v>
      </c>
      <c r="R36" s="127">
        <f t="shared" si="3"/>
        <v>302.42015400000003</v>
      </c>
      <c r="S36" s="127">
        <f t="shared" si="3"/>
        <v>302.42015400000003</v>
      </c>
      <c r="T36" s="127">
        <f t="shared" si="3"/>
        <v>302.42015400000003</v>
      </c>
      <c r="U36" s="127">
        <f t="shared" si="3"/>
        <v>302.42015400000003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292.7</v>
      </c>
      <c r="Q37" s="127">
        <f t="shared" si="3"/>
        <v>304.62682599999999</v>
      </c>
      <c r="R37" s="127">
        <f t="shared" si="3"/>
        <v>304.62682599999999</v>
      </c>
      <c r="S37" s="127">
        <f t="shared" si="3"/>
        <v>304.62682599999999</v>
      </c>
      <c r="T37" s="127">
        <f t="shared" si="3"/>
        <v>304.62682599999999</v>
      </c>
      <c r="U37" s="127">
        <f t="shared" si="3"/>
        <v>304.62682599999999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290.5</v>
      </c>
      <c r="Q38" s="127">
        <f t="shared" si="3"/>
        <v>302.37771800000002</v>
      </c>
      <c r="R38" s="127">
        <f t="shared" si="3"/>
        <v>302.37771800000002</v>
      </c>
      <c r="S38" s="127">
        <f t="shared" si="3"/>
        <v>302.37771800000002</v>
      </c>
      <c r="T38" s="127">
        <f t="shared" si="3"/>
        <v>302.37771800000002</v>
      </c>
      <c r="U38" s="127">
        <f t="shared" si="3"/>
        <v>302.37771800000002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292.7</v>
      </c>
      <c r="Q39" s="127">
        <f t="shared" si="3"/>
        <v>304.69047999999998</v>
      </c>
      <c r="R39" s="127">
        <f t="shared" si="3"/>
        <v>304.69047999999998</v>
      </c>
      <c r="S39" s="127">
        <f t="shared" si="3"/>
        <v>304.69047999999998</v>
      </c>
      <c r="T39" s="127">
        <f t="shared" si="3"/>
        <v>304.69047999999998</v>
      </c>
      <c r="U39" s="127">
        <f t="shared" si="3"/>
        <v>304.69047999999998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293</v>
      </c>
      <c r="Q40" s="127">
        <f t="shared" si="3"/>
        <v>305.43311</v>
      </c>
      <c r="R40" s="127">
        <f t="shared" si="3"/>
        <v>305.43311</v>
      </c>
      <c r="S40" s="127">
        <f t="shared" si="3"/>
        <v>305.43311</v>
      </c>
      <c r="T40" s="127">
        <f t="shared" si="3"/>
        <v>305.43311</v>
      </c>
      <c r="U40" s="127">
        <f t="shared" si="3"/>
        <v>305.43311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290.63333333333333</v>
      </c>
      <c r="Q41" s="123">
        <f t="shared" si="4"/>
        <v>302.02600733333333</v>
      </c>
      <c r="R41" s="123">
        <f t="shared" si="4"/>
        <v>302.02600733333333</v>
      </c>
      <c r="S41" s="123">
        <f t="shared" si="4"/>
        <v>302.02600733333333</v>
      </c>
      <c r="T41" s="123">
        <f t="shared" si="4"/>
        <v>302.02600733333333</v>
      </c>
      <c r="U41" s="123">
        <f t="shared" si="4"/>
        <v>302.02600733333333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1.2680090314465411</v>
      </c>
      <c r="S45" s="179">
        <f t="shared" si="5"/>
        <v>1.2680090314465411</v>
      </c>
      <c r="T45" s="179">
        <f t="shared" si="5"/>
        <v>1.2680090314465411</v>
      </c>
      <c r="U45" s="179">
        <f t="shared" si="5"/>
        <v>1.2680090314465411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1.1878342018323627</v>
      </c>
      <c r="Q49" s="179">
        <f t="shared" si="6"/>
        <v>1.2343966785872416</v>
      </c>
      <c r="R49" s="179">
        <f t="shared" si="6"/>
        <v>1.2343966785872416</v>
      </c>
      <c r="S49" s="179">
        <f t="shared" si="6"/>
        <v>1.2343966785872416</v>
      </c>
      <c r="T49" s="179">
        <f t="shared" si="6"/>
        <v>1.2343966785872416</v>
      </c>
      <c r="U49" s="179">
        <f t="shared" si="6"/>
        <v>1.2343966785872416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2.5855222519634014E-2</v>
      </c>
      <c r="Q51" s="133">
        <f t="shared" si="7"/>
        <v>3.9199474710402527E-2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2019-12-05T08:27:28Z</dcterms:created>
  <dcterms:modified xsi:type="dcterms:W3CDTF">2019-12-10T12:57:53Z</dcterms:modified>
  <cp:category/>
  <cp:contentStatus/>
</cp:coreProperties>
</file>