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 firstSheet="1" activeTab="7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T29" i="7"/>
  <c r="S41" i="7"/>
  <c r="S49" i="7" s="1"/>
  <c r="S51" i="7" s="1"/>
  <c r="R51" i="7"/>
  <c r="F9" i="15" l="1"/>
  <c r="U36" i="7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l="1"/>
</calcChain>
</file>

<file path=xl/sharedStrings.xml><?xml version="1.0" encoding="utf-8"?>
<sst xmlns="http://schemas.openxmlformats.org/spreadsheetml/2006/main" count="1344" uniqueCount="478">
  <si>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</si>
  <si>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</si>
  <si>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</si>
  <si>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</si>
  <si>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</si>
  <si>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</si>
  <si>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</si>
  <si>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</si>
  <si>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</si>
  <si>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</si>
  <si>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</si>
  <si>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</si>
  <si>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</si>
  <si>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</si>
  <si>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</si>
  <si>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</si>
  <si>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</si>
  <si>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</si>
  <si>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</si>
  <si>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</si>
  <si>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</si>
  <si>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</si>
  <si>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</si>
  <si>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</si>
  <si>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</si>
  <si>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</si>
  <si>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</si>
  <si>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</si>
  <si>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</si>
  <si>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</si>
  <si>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</si>
  <si>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</si>
  <si>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</si>
  <si>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</si>
  <si>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</si>
  <si>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</si>
  <si>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</si>
  <si>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</si>
  <si>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</si>
  <si>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</si>
  <si>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</si>
  <si>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</si>
  <si>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</si>
  <si>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</si>
  <si>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</si>
  <si>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</si>
  <si>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</si>
  <si>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</si>
  <si>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</si>
  <si>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</si>
  <si>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</si>
  <si>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</si>
  <si>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</si>
  <si>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</si>
  <si>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</si>
  <si>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</si>
  <si>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</si>
  <si>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</si>
  <si>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</si>
  <si>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</si>
  <si>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</si>
  <si>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</si>
  <si>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</si>
  <si>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</si>
  <si>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</si>
  <si>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</si>
  <si>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</si>
  <si>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</si>
  <si>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</si>
  <si>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</si>
  <si>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</si>
  <si>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</si>
  <si>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</si>
  <si>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</si>
  <si>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</si>
  <si>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</si>
  <si>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</si>
  <si>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</si>
  <si>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</si>
  <si>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</si>
  <si>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</si>
  <si>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</si>
  <si>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</si>
  <si>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</si>
  <si>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</si>
  <si>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</si>
  <si>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</si>
  <si>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</si>
  <si>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</si>
  <si>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</si>
  <si>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</si>
  <si>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</si>
  <si>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</si>
  <si>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</si>
  <si>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</si>
  <si>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</si>
  <si>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</si>
  <si>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</si>
  <si>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</si>
  <si>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</si>
  <si>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</si>
  <si>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</si>
  <si>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</si>
  <si>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</si>
  <si>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</si>
  <si>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</si>
  <si>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</si>
  <si>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</si>
  <si>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</si>
  <si>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</si>
  <si>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</si>
  <si>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</si>
  <si>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</si>
  <si>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</si>
  <si>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</si>
  <si>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</si>
  <si>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</si>
  <si>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</si>
  <si>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</si>
  <si>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</si>
  <si>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</si>
  <si>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</si>
  <si>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</si>
  <si>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</si>
  <si>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</si>
  <si>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</si>
  <si>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</si>
  <si>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</si>
  <si>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</si>
  <si>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</si>
  <si>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</si>
  <si>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</si>
  <si>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</si>
  <si>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</si>
  <si>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</si>
  <si>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</si>
  <si>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</si>
  <si>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</si>
  <si>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</si>
  <si>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</si>
  <si>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</si>
  <si>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</si>
  <si>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</si>
  <si>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</si>
  <si>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</si>
  <si>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</si>
  <si>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</si>
  <si>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</si>
  <si>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</si>
  <si>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</si>
  <si>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</si>
  <si>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</si>
  <si>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</si>
  <si>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</si>
  <si>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</si>
  <si>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</si>
  <si>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</si>
  <si>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</si>
  <si>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</si>
  <si>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</si>
  <si>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</si>
  <si>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</si>
  <si>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</si>
  <si>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</si>
  <si>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</si>
  <si>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</si>
  <si>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</si>
  <si>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</si>
  <si>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</si>
  <si>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</si>
  <si>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</si>
  <si>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</si>
  <si>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</si>
  <si>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</si>
  <si>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</si>
  <si>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</si>
  <si>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</si>
  <si>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</si>
  <si>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</si>
  <si>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</si>
  <si>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</si>
  <si>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</si>
  <si>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</si>
  <si>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</si>
  <si>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</si>
  <si>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</si>
  <si>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</si>
  <si>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</si>
  <si>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</si>
  <si>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</si>
  <si>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</si>
  <si>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</si>
  <si>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</si>
  <si>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</si>
  <si>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</si>
  <si>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</si>
  <si>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</si>
  <si>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</si>
  <si>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</si>
  <si>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</si>
  <si>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</si>
  <si>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</si>
  <si>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</si>
  <si>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</si>
  <si>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</si>
  <si>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</si>
  <si>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</si>
  <si>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</si>
  <si>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</si>
  <si>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</si>
  <si>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</si>
  <si>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</si>
  <si>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</si>
  <si>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</si>
  <si>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</si>
  <si>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</si>
  <si>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</si>
  <si>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</si>
  <si>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</si>
  <si>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</si>
  <si>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</si>
  <si>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</si>
  <si>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</si>
  <si>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</si>
  <si>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</si>
  <si>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</si>
  <si>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</si>
  <si>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</si>
  <si>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</si>
  <si>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</si>
  <si>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</si>
  <si>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</si>
  <si>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</si>
  <si>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</si>
  <si>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</si>
  <si>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</si>
  <si>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</si>
  <si>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</si>
  <si>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</si>
  <si>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</si>
  <si>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</si>
  <si>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</si>
  <si>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</si>
  <si>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</si>
  <si>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</si>
  <si>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</si>
  <si>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</si>
  <si>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</si>
  <si>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</si>
  <si>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</si>
  <si>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</si>
  <si>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</si>
  <si>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</si>
  <si>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</si>
  <si>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</si>
  <si>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</si>
  <si>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</si>
  <si>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</si>
  <si>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</si>
  <si>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</si>
  <si>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</si>
  <si>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</si>
  <si>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</si>
  <si>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</si>
  <si>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</si>
  <si>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</si>
  <si>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</si>
  <si>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</si>
  <si>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</si>
  <si>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</si>
  <si>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</si>
  <si>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</si>
  <si>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</si>
  <si>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</si>
  <si>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</si>
  <si>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</si>
  <si>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</si>
  <si>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</si>
  <si>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</si>
  <si>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</si>
  <si>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</si>
  <si>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</si>
  <si>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</si>
  <si>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</si>
  <si>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</si>
  <si>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</si>
  <si>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</si>
  <si>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</si>
  <si>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</si>
  <si>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</si>
  <si>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</si>
  <si>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</si>
  <si>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</si>
  <si>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</si>
  <si>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</si>
  <si>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</si>
  <si>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</si>
  <si>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</si>
  <si>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</si>
  <si>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</si>
  <si>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</si>
  <si>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</si>
  <si>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</si>
  <si>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</si>
  <si>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</si>
  <si>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</si>
  <si>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</si>
  <si>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</si>
  <si>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</si>
  <si>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</si>
  <si>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</si>
  <si>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</si>
  <si>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</si>
  <si>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</si>
  <si>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</si>
  <si>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</si>
  <si>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</si>
  <si>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</si>
  <si>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</si>
  <si>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</si>
  <si>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</si>
  <si>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</si>
  <si>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</si>
  <si>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</si>
  <si>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</si>
  <si>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</si>
  <si>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</si>
  <si>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</si>
  <si>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</si>
  <si>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</si>
  <si>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</si>
  <si>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</si>
  <si>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</si>
  <si>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</si>
  <si>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</si>
  <si>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</si>
  <si>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</si>
  <si>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</si>
  <si>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</si>
  <si>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</si>
  <si>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</si>
  <si>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</si>
  <si>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</si>
  <si>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</si>
  <si>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</si>
  <si>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</si>
  <si>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</si>
  <si>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</si>
  <si>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</si>
  <si>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</si>
  <si>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</si>
  <si>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</si>
  <si>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</si>
  <si>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</si>
  <si>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</si>
  <si>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</si>
  <si>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</si>
  <si>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</si>
  <si>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</si>
  <si>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</si>
  <si>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</si>
  <si>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</si>
  <si>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</si>
  <si>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</si>
  <si>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</si>
  <si>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</si>
  <si>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</si>
  <si>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</si>
  <si>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</si>
  <si>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</si>
  <si>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</si>
  <si>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</si>
  <si>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</si>
  <si>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</si>
  <si>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</si>
  <si>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</si>
  <si>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</si>
  <si>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</si>
  <si>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</si>
  <si>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</si>
  <si>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</si>
  <si>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</si>
  <si>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</si>
  <si>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</si>
  <si>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</si>
  <si>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</si>
  <si>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</si>
  <si>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</si>
  <si>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</si>
  <si>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</si>
  <si>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</si>
  <si>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</si>
  <si>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</si>
  <si>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</si>
  <si>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</si>
  <si>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</si>
  <si>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</si>
  <si>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</si>
  <si>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</si>
  <si>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</si>
  <si>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</si>
  <si>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</si>
  <si>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</si>
  <si>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</si>
  <si>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</si>
  <si>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</si>
  <si>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</si>
  <si>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</si>
  <si>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</si>
  <si>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</si>
  <si>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</si>
  <si>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</si>
  <si>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</si>
  <si>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</si>
  <si>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</si>
  <si>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</si>
  <si>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</si>
  <si>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</si>
  <si>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</si>
  <si>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</si>
  <si>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</si>
  <si>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</si>
  <si>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</si>
  <si>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</si>
  <si>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</si>
  <si>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</si>
  <si>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</si>
  <si>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</si>
  <si>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</si>
  <si>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</si>
  <si>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</si>
  <si>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</si>
  <si>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</si>
  <si>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</si>
  <si>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</si>
  <si>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</si>
  <si>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</si>
  <si>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</si>
  <si>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</si>
  <si>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</si>
  <si>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</si>
  <si>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</si>
  <si>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</si>
  <si>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</si>
  <si>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</si>
  <si>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</si>
  <si>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</si>
  <si>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</si>
  <si>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</si>
  <si>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</si>
  <si>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</si>
  <si>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</si>
  <si>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</si>
  <si>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</si>
  <si>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</si>
  <si>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</si>
  <si>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</si>
  <si>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</si>
  <si>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</si>
  <si>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</si>
  <si>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</si>
  <si>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</si>
  <si>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</si>
  <si>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</si>
  <si>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</si>
  <si>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</si>
  <si>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</si>
  <si>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</si>
  <si>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</si>
  <si>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PR19_PD006_Run8</t>
  </si>
  <si>
    <t>WSX</t>
  </si>
  <si>
    <t>WSX.PD.D006.01</t>
  </si>
  <si>
    <t>Change log</t>
  </si>
  <si>
    <t>#</t>
  </si>
  <si>
    <t>Issue</t>
  </si>
  <si>
    <t>Change</t>
  </si>
  <si>
    <t>Sheet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</si>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</sst>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4" fillId="0" borderId="0" xfId="1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activeCell="K16" sqref="K16"/>
      <selection pane="bottomLeft"/>
    </sheetView>
  </sheetViews>
  <sheetFormatPr defaultRowHeight="15"/>
  <cols>
    <col min="1" max="1" width="4.28515625" customWidth="1"/>
    <col min="2" max="2" width="5.7109375" customWidth="1"/>
    <col min="3" max="3" width="12" customWidth="1"/>
    <col min="4" max="4" width="2.710937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469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470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470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1.49476138358718</v>
      </c>
      <c r="K5" s="217">
        <v>1.49476138358718</v>
      </c>
      <c r="L5" s="217">
        <v>1.49476138358718</v>
      </c>
      <c r="M5" s="217">
        <v>1.49476138358718</v>
      </c>
      <c r="N5" s="217">
        <v>1.49476138358718</v>
      </c>
      <c r="O5" s="217"/>
      <c r="P5" s="217"/>
    </row>
    <row r="6" spans="1:16">
      <c r="A6" t="s">
        <v>470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2.7444169937101299</v>
      </c>
      <c r="K6" s="217">
        <v>2.7444169937101299</v>
      </c>
      <c r="L6" s="217">
        <v>2.7444169937101299</v>
      </c>
      <c r="M6" s="217">
        <v>2.7444169937101299</v>
      </c>
      <c r="N6" s="217">
        <v>2.7444169937101299</v>
      </c>
      <c r="O6" s="217"/>
      <c r="P6" s="217"/>
    </row>
    <row r="7" spans="1:16">
      <c r="A7" t="s">
        <v>470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103.78553971412001</v>
      </c>
    </row>
    <row r="8" spans="1:16">
      <c r="A8" t="s">
        <v>470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102.934313184003</v>
      </c>
    </row>
    <row r="9" spans="1:16">
      <c r="A9" t="s">
        <v>470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103.8</v>
      </c>
    </row>
    <row r="10" spans="1:16">
      <c r="A10" t="s">
        <v>470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102.9</v>
      </c>
    </row>
    <row r="11" spans="1:16">
      <c r="A11" t="s">
        <v>470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470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147.53962738978299</v>
      </c>
      <c r="K12" s="217">
        <v>154.60334400658601</v>
      </c>
      <c r="L12" s="217">
        <v>143.22180393601499</v>
      </c>
      <c r="M12" s="217">
        <v>124.861050309657</v>
      </c>
      <c r="N12" s="217">
        <v>110.750510667791</v>
      </c>
      <c r="O12" s="217"/>
      <c r="P12" s="217"/>
    </row>
    <row r="13" spans="1:16">
      <c r="A13" t="s">
        <v>470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190.39644550214001</v>
      </c>
      <c r="K13" s="217">
        <v>202.38331443614899</v>
      </c>
      <c r="L13" s="217">
        <v>233.871501095475</v>
      </c>
      <c r="M13" s="217">
        <v>233.09746139649201</v>
      </c>
      <c r="N13" s="217">
        <v>233.36226316168899</v>
      </c>
      <c r="O13" s="217"/>
      <c r="P13" s="217"/>
    </row>
    <row r="14" spans="1:16">
      <c r="A14" t="s">
        <v>470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145.31767599140699</v>
      </c>
      <c r="K14" s="217">
        <v>152.40515072783401</v>
      </c>
      <c r="L14" s="217">
        <v>141.13031401265101</v>
      </c>
      <c r="M14" s="217">
        <v>122.941694737818</v>
      </c>
      <c r="N14" s="217">
        <v>108.963443162136</v>
      </c>
      <c r="O14" s="217"/>
      <c r="P14" s="217"/>
    </row>
    <row r="15" spans="1:16">
      <c r="A15" t="s">
        <v>470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188.577931215826</v>
      </c>
      <c r="K15" s="217">
        <v>200.63534954590699</v>
      </c>
      <c r="L15" s="217">
        <v>231.89422785836001</v>
      </c>
      <c r="M15" s="217">
        <v>231.125824996001</v>
      </c>
      <c r="N15" s="217">
        <v>231.38869837911301</v>
      </c>
      <c r="O15" s="217"/>
      <c r="P15" s="217"/>
    </row>
    <row r="16" spans="1:16">
      <c r="A16" t="s">
        <v>470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155.71833708058301</v>
      </c>
      <c r="K16" s="217">
        <v>154.02345678699001</v>
      </c>
      <c r="L16" s="217">
        <v>135.18199999999999</v>
      </c>
      <c r="M16" s="217">
        <v>157.75</v>
      </c>
      <c r="N16" s="217">
        <v>147.90899999999999</v>
      </c>
      <c r="O16" s="217"/>
      <c r="P16" s="217"/>
    </row>
    <row r="17" spans="1:16">
      <c r="A17" t="s">
        <v>470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169.81714208888499</v>
      </c>
      <c r="K17" s="217">
        <v>187.54995504712701</v>
      </c>
      <c r="L17" s="217">
        <v>224.09695986593101</v>
      </c>
      <c r="M17" s="217">
        <v>238.09800000000001</v>
      </c>
      <c r="N17" s="217">
        <v>255.47800000000001</v>
      </c>
      <c r="O17" s="217"/>
      <c r="P17" s="217"/>
    </row>
    <row r="18" spans="1:16">
      <c r="A18" t="s">
        <v>470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1.6559999999999999</v>
      </c>
      <c r="K18" s="217">
        <v>0.71799999999999997</v>
      </c>
      <c r="L18" s="217">
        <v>0.94599999999999995</v>
      </c>
      <c r="M18" s="217">
        <v>0.96799999999999997</v>
      </c>
      <c r="N18" s="217">
        <v>0.88600000000000001</v>
      </c>
      <c r="O18" s="217"/>
      <c r="P18" s="217"/>
    </row>
    <row r="19" spans="1:16">
      <c r="A19" t="s">
        <v>470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470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2.8</v>
      </c>
      <c r="K20" s="217">
        <v>2.819</v>
      </c>
      <c r="L20" s="217">
        <v>4.1349999999999998</v>
      </c>
      <c r="M20" s="217">
        <v>4.3178371816638403</v>
      </c>
      <c r="N20" s="217">
        <v>4.6760000000000002</v>
      </c>
      <c r="O20" s="217"/>
      <c r="P20" s="217"/>
    </row>
    <row r="21" spans="1:16">
      <c r="A21" t="s">
        <v>470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470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0.23699999999999999</v>
      </c>
      <c r="K22" s="217">
        <v>0.13600000000000001</v>
      </c>
      <c r="L22" s="217">
        <v>0.48064448999999998</v>
      </c>
      <c r="M22" s="217">
        <v>6.9000000000000006E-2</v>
      </c>
      <c r="N22" s="217">
        <v>1.6E-2</v>
      </c>
      <c r="O22" s="217"/>
      <c r="P22" s="217"/>
    </row>
    <row r="23" spans="1:16">
      <c r="A23" t="s">
        <v>470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/>
      <c r="P23" s="217"/>
    </row>
    <row r="24" spans="1:16">
      <c r="A24" t="s">
        <v>470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4.8</v>
      </c>
      <c r="K24" s="217">
        <v>4.4390000000000001</v>
      </c>
      <c r="L24" s="217">
        <v>6.3706529516994603</v>
      </c>
      <c r="M24" s="217">
        <v>6.5502623089982999</v>
      </c>
      <c r="N24" s="217">
        <v>7.0940000000000003</v>
      </c>
      <c r="O24" s="217"/>
      <c r="P24" s="217"/>
    </row>
    <row r="25" spans="1:16">
      <c r="A25" t="s">
        <v>470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470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0.51100000000000001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470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4.4779999999999998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470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0.46283999999999997</v>
      </c>
      <c r="K28" s="218">
        <v>0.52561000000000002</v>
      </c>
      <c r="L28" s="218">
        <v>0.55395000000000005</v>
      </c>
      <c r="M28" s="218">
        <v>0.61992000000000003</v>
      </c>
      <c r="N28" s="218">
        <v>0.68755999999999995</v>
      </c>
      <c r="O28" s="218"/>
      <c r="P28" s="218"/>
    </row>
    <row r="29" spans="1:16">
      <c r="A29" t="s">
        <v>470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0.55034000000000005</v>
      </c>
      <c r="K29" s="218">
        <v>0.57713999999999999</v>
      </c>
      <c r="L29" s="218">
        <v>0.51519999999999999</v>
      </c>
      <c r="M29" s="218">
        <v>0.51432999999999995</v>
      </c>
      <c r="N29" s="218">
        <v>0.50578999999999996</v>
      </c>
      <c r="O29" s="218"/>
      <c r="P29" s="218"/>
    </row>
    <row r="30" spans="1:16">
      <c r="A30" t="s">
        <v>470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-11.750999999999999</v>
      </c>
      <c r="M30" s="217">
        <v>-1.073</v>
      </c>
      <c r="N30" s="217">
        <v>0</v>
      </c>
      <c r="O30" s="217"/>
      <c r="P30" s="217"/>
    </row>
    <row r="31" spans="1:16">
      <c r="A31" t="s">
        <v>470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-21.148737125162398</v>
      </c>
      <c r="M31" s="217">
        <v>-1.627</v>
      </c>
      <c r="N31" s="217">
        <v>0</v>
      </c>
      <c r="O31" s="217"/>
      <c r="P31" s="217"/>
    </row>
    <row r="32" spans="1:16">
      <c r="A32" t="s">
        <v>470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470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470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>
        <v>296.7</v>
      </c>
      <c r="P34" s="220"/>
    </row>
    <row r="35" spans="1:16">
      <c r="A35" t="s">
        <v>470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289.12099999999998</v>
      </c>
      <c r="O35" s="220">
        <v>297.8</v>
      </c>
      <c r="P35" s="220"/>
    </row>
    <row r="36" spans="1:16">
      <c r="A36" t="s">
        <v>470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289.94499999999999</v>
      </c>
      <c r="O36" s="220">
        <v>298.60000000000002</v>
      </c>
      <c r="P36" s="220"/>
    </row>
    <row r="37" spans="1:16">
      <c r="A37" t="s">
        <v>470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290.15100000000001</v>
      </c>
      <c r="O37" s="220">
        <v>298.89999999999998</v>
      </c>
      <c r="P37" s="220"/>
    </row>
    <row r="38" spans="1:16">
      <c r="A38" t="s">
        <v>470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292.726</v>
      </c>
      <c r="O38" s="220">
        <v>301.5</v>
      </c>
      <c r="P38" s="220"/>
    </row>
    <row r="39" spans="1:16">
      <c r="A39" t="s">
        <v>470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292.62299999999999</v>
      </c>
      <c r="O39" s="220">
        <v>301.39999999999998</v>
      </c>
      <c r="P39" s="220"/>
    </row>
    <row r="40" spans="1:16">
      <c r="A40" t="s">
        <v>470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293.03500000000003</v>
      </c>
      <c r="O40" s="220">
        <v>301.8</v>
      </c>
      <c r="P40" s="220"/>
    </row>
    <row r="41" spans="1:16">
      <c r="A41" t="s">
        <v>470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293.13799999999998</v>
      </c>
      <c r="O41" s="220">
        <v>301.89999999999998</v>
      </c>
      <c r="P41" s="220"/>
    </row>
    <row r="42" spans="1:16">
      <c r="A42" t="s">
        <v>470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294.16800000000001</v>
      </c>
      <c r="O42" s="220">
        <v>303</v>
      </c>
      <c r="P42" s="220"/>
    </row>
    <row r="43" spans="1:16">
      <c r="A43" t="s">
        <v>470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291.49</v>
      </c>
      <c r="O43" s="220">
        <v>300.2</v>
      </c>
      <c r="P43" s="220"/>
    </row>
    <row r="44" spans="1:16">
      <c r="A44" t="s">
        <v>470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293.55</v>
      </c>
      <c r="O44" s="220">
        <v>303.89999999999998</v>
      </c>
      <c r="P44" s="220"/>
    </row>
    <row r="45" spans="1:16">
      <c r="A45" t="s">
        <v>470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293.65300000000002</v>
      </c>
      <c r="O45" s="220">
        <v>304.10000000000002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K16" sqref="K16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WSX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WSX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WSX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WSX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WSX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WSX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>
        <v>103.78553971412001</v>
      </c>
      <c r="Q9" t="s">
        <v>471</v>
      </c>
    </row>
    <row r="10" spans="1:17">
      <c r="A10" t="str">
        <f>F_Inputs!A10</f>
        <v>WSX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>
        <v>102.934313184003</v>
      </c>
      <c r="Q10" t="s">
        <v>471</v>
      </c>
    </row>
    <row r="11" spans="1:17">
      <c r="A11" t="str">
        <f>F_Inputs!A11</f>
        <v>WSX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WSX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WSX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WSX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WSX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WSX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WSX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WSX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WSX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WSX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WSX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WSX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WSX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WSX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WSX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WSX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WSX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WSX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WSX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WSX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WSX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WSX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WSX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WSX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WSX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WSX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WSX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WSX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WSX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WSX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WSX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WSX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WSX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WSX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WSX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K16" sqref="K16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WSX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WSX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1.49476138358718</v>
      </c>
      <c r="K5" s="264">
        <f>IF(InpOverride!K5="",F_Inputs!K5,InpOverride!K5)</f>
        <v>1.49476138358718</v>
      </c>
      <c r="L5" s="264">
        <f>IF(InpOverride!L5="",F_Inputs!L5,InpOverride!L5)</f>
        <v>1.49476138358718</v>
      </c>
      <c r="M5" s="264">
        <f>IF(InpOverride!M5="",F_Inputs!M5,InpOverride!M5)</f>
        <v>1.49476138358718</v>
      </c>
      <c r="N5" s="264">
        <f>IF(InpOverride!N5="",F_Inputs!N5,InpOverride!N5)</f>
        <v>1.49476138358718</v>
      </c>
      <c r="O5" s="217"/>
      <c r="P5" s="217"/>
    </row>
    <row r="6" spans="1:16">
      <c r="A6" t="str">
        <f>F_Inputs!A6</f>
        <v>WSX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2.7444169937101299</v>
      </c>
      <c r="K6" s="264">
        <f>IF(InpOverride!K6="",F_Inputs!K6,InpOverride!K6)</f>
        <v>2.7444169937101299</v>
      </c>
      <c r="L6" s="264">
        <f>IF(InpOverride!L6="",F_Inputs!L6,InpOverride!L6)</f>
        <v>2.7444169937101299</v>
      </c>
      <c r="M6" s="264">
        <f>IF(InpOverride!M6="",F_Inputs!M6,InpOverride!M6)</f>
        <v>2.7444169937101299</v>
      </c>
      <c r="N6" s="264">
        <f>IF(InpOverride!N6="",F_Inputs!N6,InpOverride!N6)</f>
        <v>2.7444169937101299</v>
      </c>
      <c r="O6" s="217"/>
      <c r="P6" s="217"/>
    </row>
    <row r="7" spans="1:16">
      <c r="A7" t="str">
        <f>F_Inputs!A7</f>
        <v>WSX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103.78553971412001</v>
      </c>
    </row>
    <row r="8" spans="1:16">
      <c r="A8" t="str">
        <f>F_Inputs!A8</f>
        <v>WSX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102.934313184003</v>
      </c>
    </row>
    <row r="9" spans="1:16">
      <c r="A9" t="str">
        <f>F_Inputs!A9</f>
        <v>WSX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103.78553971412001</v>
      </c>
    </row>
    <row r="10" spans="1:16">
      <c r="A10" t="str">
        <f>F_Inputs!A10</f>
        <v>WSX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102.934313184003</v>
      </c>
    </row>
    <row r="11" spans="1:16">
      <c r="A11" t="str">
        <f>F_Inputs!A11</f>
        <v>WSX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WSX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147.53962738978299</v>
      </c>
      <c r="K12" s="264">
        <f>IF(InpOverride!K12="",F_Inputs!K12,InpOverride!K12)</f>
        <v>154.60334400658601</v>
      </c>
      <c r="L12" s="264">
        <f>IF(InpOverride!L12="",F_Inputs!L12,InpOverride!L12)</f>
        <v>143.22180393601499</v>
      </c>
      <c r="M12" s="264">
        <f>IF(InpOverride!M12="",F_Inputs!M12,InpOverride!M12)</f>
        <v>124.861050309657</v>
      </c>
      <c r="N12" s="264">
        <f>IF(InpOverride!N12="",F_Inputs!N12,InpOverride!N12)</f>
        <v>110.750510667791</v>
      </c>
      <c r="O12" s="217"/>
      <c r="P12" s="217"/>
    </row>
    <row r="13" spans="1:16">
      <c r="A13" t="str">
        <f>F_Inputs!A13</f>
        <v>WSX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190.39644550214001</v>
      </c>
      <c r="K13" s="264">
        <f>IF(InpOverride!K13="",F_Inputs!K13,InpOverride!K13)</f>
        <v>202.38331443614899</v>
      </c>
      <c r="L13" s="264">
        <f>IF(InpOverride!L13="",F_Inputs!L13,InpOverride!L13)</f>
        <v>233.871501095475</v>
      </c>
      <c r="M13" s="264">
        <f>IF(InpOverride!M13="",F_Inputs!M13,InpOverride!M13)</f>
        <v>233.09746139649201</v>
      </c>
      <c r="N13" s="264">
        <f>IF(InpOverride!N13="",F_Inputs!N13,InpOverride!N13)</f>
        <v>233.36226316168899</v>
      </c>
      <c r="O13" s="217"/>
      <c r="P13" s="217"/>
    </row>
    <row r="14" spans="1:16">
      <c r="A14" t="str">
        <f>F_Inputs!A14</f>
        <v>WSX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145.31767599140699</v>
      </c>
      <c r="K14" s="264">
        <f>IF(InpOverride!K14="",F_Inputs!K14,InpOverride!K14)</f>
        <v>152.40515072783401</v>
      </c>
      <c r="L14" s="264">
        <f>IF(InpOverride!L14="",F_Inputs!L14,InpOverride!L14)</f>
        <v>141.13031401265101</v>
      </c>
      <c r="M14" s="264">
        <f>IF(InpOverride!M14="",F_Inputs!M14,InpOverride!M14)</f>
        <v>122.941694737818</v>
      </c>
      <c r="N14" s="264">
        <f>IF(InpOverride!N14="",F_Inputs!N14,InpOverride!N14)</f>
        <v>108.963443162136</v>
      </c>
      <c r="O14" s="217"/>
      <c r="P14" s="217"/>
    </row>
    <row r="15" spans="1:16">
      <c r="A15" t="str">
        <f>F_Inputs!A15</f>
        <v>WSX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188.577931215826</v>
      </c>
      <c r="K15" s="264">
        <f>IF(InpOverride!K15="",F_Inputs!K15,InpOverride!K15)</f>
        <v>200.63534954590699</v>
      </c>
      <c r="L15" s="264">
        <f>IF(InpOverride!L15="",F_Inputs!L15,InpOverride!L15)</f>
        <v>231.89422785836001</v>
      </c>
      <c r="M15" s="264">
        <f>IF(InpOverride!M15="",F_Inputs!M15,InpOverride!M15)</f>
        <v>231.125824996001</v>
      </c>
      <c r="N15" s="264">
        <f>IF(InpOverride!N15="",F_Inputs!N15,InpOverride!N15)</f>
        <v>231.38869837911301</v>
      </c>
      <c r="O15" s="217"/>
      <c r="P15" s="217"/>
    </row>
    <row r="16" spans="1:16">
      <c r="A16" t="str">
        <f>F_Inputs!A16</f>
        <v>WSX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155.71833708058301</v>
      </c>
      <c r="K16" s="264">
        <f>IF(InpOverride!K16="",F_Inputs!K16,InpOverride!K16)</f>
        <v>154.02345678699001</v>
      </c>
      <c r="L16" s="264">
        <f>IF(InpOverride!L16="",F_Inputs!L16,InpOverride!L16)</f>
        <v>135.18199999999999</v>
      </c>
      <c r="M16" s="264">
        <f>IF(InpOverride!M16="",F_Inputs!M16,InpOverride!M16)</f>
        <v>157.75</v>
      </c>
      <c r="N16" s="264">
        <f>IF(InpOverride!N16="",F_Inputs!N16,InpOverride!N16)</f>
        <v>147.90899999999999</v>
      </c>
      <c r="O16" s="217"/>
      <c r="P16" s="217"/>
    </row>
    <row r="17" spans="1:16">
      <c r="A17" t="str">
        <f>F_Inputs!A17</f>
        <v>WSX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169.81714208888499</v>
      </c>
      <c r="K17" s="264">
        <f>IF(InpOverride!K17="",F_Inputs!K17,InpOverride!K17)</f>
        <v>187.54995504712701</v>
      </c>
      <c r="L17" s="264">
        <f>IF(InpOverride!L17="",F_Inputs!L17,InpOverride!L17)</f>
        <v>224.09695986593101</v>
      </c>
      <c r="M17" s="264">
        <f>IF(InpOverride!M17="",F_Inputs!M17,InpOverride!M17)</f>
        <v>238.09800000000001</v>
      </c>
      <c r="N17" s="264">
        <f>IF(InpOverride!N17="",F_Inputs!N17,InpOverride!N17)</f>
        <v>255.47800000000001</v>
      </c>
      <c r="O17" s="217"/>
      <c r="P17" s="217"/>
    </row>
    <row r="18" spans="1:16">
      <c r="A18" t="str">
        <f>F_Inputs!A18</f>
        <v>WSX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1.6559999999999999</v>
      </c>
      <c r="K18" s="264">
        <f>IF(InpOverride!K18="",F_Inputs!K18,InpOverride!K18)</f>
        <v>0.71799999999999997</v>
      </c>
      <c r="L18" s="264">
        <f>IF(InpOverride!L18="",F_Inputs!L18,InpOverride!L18)</f>
        <v>0.94599999999999995</v>
      </c>
      <c r="M18" s="264">
        <f>IF(InpOverride!M18="",F_Inputs!M18,InpOverride!M18)</f>
        <v>0.96799999999999997</v>
      </c>
      <c r="N18" s="264">
        <f>IF(InpOverride!N18="",F_Inputs!N18,InpOverride!N18)</f>
        <v>0.88600000000000001</v>
      </c>
      <c r="O18" s="217"/>
      <c r="P18" s="217"/>
    </row>
    <row r="19" spans="1:16">
      <c r="A19" t="str">
        <f>F_Inputs!A19</f>
        <v>WSX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WSX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2.8</v>
      </c>
      <c r="K20" s="264">
        <f>IF(InpOverride!K20="",F_Inputs!K20,InpOverride!K20)</f>
        <v>2.819</v>
      </c>
      <c r="L20" s="264">
        <f>IF(InpOverride!L20="",F_Inputs!L20,InpOverride!L20)</f>
        <v>4.1349999999999998</v>
      </c>
      <c r="M20" s="264">
        <f>IF(InpOverride!M20="",F_Inputs!M20,InpOverride!M20)</f>
        <v>4.3178371816638403</v>
      </c>
      <c r="N20" s="264">
        <f>IF(InpOverride!N20="",F_Inputs!N20,InpOverride!N20)</f>
        <v>4.6760000000000002</v>
      </c>
      <c r="O20" s="217"/>
      <c r="P20" s="217"/>
    </row>
    <row r="21" spans="1:16">
      <c r="A21" t="str">
        <f>F_Inputs!A21</f>
        <v>WSX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WSX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0.23699999999999999</v>
      </c>
      <c r="K22" s="264">
        <f>IF(InpOverride!K22="",F_Inputs!K22,InpOverride!K22)</f>
        <v>0.13600000000000001</v>
      </c>
      <c r="L22" s="264">
        <f>IF(InpOverride!L22="",F_Inputs!L22,InpOverride!L22)</f>
        <v>0.48064448999999998</v>
      </c>
      <c r="M22" s="264">
        <f>IF(InpOverride!M22="",F_Inputs!M22,InpOverride!M22)</f>
        <v>6.9000000000000006E-2</v>
      </c>
      <c r="N22" s="264">
        <f>IF(InpOverride!N22="",F_Inputs!N22,InpOverride!N22)</f>
        <v>1.6E-2</v>
      </c>
      <c r="O22" s="217"/>
      <c r="P22" s="217"/>
    </row>
    <row r="23" spans="1:16">
      <c r="A23" t="str">
        <f>F_Inputs!A23</f>
        <v>WSX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WSX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4.8</v>
      </c>
      <c r="K24" s="264">
        <f>IF(InpOverride!K24="",F_Inputs!K24,InpOverride!K24)</f>
        <v>4.4390000000000001</v>
      </c>
      <c r="L24" s="264">
        <f>IF(InpOverride!L24="",F_Inputs!L24,InpOverride!L24)</f>
        <v>6.3706529516994603</v>
      </c>
      <c r="M24" s="264">
        <f>IF(InpOverride!M24="",F_Inputs!M24,InpOverride!M24)</f>
        <v>6.5502623089982999</v>
      </c>
      <c r="N24" s="264">
        <f>IF(InpOverride!N24="",F_Inputs!N24,InpOverride!N24)</f>
        <v>7.0940000000000003</v>
      </c>
      <c r="O24" s="217"/>
      <c r="P24" s="217"/>
    </row>
    <row r="25" spans="1:16">
      <c r="A25" t="str">
        <f>F_Inputs!A25</f>
        <v>WSX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WSX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0.51100000000000001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WSX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4.4779999999999998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WSX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0.46283999999999997</v>
      </c>
      <c r="K28" s="264">
        <f>IF(InpOverride!K28="",F_Inputs!K28,InpOverride!K28)</f>
        <v>0.52561000000000002</v>
      </c>
      <c r="L28" s="264">
        <f>IF(InpOverride!L28="",F_Inputs!L28,InpOverride!L28)</f>
        <v>0.55395000000000005</v>
      </c>
      <c r="M28" s="264">
        <f>IF(InpOverride!M28="",F_Inputs!M28,InpOverride!M28)</f>
        <v>0.61992000000000003</v>
      </c>
      <c r="N28" s="264">
        <f>IF(InpOverride!N28="",F_Inputs!N28,InpOverride!N28)</f>
        <v>0.68755999999999995</v>
      </c>
      <c r="O28" s="218"/>
      <c r="P28" s="218"/>
    </row>
    <row r="29" spans="1:16">
      <c r="A29" t="str">
        <f>F_Inputs!A29</f>
        <v>WSX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0.55034000000000005</v>
      </c>
      <c r="K29" s="264">
        <f>IF(InpOverride!K29="",F_Inputs!K29,InpOverride!K29)</f>
        <v>0.57713999999999999</v>
      </c>
      <c r="L29" s="264">
        <f>IF(InpOverride!L29="",F_Inputs!L29,InpOverride!L29)</f>
        <v>0.51519999999999999</v>
      </c>
      <c r="M29" s="264">
        <f>IF(InpOverride!M29="",F_Inputs!M29,InpOverride!M29)</f>
        <v>0.51432999999999995</v>
      </c>
      <c r="N29" s="264">
        <f>IF(InpOverride!N29="",F_Inputs!N29,InpOverride!N29)</f>
        <v>0.50578999999999996</v>
      </c>
      <c r="O29" s="218"/>
      <c r="P29" s="218"/>
    </row>
    <row r="30" spans="1:16">
      <c r="A30" t="str">
        <f>F_Inputs!A30</f>
        <v>WSX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-11.750999999999999</v>
      </c>
      <c r="M30" s="264">
        <f>IF(InpOverride!M30="",F_Inputs!M30,InpOverride!M30)</f>
        <v>-1.073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WSX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-21.148737125162398</v>
      </c>
      <c r="M31" s="264">
        <f>IF(InpOverride!M31="",F_Inputs!M31,InpOverride!M31)</f>
        <v>-1.627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WSX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WSX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WSX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296.7</v>
      </c>
      <c r="P34" s="220"/>
    </row>
    <row r="35" spans="1:16">
      <c r="A35" t="str">
        <f>F_Inputs!A35</f>
        <v>WSX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289.12099999999998</v>
      </c>
      <c r="O35" s="264">
        <f>IF(InpOverride!O35="",F_Inputs!O35,InpOverride!O35)</f>
        <v>297.8</v>
      </c>
      <c r="P35" s="220"/>
    </row>
    <row r="36" spans="1:16">
      <c r="A36" t="str">
        <f>F_Inputs!A36</f>
        <v>WSX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289.94499999999999</v>
      </c>
      <c r="O36" s="264">
        <f>IF(InpOverride!O36="",F_Inputs!O36,InpOverride!O36)</f>
        <v>298.60000000000002</v>
      </c>
      <c r="P36" s="220"/>
    </row>
    <row r="37" spans="1:16">
      <c r="A37" t="str">
        <f>F_Inputs!A37</f>
        <v>WSX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290.15100000000001</v>
      </c>
      <c r="O37" s="264">
        <f>IF(InpOverride!O37="",F_Inputs!O37,InpOverride!O37)</f>
        <v>298.89999999999998</v>
      </c>
      <c r="P37" s="220"/>
    </row>
    <row r="38" spans="1:16">
      <c r="A38" t="str">
        <f>F_Inputs!A38</f>
        <v>WSX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292.726</v>
      </c>
      <c r="O38" s="264">
        <f>IF(InpOverride!O38="",F_Inputs!O38,InpOverride!O38)</f>
        <v>301.5</v>
      </c>
      <c r="P38" s="220"/>
    </row>
    <row r="39" spans="1:16">
      <c r="A39" t="str">
        <f>F_Inputs!A39</f>
        <v>WSX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292.62299999999999</v>
      </c>
      <c r="O39" s="264">
        <f>IF(InpOverride!O39="",F_Inputs!O39,InpOverride!O39)</f>
        <v>301.39999999999998</v>
      </c>
      <c r="P39" s="220"/>
    </row>
    <row r="40" spans="1:16">
      <c r="A40" t="str">
        <f>F_Inputs!A40</f>
        <v>WSX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293.03500000000003</v>
      </c>
      <c r="O40" s="264">
        <f>IF(InpOverride!O40="",F_Inputs!O40,InpOverride!O40)</f>
        <v>301.8</v>
      </c>
      <c r="P40" s="220"/>
    </row>
    <row r="41" spans="1:16">
      <c r="A41" t="str">
        <f>F_Inputs!A41</f>
        <v>WSX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293.13799999999998</v>
      </c>
      <c r="O41" s="264">
        <f>IF(InpOverride!O41="",F_Inputs!O41,InpOverride!O41)</f>
        <v>301.89999999999998</v>
      </c>
      <c r="P41" s="220"/>
    </row>
    <row r="42" spans="1:16">
      <c r="A42" t="str">
        <f>F_Inputs!A42</f>
        <v>WSX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294.16800000000001</v>
      </c>
      <c r="O42" s="264">
        <f>IF(InpOverride!O42="",F_Inputs!O42,InpOverride!O42)</f>
        <v>303</v>
      </c>
      <c r="P42" s="220"/>
    </row>
    <row r="43" spans="1:16">
      <c r="A43" t="str">
        <f>F_Inputs!A43</f>
        <v>WSX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291.49</v>
      </c>
      <c r="O43" s="264">
        <f>IF(InpOverride!O43="",F_Inputs!O43,InpOverride!O43)</f>
        <v>300.2</v>
      </c>
      <c r="P43" s="220"/>
    </row>
    <row r="44" spans="1:16">
      <c r="A44" t="str">
        <f>F_Inputs!A44</f>
        <v>WSX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293.55</v>
      </c>
      <c r="O44" s="264">
        <f>IF(InpOverride!O44="",F_Inputs!O44,InpOverride!O44)</f>
        <v>303.89999999999998</v>
      </c>
      <c r="P44" s="220"/>
    </row>
    <row r="45" spans="1:16">
      <c r="A45" t="str">
        <f>F_Inputs!A45</f>
        <v>WSX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293.65300000000002</v>
      </c>
      <c r="O45" s="264">
        <f>IF(InpOverride!O45="",F_Inputs!O45,InpOverride!O45)</f>
        <v>304.10000000000002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-2.229125208599589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-6.0554719580461267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-8.2845971666457157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-8.7123357534309598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-71.34426683774052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-80.056602591171483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[…]10/12/2019 13:10:35</v>
      </c>
      <c r="G10" s="259" t="str">
        <f ca="1">CONCATENATE("[…]", TEXT(NOW(),"dd/mm/yyy hh:mm:ss"))</f>
        <v>[…]10/12/2019 13:10:35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menu_WSX_FD</v>
      </c>
      <c r="G11" s="262" t="str">
        <f ca="1">MID(CELL("filename",F1),SEARCH("[",CELL("filename",F1))+1,SEARCH(".",CELL("filename",F1))-1-SEARCH("[",CELL("filename",F1)))</f>
        <v>Totex menu_WSX_FD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472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473</v>
      </c>
      <c r="C3" s="273" t="s">
        <v>474</v>
      </c>
      <c r="D3" s="273" t="s">
        <v>475</v>
      </c>
      <c r="E3" s="273" t="s">
        <v>476</v>
      </c>
      <c r="F3" s="273" t="s">
        <v>477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WSX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103.78553971412001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102.934313184003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1.49476138358718</v>
      </c>
      <c r="M26" s="35">
        <f>InpActive!K5</f>
        <v>1.49476138358718</v>
      </c>
      <c r="N26" s="35">
        <f>InpActive!L5</f>
        <v>1.49476138358718</v>
      </c>
      <c r="O26" s="35">
        <f>InpActive!M5</f>
        <v>1.49476138358718</v>
      </c>
      <c r="P26" s="35">
        <f>InpActive!N5</f>
        <v>1.49476138358718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2.7444169937101299</v>
      </c>
      <c r="M27" s="35">
        <f>InpActive!K6</f>
        <v>2.7444169937101299</v>
      </c>
      <c r="N27" s="35">
        <f>InpActive!L6</f>
        <v>2.7444169937101299</v>
      </c>
      <c r="O27" s="35">
        <f>InpActive!M6</f>
        <v>2.7444169937101299</v>
      </c>
      <c r="P27" s="35">
        <f>InpActive!N6</f>
        <v>2.7444169937101299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103.78553971412001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102.934313184003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145.31767599140699</v>
      </c>
      <c r="M40" s="35">
        <f>InpActive!K14</f>
        <v>152.40515072783401</v>
      </c>
      <c r="N40" s="35">
        <f>InpActive!L14</f>
        <v>141.13031401265101</v>
      </c>
      <c r="O40" s="35">
        <f>InpActive!M14</f>
        <v>122.941694737818</v>
      </c>
      <c r="P40" s="35">
        <f>InpActive!N14</f>
        <v>108.963443162136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188.577931215826</v>
      </c>
      <c r="M41" s="35">
        <f>InpActive!K15</f>
        <v>200.63534954590699</v>
      </c>
      <c r="N41" s="35">
        <f>InpActive!L15</f>
        <v>231.89422785836001</v>
      </c>
      <c r="O41" s="35">
        <f>InpActive!M15</f>
        <v>231.125824996001</v>
      </c>
      <c r="P41" s="35">
        <f>InpActive!N15</f>
        <v>231.38869837911301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147.53962738978299</v>
      </c>
      <c r="M46" s="35">
        <f>InpActive!K12</f>
        <v>154.60334400658601</v>
      </c>
      <c r="N46" s="35">
        <f>InpActive!L12</f>
        <v>143.22180393601499</v>
      </c>
      <c r="O46" s="35">
        <f>InpActive!M12</f>
        <v>124.861050309657</v>
      </c>
      <c r="P46" s="35">
        <f>InpActive!N12</f>
        <v>110.750510667791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190.39644550214001</v>
      </c>
      <c r="M47" s="35">
        <f>InpActive!K13</f>
        <v>202.38331443614899</v>
      </c>
      <c r="N47" s="35">
        <f>InpActive!L13</f>
        <v>233.871501095475</v>
      </c>
      <c r="O47" s="35">
        <f>InpActive!M13</f>
        <v>233.09746139649201</v>
      </c>
      <c r="P47" s="35">
        <f>InpActive!N13</f>
        <v>233.36226316168899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155.71833708058301</v>
      </c>
      <c r="M52" s="35">
        <f>InpActive!K16</f>
        <v>154.02345678699001</v>
      </c>
      <c r="N52" s="35">
        <f>InpActive!L16</f>
        <v>135.18199999999999</v>
      </c>
      <c r="O52" s="35">
        <f>InpActive!M16</f>
        <v>157.75</v>
      </c>
      <c r="P52" s="35">
        <f>InpActive!N16</f>
        <v>147.90899999999999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169.81714208888499</v>
      </c>
      <c r="M53" s="35">
        <f>InpActive!K17</f>
        <v>187.54995504712701</v>
      </c>
      <c r="N53" s="35">
        <f>InpActive!L17</f>
        <v>224.09695986593101</v>
      </c>
      <c r="O53" s="35">
        <f>InpActive!M17</f>
        <v>238.09800000000001</v>
      </c>
      <c r="P53" s="35">
        <f>InpActive!N17</f>
        <v>255.47800000000001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1.6559999999999999</v>
      </c>
      <c r="M60" s="35">
        <f>InpActive!K18</f>
        <v>0.71799999999999997</v>
      </c>
      <c r="N60" s="35">
        <f>InpActive!L18</f>
        <v>0.94599999999999995</v>
      </c>
      <c r="O60" s="35">
        <f>InpActive!M18</f>
        <v>0.96799999999999997</v>
      </c>
      <c r="P60" s="35">
        <f>InpActive!N18</f>
        <v>0.88600000000000001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2.8</v>
      </c>
      <c r="M62" s="35">
        <f>InpActive!K20</f>
        <v>2.819</v>
      </c>
      <c r="N62" s="35">
        <f>InpActive!L20</f>
        <v>4.1349999999999998</v>
      </c>
      <c r="O62" s="35">
        <f>InpActive!M20</f>
        <v>4.3178371816638403</v>
      </c>
      <c r="P62" s="35">
        <f>InpActive!N20</f>
        <v>4.6760000000000002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-11.750999999999999</v>
      </c>
      <c r="O64" s="221">
        <f>InpActive!M30</f>
        <v>-1.073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0.23699999999999999</v>
      </c>
      <c r="M66" s="35">
        <f>InpActive!K22</f>
        <v>0.13600000000000001</v>
      </c>
      <c r="N66" s="35">
        <f>InpActive!L22</f>
        <v>0.48064448999999998</v>
      </c>
      <c r="O66" s="35">
        <f>InpActive!M22</f>
        <v>6.9000000000000006E-2</v>
      </c>
      <c r="P66" s="35">
        <f>InpActive!N22</f>
        <v>1.6E-2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4.8</v>
      </c>
      <c r="M68" s="35">
        <f>InpActive!K24</f>
        <v>4.4390000000000001</v>
      </c>
      <c r="N68" s="35">
        <f>InpActive!L24</f>
        <v>6.3706529516994603</v>
      </c>
      <c r="O68" s="35">
        <f>InpActive!M24</f>
        <v>6.5502623089982999</v>
      </c>
      <c r="P68" s="35">
        <f>InpActive!N24</f>
        <v>7.0940000000000003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-21.148737125162398</v>
      </c>
      <c r="O70" s="221">
        <f>InpActive!M31</f>
        <v>-1.627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0.51100000000000001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4.4779999999999998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0.46283999999999997</v>
      </c>
      <c r="M125" s="173">
        <f>InpActive!K28</f>
        <v>0.52561000000000002</v>
      </c>
      <c r="N125" s="173">
        <f>InpActive!L28</f>
        <v>0.55395000000000005</v>
      </c>
      <c r="O125" s="173">
        <f>InpActive!M28</f>
        <v>0.61992000000000003</v>
      </c>
      <c r="P125" s="173">
        <f>InpActive!N28</f>
        <v>0.68755999999999995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0.55034000000000005</v>
      </c>
      <c r="M126" s="173">
        <f>InpActive!K29</f>
        <v>0.57713999999999999</v>
      </c>
      <c r="N126" s="173">
        <f>InpActive!L29</f>
        <v>0.51519999999999999</v>
      </c>
      <c r="O126" s="173">
        <f>InpActive!M29</f>
        <v>0.51432999999999995</v>
      </c>
      <c r="P126" s="173">
        <f>InpActive!N29</f>
        <v>0.50578999999999996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0.49242892057175991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1.0094638492852999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146.86001847048044</v>
      </c>
      <c r="M14" s="50">
        <f>Actual.Totex.Water/Indexation.Average</f>
        <v>142.2146204195985</v>
      </c>
      <c r="N14" s="50">
        <f>Actual.Totex.Water/Indexation.Average</f>
        <v>120.31521725423623</v>
      </c>
      <c r="O14" s="50">
        <f>Actual.Totex.Water/Indexation.Average</f>
        <v>136.23842544930434</v>
      </c>
      <c r="P14" s="50">
        <f>Actual.Totex.Water/Indexation.Average</f>
        <v>124.01496798789186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160.15678751354719</v>
      </c>
      <c r="M15" s="50">
        <f>Actual.Totex.Sewerage/Indexation.Average</f>
        <v>173.17067298149925</v>
      </c>
      <c r="N15" s="50">
        <f>Actual.Totex.Sewerage/Indexation.Average</f>
        <v>199.45166081492616</v>
      </c>
      <c r="O15" s="50">
        <f>Actual.Totex.Sewerage/Indexation.Average</f>
        <v>205.62977256816777</v>
      </c>
      <c r="P15" s="50">
        <f>Actual.Totex.Sewerage/Indexation.Average</f>
        <v>214.20668107830249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4.2025123988179356</v>
      </c>
      <c r="M18" s="50">
        <f>SUM(INDEX(Actual.Exclusions.Water,,M6))/Indexation.Average</f>
        <v>3.2658214723733439</v>
      </c>
      <c r="N18" s="50">
        <f>SUM(INDEX(Actual.Exclusions.Water,,N6))/Indexation.Average</f>
        <v>-5.9364597290005747</v>
      </c>
      <c r="O18" s="50">
        <f>SUM(INDEX(Actual.Exclusions.Water,,O6))/Indexation.Average</f>
        <v>3.6383537515319584</v>
      </c>
      <c r="P18" s="50">
        <f>SUM(INDEX(Actual.Exclusions.Water,,P6))/Indexation.Average</f>
        <v>4.6634839796675971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4.7504611653603996</v>
      </c>
      <c r="M19" s="212">
        <f>SUM(Inputs!M66:M72)/Indexation.Average</f>
        <v>4.2242389697789227</v>
      </c>
      <c r="N19" s="212">
        <f>SUM(Inputs!N66:N72)/Indexation.Average</f>
        <v>-12.725063704451644</v>
      </c>
      <c r="O19" s="212">
        <f>SUM(Inputs!O66:O72)/Indexation.Average</f>
        <v>4.3114925921257488</v>
      </c>
      <c r="P19" s="212">
        <f>SUM(Inputs!P66:P72)/Indexation.Average</f>
        <v>5.9614115597692585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0.51100000000000001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4.4779999999999998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143.16850607166251</v>
      </c>
      <c r="M30" s="212">
        <f t="shared" ref="M30:P30" si="2">M14-M18+M22</f>
        <v>138.94879894722516</v>
      </c>
      <c r="N30" s="212">
        <f t="shared" si="2"/>
        <v>126.25167698323681</v>
      </c>
      <c r="O30" s="212">
        <f t="shared" si="2"/>
        <v>132.60007169777239</v>
      </c>
      <c r="P30" s="212">
        <f t="shared" si="2"/>
        <v>119.35148400822426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159.88432634818679</v>
      </c>
      <c r="M31" s="212">
        <f t="shared" ref="M31:P31" si="3">M15-M19+M23</f>
        <v>168.94643401172033</v>
      </c>
      <c r="N31" s="212">
        <f t="shared" si="3"/>
        <v>212.17672451937781</v>
      </c>
      <c r="O31" s="212">
        <f t="shared" si="3"/>
        <v>201.31827997604202</v>
      </c>
      <c r="P31" s="212">
        <f t="shared" si="3"/>
        <v>208.24526951853323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303.05283241984932</v>
      </c>
      <c r="M32" s="77">
        <f>SUM(M30:M31)</f>
        <v>307.89523295894548</v>
      </c>
      <c r="N32" s="77">
        <f t="shared" ref="N32:P32" si="4">SUM(N30:N31)</f>
        <v>338.42840150261463</v>
      </c>
      <c r="O32" s="77">
        <f t="shared" si="4"/>
        <v>333.91835167381441</v>
      </c>
      <c r="P32" s="77">
        <f t="shared" si="4"/>
        <v>327.59675352675748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0.49242892057175991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100.94638492852999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-0.48035761972858992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0.49413137363199394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100.73357829600076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-0.37109424493128174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0.49242892057175991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100.94638492852999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-0.48035761972858992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0.49413137363199394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100.73357829600076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-0.37109424493128174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0.98443889362794768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98.443889362794764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0.75194357044202542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7.5194357044202544E-3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0.87721641523256189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87.721641523256181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6.0585119461976502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6.0585119461976505E-2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5.0437237493797724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65.651370260059352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-0.69804452943722717</v>
      </c>
      <c r="M97" s="147">
        <f>FD.AddInc.Coeff.Water/100*Baseline.Totex.Water</f>
        <v>-0.73208975437999313</v>
      </c>
      <c r="N97" s="147">
        <f>FD.AddInc.Coeff.Water/100*Baseline.Totex.Water</f>
        <v>-0.67793021710665502</v>
      </c>
      <c r="O97" s="147">
        <f>FD.AddInc.Coeff.Water/100*Baseline.Totex.Water</f>
        <v>-0.59055979849657159</v>
      </c>
      <c r="P97" s="147">
        <f>FD.AddInc.Coeff.Water/100*Baseline.Totex.Water</f>
        <v>-0.52341420194795141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-0.69980184995240136</v>
      </c>
      <c r="M98" s="147">
        <f>FD.AddInc.Coeff.Sewerage/100*Baseline.Totex.Sewerage</f>
        <v>-0.74454623546262133</v>
      </c>
      <c r="N98" s="147">
        <f>FD.AddInc.Coeff.Sewerage/100*Baseline.Totex.Sewerage</f>
        <v>-0.86054613391020707</v>
      </c>
      <c r="O98" s="147">
        <f>FD.AddInc.Coeff.Sewerage/100*Baseline.Totex.Sewerage</f>
        <v>-0.85769463511010557</v>
      </c>
      <c r="P98" s="147">
        <f>FD.AddInc.Coeff.Sewerage/100*Baseline.Totex.Sewerage</f>
        <v>-0.85867014310629042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8.2657622507481712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69.672629257600974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1.790751450770387</v>
      </c>
      <c r="M105" s="147">
        <f>IF(SUM(Baseline.Totex.Water)=0,0,$G101*(Baseline.Totex.Water/SUM(Baseline.Totex.Water)))</f>
        <v>1.8780904863004189</v>
      </c>
      <c r="N105" s="147">
        <f>IF(SUM(Baseline.Totex.Water)=0,0,$G101*(Baseline.Totex.Water/SUM(Baseline.Totex.Water)))</f>
        <v>1.7391505392694253</v>
      </c>
      <c r="O105" s="147">
        <f>IF(SUM(Baseline.Totex.Water)=0,0,$G101*(Baseline.Totex.Water/SUM(Baseline.Totex.Water)))</f>
        <v>1.5150119674700562</v>
      </c>
      <c r="P105" s="147">
        <f>IF(SUM(Baseline.Totex.Water)=0,0,$G101*(Baseline.Totex.Water/SUM(Baseline.Totex.Water)))</f>
        <v>1.342757806937884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12.124818340555606</v>
      </c>
      <c r="M106" s="147">
        <f>IF(SUM(Baseline.Totex.Sewerage)=0,0,$G102*(Baseline.Totex.Sewerage/SUM(Baseline.Totex.Sewerage)))</f>
        <v>12.90006285599681</v>
      </c>
      <c r="N106" s="147">
        <f>IF(SUM(Baseline.Totex.Sewerage)=0,0,$G102*(Baseline.Totex.Sewerage/SUM(Baseline.Totex.Sewerage)))</f>
        <v>14.909885631251747</v>
      </c>
      <c r="O106" s="147">
        <f>IF(SUM(Baseline.Totex.Sewerage)=0,0,$G102*(Baseline.Totex.Sewerage/SUM(Baseline.Totex.Sewerage)))</f>
        <v>14.8604803532407</v>
      </c>
      <c r="P106" s="147">
        <f>IF(SUM(Baseline.Totex.Sewerage)=0,0,$G102*(Baseline.Totex.Sewerage/SUM(Baseline.Totex.Sewerage)))</f>
        <v>14.877382076556101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2.0628817479360508</v>
      </c>
      <c r="M109" s="147">
        <f>M105*(1+WACC)^Calcs!M7</f>
        <v>2.0883138988213292</v>
      </c>
      <c r="N109" s="147">
        <f>N105*(1+WACC)^Calcs!N7</f>
        <v>1.8666233171957172</v>
      </c>
      <c r="O109" s="147">
        <f>O105*(1+WACC)^Calcs!O7</f>
        <v>1.5695523982989783</v>
      </c>
      <c r="P109" s="147">
        <f>P105*(1+WACC)^Calcs!P7</f>
        <v>1.342757806937884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13.967357916148645</v>
      </c>
      <c r="M110" s="147">
        <f>M106*(1+WACC)^Calcs!M7</f>
        <v>14.34402695416119</v>
      </c>
      <c r="N110" s="147">
        <f>N106*(1+WACC)^Calcs!N7</f>
        <v>16.002720608479976</v>
      </c>
      <c r="O110" s="147">
        <f>O106*(1+WACC)^Calcs!O7</f>
        <v>15.395457645957366</v>
      </c>
      <c r="P110" s="147">
        <f>P106*(1+WACC)^Calcs!P7</f>
        <v>14.877382076556101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8.9301291691899589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74.58694520130328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146.6929405754797</v>
      </c>
      <c r="M136" s="147">
        <f>Baseline.Totex.Water*(FD.AllExp.Coeff.Water/100)</f>
        <v>153.84749010462565</v>
      </c>
      <c r="N136" s="147">
        <f>Baseline.Totex.Water*(FD.AllExp.Coeff.Water/100)</f>
        <v>142.46595003405378</v>
      </c>
      <c r="O136" s="147">
        <f>Baseline.Totex.Water*(FD.AllExp.Coeff.Water/100)</f>
        <v>124.10519640769606</v>
      </c>
      <c r="P136" s="147">
        <f>Baseline.Totex.Water*(FD.AllExp.Coeff.Water/100)</f>
        <v>109.9946567658298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189.96129799027253</v>
      </c>
      <c r="M137" s="147">
        <f>Baseline.Totex.Sewerage*(FD.AllExp.Coeff.Sewerage/100)</f>
        <v>202.10716692428102</v>
      </c>
      <c r="N137" s="147">
        <f>Baseline.Totex.Sewerage*(FD.AllExp.Coeff.Sewerage/100)</f>
        <v>233.59535358360748</v>
      </c>
      <c r="O137" s="147">
        <f>Baseline.Totex.Sewerage*(FD.AllExp.Coeff.Sewerage/100)</f>
        <v>232.82131388462437</v>
      </c>
      <c r="P137" s="147">
        <f>Baseline.Totex.Sewerage*(FD.AllExp.Coeff.Sewerage/100)</f>
        <v>233.08611564982084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147.53962738978299</v>
      </c>
      <c r="M140" s="147">
        <f>Inputs!M46</f>
        <v>154.60334400658601</v>
      </c>
      <c r="N140" s="147">
        <f>Inputs!N46</f>
        <v>143.22180393601499</v>
      </c>
      <c r="O140" s="147">
        <f>Inputs!O46</f>
        <v>124.861050309657</v>
      </c>
      <c r="P140" s="147">
        <f>Inputs!P46</f>
        <v>110.750510667791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190.39644550214001</v>
      </c>
      <c r="M141" s="147">
        <f>Inputs!M47</f>
        <v>202.38331443614899</v>
      </c>
      <c r="N141" s="147">
        <f>Inputs!N47</f>
        <v>233.871501095475</v>
      </c>
      <c r="O141" s="147">
        <f>Inputs!O47</f>
        <v>233.09746139649201</v>
      </c>
      <c r="P141" s="147">
        <f>Inputs!P47</f>
        <v>233.36226316168899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0.84668681430329684</v>
      </c>
      <c r="M144" s="147">
        <f t="shared" ref="M144:P144" si="5">M140-M136</f>
        <v>0.75585390196036428</v>
      </c>
      <c r="N144" s="147">
        <f t="shared" si="5"/>
        <v>0.75585390196121693</v>
      </c>
      <c r="O144" s="147">
        <f t="shared" si="5"/>
        <v>0.75585390196094693</v>
      </c>
      <c r="P144" s="147">
        <f t="shared" si="5"/>
        <v>0.75585390196120272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0.43514751186748413</v>
      </c>
      <c r="M145" s="147">
        <f t="shared" ref="M145:P145" si="6">M141-M137</f>
        <v>0.27614751186797548</v>
      </c>
      <c r="N145" s="147">
        <f t="shared" si="6"/>
        <v>0.27614751186752073</v>
      </c>
      <c r="O145" s="147">
        <f t="shared" si="6"/>
        <v>0.27614751186763442</v>
      </c>
      <c r="P145" s="147">
        <f t="shared" si="6"/>
        <v>0.27614751186814601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146.6929405754797</v>
      </c>
      <c r="M148" s="147">
        <f>Baseline.Totex.Water*(AllExp.Coeff.Water/100)</f>
        <v>153.84749010462565</v>
      </c>
      <c r="N148" s="147">
        <f>Baseline.Totex.Water*(AllExp.Coeff.Water/100)</f>
        <v>142.46595003405378</v>
      </c>
      <c r="O148" s="147">
        <f>Baseline.Totex.Water*(AllExp.Coeff.Water/100)</f>
        <v>124.10519640769606</v>
      </c>
      <c r="P148" s="147">
        <f>Baseline.Totex.Water*(AllExp.Coeff.Water/100)</f>
        <v>109.9946567658298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189.96129799027253</v>
      </c>
      <c r="M149" s="147">
        <f>Baseline.Totex.Sewerage*(AllExp.Coeff.Sewerage/100)</f>
        <v>202.10716692428102</v>
      </c>
      <c r="N149" s="147">
        <f>Baseline.Totex.Sewerage*(AllExp.Coeff.Sewerage/100)</f>
        <v>233.59535358360748</v>
      </c>
      <c r="O149" s="147">
        <f>Baseline.Totex.Sewerage*(AllExp.Coeff.Sewerage/100)</f>
        <v>232.82131388462437</v>
      </c>
      <c r="P149" s="147">
        <f>Baseline.Totex.Sewerage*(AllExp.Coeff.Sewerage/100)</f>
        <v>233.08611564982084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147.53962738978299</v>
      </c>
      <c r="M152" s="147">
        <f t="shared" ref="M152:P152" si="7">M148+M144</f>
        <v>154.60334400658601</v>
      </c>
      <c r="N152" s="147">
        <f t="shared" si="7"/>
        <v>143.22180393601499</v>
      </c>
      <c r="O152" s="147">
        <f t="shared" si="7"/>
        <v>124.861050309657</v>
      </c>
      <c r="P152" s="147">
        <f t="shared" si="7"/>
        <v>110.750510667791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190.39644550214001</v>
      </c>
      <c r="M153" s="147">
        <f t="shared" ref="M153:P153" si="8">M149+M145</f>
        <v>202.38331443614899</v>
      </c>
      <c r="N153" s="147">
        <f t="shared" si="8"/>
        <v>233.871501095475</v>
      </c>
      <c r="O153" s="147">
        <f t="shared" si="8"/>
        <v>233.09746139649201</v>
      </c>
      <c r="P153" s="147">
        <f t="shared" si="8"/>
        <v>233.36226316168899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-3.52443450381719</v>
      </c>
      <c r="M162" s="209">
        <f>(Actual.Totex.Water-SUM(Inputs!M60:M64))/Indexation.Average-M148</f>
        <v>-14.898691157400521</v>
      </c>
      <c r="N162" s="209">
        <f>(Actual.Totex.Water-SUM(Inputs!N60:N64))/Indexation.Average-N148</f>
        <v>-16.214273050816985</v>
      </c>
      <c r="O162" s="209">
        <f>(Actual.Totex.Water-SUM(Inputs!O60:O64))/Indexation.Average-O148</f>
        <v>8.4948752900763083</v>
      </c>
      <c r="P162" s="209">
        <f>(Actual.Totex.Water-SUM(Inputs!P60:P64))/Indexation.Average-P148</f>
        <v>9.3568272423944592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-30.076971642085738</v>
      </c>
      <c r="M163" s="209">
        <f>(Actual.Totex.Sewerage-SUM(Inputs!M66:M72))/Indexation.Average-M149</f>
        <v>-33.16073291256069</v>
      </c>
      <c r="N163" s="209">
        <f>(Actual.Totex.Sewerage-SUM(Inputs!N66:N72))/Indexation.Average-N149</f>
        <v>-21.418629064229663</v>
      </c>
      <c r="O163" s="209">
        <f>(Actual.Totex.Sewerage-SUM(Inputs!O66:O72))/Indexation.Average-O149</f>
        <v>-31.503033908582353</v>
      </c>
      <c r="P163" s="209">
        <f>(Actual.Totex.Sewerage-SUM(Inputs!P66:P72))/Indexation.Average-P149</f>
        <v>-24.840846131287634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-3.52443450381719</v>
      </c>
      <c r="M166" s="147">
        <f t="shared" ref="L166:P167" si="10">M162+M156</f>
        <v>-14.898691157400521</v>
      </c>
      <c r="N166" s="147">
        <f t="shared" si="10"/>
        <v>-16.214273050816985</v>
      </c>
      <c r="O166" s="147">
        <f t="shared" si="10"/>
        <v>8.4948752900763083</v>
      </c>
      <c r="P166" s="147">
        <f t="shared" si="10"/>
        <v>9.3568272423944592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-30.076971642085738</v>
      </c>
      <c r="M167" s="147">
        <f t="shared" si="10"/>
        <v>-33.16073291256069</v>
      </c>
      <c r="N167" s="147">
        <f t="shared" si="10"/>
        <v>-21.418629064229663</v>
      </c>
      <c r="O167" s="147">
        <f t="shared" si="10"/>
        <v>-31.503033908582353</v>
      </c>
      <c r="P167" s="147">
        <f t="shared" si="10"/>
        <v>-24.840846131287634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-4.0600227388299723</v>
      </c>
      <c r="M170" s="147">
        <f>M166*(1+WACC)^Calcs!M7</f>
        <v>-16.566371026954389</v>
      </c>
      <c r="N170" s="147">
        <f>N166*(1+WACC)^Calcs!N7</f>
        <v>-17.402714408349667</v>
      </c>
      <c r="O170" s="147">
        <f>O166*(1+WACC)^Calcs!O7</f>
        <v>8.8006908005190549</v>
      </c>
      <c r="P170" s="147">
        <f>P166*(1+WACC)^Calcs!P7</f>
        <v>9.3568272423944592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-34.647597692553482</v>
      </c>
      <c r="M171" s="147">
        <f>M167*(1+WACC)^Calcs!M7</f>
        <v>-36.872568143836048</v>
      </c>
      <c r="N171" s="147">
        <f>N167*(1+WACC)^Calcs!N7</f>
        <v>-22.988528900121441</v>
      </c>
      <c r="O171" s="147">
        <f>O167*(1+WACC)^Calcs!O7</f>
        <v>-32.637143129291317</v>
      </c>
      <c r="P171" s="147">
        <f>P167*(1+WACC)^Calcs!P7</f>
        <v>-24.840846131287634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-19.871590131220508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-151.98668399708993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0.56156826424560269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0.53058870052651097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-2.229125208599589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-6.0554719580461267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-8.7123357534309598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-71.34426683774052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tabSelected="1" zoomScale="80" zoomScaleNormal="80" workbookViewId="0">
      <pane xSplit="8" ySplit="7" topLeftCell="I8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M11" s="269"/>
      <c r="N11" s="269"/>
      <c r="P11" s="84">
        <f>Calcs!P197</f>
        <v>-2.229125208599589</v>
      </c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M12" s="269"/>
      <c r="N12" s="269"/>
      <c r="P12" s="84">
        <f>Calcs!P198</f>
        <v>-6.0554719580461267</v>
      </c>
    </row>
    <row r="13" spans="1:22" s="3" customFormat="1" ht="12.75">
      <c r="E13" s="87"/>
      <c r="F13" s="33"/>
      <c r="M13" s="269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M14" s="269"/>
      <c r="P14" s="150">
        <f>SUM(P11:P12)</f>
        <v>-8.2845971666457157</v>
      </c>
    </row>
    <row r="15" spans="1:22" s="3" customFormat="1" ht="12.75">
      <c r="E15" s="87"/>
      <c r="F15" s="87"/>
      <c r="G15" s="87"/>
      <c r="M15" s="269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M17" s="269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M18" s="269"/>
      <c r="N18" s="269"/>
      <c r="P18" s="84">
        <f>Calcs!P202</f>
        <v>-8.7123357534309598</v>
      </c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M19" s="269"/>
      <c r="N19" s="269"/>
      <c r="P19" s="84">
        <f>Calcs!P203</f>
        <v>-71.34426683774052</v>
      </c>
    </row>
    <row r="20" spans="1:22" customFormat="1" ht="15">
      <c r="G20" s="7"/>
      <c r="M20" s="269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M21" s="269"/>
      <c r="P21" s="150">
        <f>SUM(P18:P19)</f>
        <v>-80.056602591171483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K16" sqref="K16"/>
      <selection pane="topRight" activeCell="K16" sqref="K16"/>
      <selection pane="bottomLeft" activeCell="K16" sqref="K16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296.7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289.12099999999998</v>
      </c>
      <c r="Q12" s="122">
        <f>InpActive!O35</f>
        <v>297.8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289.94499999999999</v>
      </c>
      <c r="Q13" s="122">
        <f>InpActive!O36</f>
        <v>298.60000000000002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290.15100000000001</v>
      </c>
      <c r="Q14" s="122">
        <f>InpActive!O37</f>
        <v>298.89999999999998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292.726</v>
      </c>
      <c r="Q15" s="122">
        <f>InpActive!O38</f>
        <v>301.5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292.62299999999999</v>
      </c>
      <c r="Q16" s="122">
        <f>InpActive!O39</f>
        <v>301.39999999999998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293.03500000000003</v>
      </c>
      <c r="Q17" s="122">
        <f>InpActive!O40</f>
        <v>301.8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293.13799999999998</v>
      </c>
      <c r="Q18" s="122">
        <f>InpActive!O41</f>
        <v>301.89999999999998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294.16800000000001</v>
      </c>
      <c r="Q19" s="122">
        <f>InpActive!O42</f>
        <v>303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291.49</v>
      </c>
      <c r="Q20" s="122">
        <f>InpActive!O43</f>
        <v>300.2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293.55</v>
      </c>
      <c r="Q21" s="122">
        <f>InpActive!O44</f>
        <v>303.89999999999998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293.65300000000002</v>
      </c>
      <c r="Q22" s="122">
        <f>InpActive!O45</f>
        <v>304.10000000000002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296.7</v>
      </c>
      <c r="R29" s="127">
        <f t="shared" si="2"/>
        <v>296.7</v>
      </c>
      <c r="S29" s="127">
        <f t="shared" si="2"/>
        <v>296.7</v>
      </c>
      <c r="T29" s="127">
        <f t="shared" si="2"/>
        <v>296.7</v>
      </c>
      <c r="U29" s="127">
        <f t="shared" si="2"/>
        <v>296.7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289.12099999999998</v>
      </c>
      <c r="Q30" s="127">
        <f t="shared" si="3"/>
        <v>297.8</v>
      </c>
      <c r="R30" s="127">
        <f t="shared" si="3"/>
        <v>297.8</v>
      </c>
      <c r="S30" s="127">
        <f t="shared" si="3"/>
        <v>297.8</v>
      </c>
      <c r="T30" s="127">
        <f t="shared" si="3"/>
        <v>297.8</v>
      </c>
      <c r="U30" s="127">
        <f t="shared" si="3"/>
        <v>297.8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289.94499999999999</v>
      </c>
      <c r="Q31" s="127">
        <f t="shared" si="3"/>
        <v>298.60000000000002</v>
      </c>
      <c r="R31" s="127">
        <f t="shared" si="3"/>
        <v>298.60000000000002</v>
      </c>
      <c r="S31" s="127">
        <f t="shared" si="3"/>
        <v>298.60000000000002</v>
      </c>
      <c r="T31" s="127">
        <f t="shared" si="3"/>
        <v>298.60000000000002</v>
      </c>
      <c r="U31" s="127">
        <f t="shared" si="3"/>
        <v>298.60000000000002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290.15100000000001</v>
      </c>
      <c r="Q32" s="127">
        <f t="shared" si="3"/>
        <v>298.89999999999998</v>
      </c>
      <c r="R32" s="127">
        <f t="shared" si="3"/>
        <v>298.89999999999998</v>
      </c>
      <c r="S32" s="127">
        <f t="shared" si="3"/>
        <v>298.89999999999998</v>
      </c>
      <c r="T32" s="127">
        <f t="shared" si="3"/>
        <v>298.89999999999998</v>
      </c>
      <c r="U32" s="127">
        <f t="shared" si="3"/>
        <v>298.89999999999998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292.726</v>
      </c>
      <c r="Q33" s="127">
        <f t="shared" si="3"/>
        <v>301.5</v>
      </c>
      <c r="R33" s="127">
        <f t="shared" si="3"/>
        <v>301.5</v>
      </c>
      <c r="S33" s="127">
        <f t="shared" si="3"/>
        <v>301.5</v>
      </c>
      <c r="T33" s="127">
        <f t="shared" si="3"/>
        <v>301.5</v>
      </c>
      <c r="U33" s="127">
        <f t="shared" si="3"/>
        <v>301.5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292.62299999999999</v>
      </c>
      <c r="Q34" s="127">
        <f t="shared" si="3"/>
        <v>301.39999999999998</v>
      </c>
      <c r="R34" s="127">
        <f t="shared" si="3"/>
        <v>301.39999999999998</v>
      </c>
      <c r="S34" s="127">
        <f t="shared" si="3"/>
        <v>301.39999999999998</v>
      </c>
      <c r="T34" s="127">
        <f t="shared" si="3"/>
        <v>301.39999999999998</v>
      </c>
      <c r="U34" s="127">
        <f t="shared" si="3"/>
        <v>301.39999999999998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293.03500000000003</v>
      </c>
      <c r="Q35" s="127">
        <f t="shared" si="3"/>
        <v>301.8</v>
      </c>
      <c r="R35" s="127">
        <f t="shared" si="3"/>
        <v>301.8</v>
      </c>
      <c r="S35" s="127">
        <f t="shared" si="3"/>
        <v>301.8</v>
      </c>
      <c r="T35" s="127">
        <f t="shared" si="3"/>
        <v>301.8</v>
      </c>
      <c r="U35" s="127">
        <f t="shared" si="3"/>
        <v>301.8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293.13799999999998</v>
      </c>
      <c r="Q36" s="127">
        <f t="shared" si="3"/>
        <v>301.89999999999998</v>
      </c>
      <c r="R36" s="127">
        <f t="shared" si="3"/>
        <v>301.89999999999998</v>
      </c>
      <c r="S36" s="127">
        <f t="shared" si="3"/>
        <v>301.89999999999998</v>
      </c>
      <c r="T36" s="127">
        <f t="shared" si="3"/>
        <v>301.89999999999998</v>
      </c>
      <c r="U36" s="127">
        <f t="shared" si="3"/>
        <v>301.89999999999998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294.16800000000001</v>
      </c>
      <c r="Q37" s="127">
        <f t="shared" si="3"/>
        <v>303</v>
      </c>
      <c r="R37" s="127">
        <f t="shared" si="3"/>
        <v>303</v>
      </c>
      <c r="S37" s="127">
        <f t="shared" si="3"/>
        <v>303</v>
      </c>
      <c r="T37" s="127">
        <f t="shared" si="3"/>
        <v>303</v>
      </c>
      <c r="U37" s="127">
        <f t="shared" si="3"/>
        <v>303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291.49</v>
      </c>
      <c r="Q38" s="127">
        <f t="shared" si="3"/>
        <v>300.2</v>
      </c>
      <c r="R38" s="127">
        <f t="shared" si="3"/>
        <v>300.2</v>
      </c>
      <c r="S38" s="127">
        <f t="shared" si="3"/>
        <v>300.2</v>
      </c>
      <c r="T38" s="127">
        <f t="shared" si="3"/>
        <v>300.2</v>
      </c>
      <c r="U38" s="127">
        <f t="shared" si="3"/>
        <v>300.2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293.55</v>
      </c>
      <c r="Q39" s="127">
        <f t="shared" si="3"/>
        <v>303.89999999999998</v>
      </c>
      <c r="R39" s="127">
        <f t="shared" si="3"/>
        <v>303.89999999999998</v>
      </c>
      <c r="S39" s="127">
        <f t="shared" si="3"/>
        <v>303.89999999999998</v>
      </c>
      <c r="T39" s="127">
        <f t="shared" si="3"/>
        <v>303.89999999999998</v>
      </c>
      <c r="U39" s="127">
        <f t="shared" si="3"/>
        <v>303.89999999999998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293.65300000000002</v>
      </c>
      <c r="Q40" s="127">
        <f t="shared" si="3"/>
        <v>304.10000000000002</v>
      </c>
      <c r="R40" s="127">
        <f t="shared" si="3"/>
        <v>304.10000000000002</v>
      </c>
      <c r="S40" s="127">
        <f t="shared" si="3"/>
        <v>304.10000000000002</v>
      </c>
      <c r="T40" s="127">
        <f t="shared" si="3"/>
        <v>304.10000000000002</v>
      </c>
      <c r="U40" s="127">
        <f t="shared" si="3"/>
        <v>304.10000000000002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291.81666666666678</v>
      </c>
      <c r="Q41" s="123">
        <f t="shared" si="4"/>
        <v>300.81666666666666</v>
      </c>
      <c r="R41" s="123">
        <f t="shared" si="4"/>
        <v>300.81666666666666</v>
      </c>
      <c r="S41" s="123">
        <f t="shared" si="4"/>
        <v>300.81666666666666</v>
      </c>
      <c r="T41" s="123">
        <f t="shared" si="4"/>
        <v>300.81666666666666</v>
      </c>
      <c r="U41" s="123">
        <f t="shared" si="4"/>
        <v>300.81666666666666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1.229090146750524</v>
      </c>
      <c r="R45" s="179">
        <f t="shared" si="5"/>
        <v>1.2658280922431866</v>
      </c>
      <c r="S45" s="179">
        <f t="shared" si="5"/>
        <v>1.2658280922431866</v>
      </c>
      <c r="T45" s="179">
        <f t="shared" si="5"/>
        <v>1.2658280922431866</v>
      </c>
      <c r="U45" s="179">
        <f t="shared" si="5"/>
        <v>1.2658280922431866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1.1926705493682102</v>
      </c>
      <c r="Q49" s="179">
        <f t="shared" si="6"/>
        <v>1.2294540376690168</v>
      </c>
      <c r="R49" s="179">
        <f t="shared" si="6"/>
        <v>1.2294540376690168</v>
      </c>
      <c r="S49" s="179">
        <f t="shared" si="6"/>
        <v>1.2294540376690168</v>
      </c>
      <c r="T49" s="179">
        <f t="shared" si="6"/>
        <v>1.2294540376690168</v>
      </c>
      <c r="U49" s="179">
        <f t="shared" si="6"/>
        <v>1.2294540376690168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3.0032061652499165E-2</v>
      </c>
      <c r="Q51" s="133">
        <f t="shared" si="7"/>
        <v>3.0841281626591499E-2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2019-12-05T11:21:32Z</dcterms:created>
  <dcterms:modified xsi:type="dcterms:W3CDTF">2019-12-10T13:11:23Z</dcterms:modified>
  <cp:category/>
  <cp:contentStatus/>
</cp:coreProperties>
</file>