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<sst xmlns="http://schemas.openxmlformats.org/spreadsheetml/2006/main" count="1356" uniqueCount="480">
  <si>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</si>
  <si>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</si>
  <si>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</si>
  <si>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</si>
  <si>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</si>
  <si>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</si>
  <si>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</si>
  <si>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</si>
  <si>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</si>
  <si>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</si>
  <si>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</si>
  <si>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</si>
  <si>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</si>
  <si>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</si>
  <si>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</si>
  <si>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</si>
  <si>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</si>
  <si>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</si>
  <si>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</si>
  <si>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</si>
  <si>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</si>
  <si>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</si>
  <si>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</si>
  <si>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</si>
  <si>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</si>
  <si>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</si>
  <si>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</si>
  <si>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</si>
  <si>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</si>
  <si>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</si>
  <si>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</si>
  <si>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</si>
  <si>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</si>
  <si>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</si>
  <si>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</si>
  <si>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</si>
  <si>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</si>
  <si>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</si>
  <si>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</si>
  <si>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</si>
  <si>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</si>
  <si>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</si>
  <si>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</si>
  <si>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</si>
  <si>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</si>
  <si>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</si>
  <si>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</si>
  <si>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</si>
  <si>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</si>
  <si>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</si>
  <si>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</si>
  <si>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</si>
  <si>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</si>
  <si>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</si>
  <si>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</si>
  <si>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</si>
  <si>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</si>
  <si>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</si>
  <si>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</si>
  <si>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</si>
  <si>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</si>
  <si>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</si>
  <si>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</si>
  <si>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</si>
  <si>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</si>
  <si>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</si>
  <si>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</si>
  <si>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</si>
  <si>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</si>
  <si>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</si>
  <si>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</si>
  <si>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</si>
  <si>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</si>
  <si>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</si>
  <si>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</si>
  <si>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</si>
  <si>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</si>
  <si>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</si>
  <si>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</si>
  <si>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</si>
  <si>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</si>
  <si>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</si>
  <si>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</si>
  <si>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</si>
  <si>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</si>
  <si>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</si>
  <si>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</si>
  <si>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</si>
  <si>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</si>
  <si>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</si>
  <si>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</si>
  <si>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</si>
  <si>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</si>
  <si>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</si>
  <si>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</si>
  <si>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</si>
  <si>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</si>
  <si>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</si>
  <si>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</si>
  <si>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</si>
  <si>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</si>
  <si>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</si>
  <si>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</si>
  <si>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</si>
  <si>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</si>
  <si>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</si>
  <si>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</si>
  <si>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</si>
  <si>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</si>
  <si>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</si>
  <si>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</si>
  <si>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</si>
  <si>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</si>
  <si>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</si>
  <si>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</si>
  <si>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</si>
  <si>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</si>
  <si>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</si>
  <si>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</si>
  <si>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</si>
  <si>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</si>
  <si>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</si>
  <si>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</si>
  <si>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</si>
  <si>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</si>
  <si>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</si>
  <si>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</si>
  <si>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</si>
  <si>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</si>
  <si>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</si>
  <si>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</si>
  <si>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</si>
  <si>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</si>
  <si>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</si>
  <si>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</si>
  <si>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</si>
  <si>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</si>
  <si>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</si>
  <si>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</si>
  <si>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</si>
  <si>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</si>
  <si>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</si>
  <si>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</si>
  <si>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</si>
  <si>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</si>
  <si>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</si>
  <si>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</si>
  <si>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</si>
  <si>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</si>
  <si>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</si>
  <si>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</si>
  <si>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</si>
  <si>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</si>
  <si>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</si>
  <si>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</si>
  <si>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</si>
  <si>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</si>
  <si>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</si>
  <si>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</si>
  <si>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</si>
  <si>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</si>
  <si>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</si>
  <si>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</si>
  <si>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</si>
  <si>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</si>
  <si>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</si>
  <si>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</si>
  <si>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</si>
  <si>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</si>
  <si>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</si>
  <si>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</si>
  <si>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</si>
  <si>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</si>
  <si>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</si>
  <si>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</si>
  <si>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</si>
  <si>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</si>
  <si>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</si>
  <si>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</si>
  <si>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</si>
  <si>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</si>
  <si>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</si>
  <si>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</si>
  <si>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</si>
  <si>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</si>
  <si>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</si>
  <si>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</si>
  <si>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</si>
  <si>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</si>
  <si>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</si>
  <si>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</si>
  <si>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</si>
  <si>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</si>
  <si>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</si>
  <si>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</si>
  <si>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</si>
  <si>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</si>
  <si>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</si>
  <si>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</si>
  <si>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</si>
  <si>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</si>
  <si>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</si>
  <si>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</si>
  <si>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</si>
  <si>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</si>
  <si>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</si>
  <si>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</si>
  <si>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</si>
  <si>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</si>
  <si>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</si>
  <si>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</si>
  <si>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</si>
  <si>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</si>
  <si>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</si>
  <si>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</si>
  <si>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</si>
  <si>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</si>
  <si>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</si>
  <si>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</si>
  <si>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</si>
  <si>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</si>
  <si>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</si>
  <si>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</si>
  <si>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</si>
  <si>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</si>
  <si>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</si>
  <si>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</si>
  <si>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</si>
  <si>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</si>
  <si>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</si>
  <si>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</si>
  <si>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</si>
  <si>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</si>
  <si>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</si>
  <si>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</si>
  <si>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</si>
  <si>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</si>
  <si>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</si>
  <si>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</si>
  <si>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</si>
  <si>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</si>
  <si>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</si>
  <si>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</si>
  <si>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</si>
  <si>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</si>
  <si>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</si>
  <si>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</si>
  <si>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</si>
  <si>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</si>
  <si>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</si>
  <si>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</si>
  <si>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</si>
  <si>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</si>
  <si>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</si>
  <si>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</si>
  <si>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</si>
  <si>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</si>
  <si>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</si>
  <si>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</si>
  <si>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</si>
  <si>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</si>
  <si>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</si>
  <si>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</si>
  <si>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</si>
  <si>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</si>
  <si>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</si>
  <si>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</si>
  <si>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</si>
  <si>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</si>
  <si>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</si>
  <si>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</si>
  <si>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</si>
  <si>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</si>
  <si>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</si>
  <si>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</si>
  <si>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</si>
  <si>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</si>
  <si>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</si>
  <si>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</si>
  <si>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</si>
  <si>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</si>
  <si>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</si>
  <si>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</si>
  <si>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</si>
  <si>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</si>
  <si>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</si>
  <si>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</si>
  <si>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</si>
  <si>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</si>
  <si>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</si>
  <si>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</si>
  <si>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</si>
  <si>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</si>
  <si>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</si>
  <si>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</si>
  <si>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</si>
  <si>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</si>
  <si>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</si>
  <si>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</si>
  <si>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</si>
  <si>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</si>
  <si>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</si>
  <si>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</si>
  <si>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</si>
  <si>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</si>
  <si>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</si>
  <si>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</si>
  <si>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</si>
  <si>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</si>
  <si>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</si>
  <si>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</si>
  <si>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</si>
  <si>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</si>
  <si>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</si>
  <si>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</si>
  <si>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</si>
  <si>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</si>
  <si>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</si>
  <si>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</si>
  <si>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</si>
  <si>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</si>
  <si>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</si>
  <si>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</si>
  <si>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</si>
  <si>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</si>
  <si>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</si>
  <si>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</si>
  <si>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</si>
  <si>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</si>
  <si>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</si>
  <si>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</si>
  <si>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</si>
  <si>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</si>
  <si>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</si>
  <si>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</si>
  <si>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</si>
  <si>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</si>
  <si>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</si>
  <si>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</si>
  <si>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</si>
  <si>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</si>
  <si>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</si>
  <si>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</si>
  <si>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</si>
  <si>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</si>
  <si>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</si>
  <si>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</si>
  <si>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</si>
  <si>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</si>
  <si>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</si>
  <si>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</si>
  <si>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</si>
  <si>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</si>
  <si>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</si>
  <si>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</si>
  <si>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</si>
  <si>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</si>
  <si>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</si>
  <si>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</si>
  <si>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</si>
  <si>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</si>
  <si>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</si>
  <si>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</si>
  <si>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</si>
  <si>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</si>
  <si>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</si>
  <si>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</si>
  <si>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</si>
  <si>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</si>
  <si>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</si>
  <si>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</si>
  <si>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</si>
  <si>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</si>
  <si>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</si>
  <si>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</si>
  <si>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</si>
  <si>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</si>
  <si>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</si>
  <si>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</si>
  <si>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</si>
  <si>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</si>
  <si>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</si>
  <si>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</si>
  <si>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</si>
  <si>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</si>
  <si>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</si>
  <si>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</si>
  <si>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</si>
  <si>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</si>
  <si>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</si>
  <si>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</si>
  <si>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</si>
  <si>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</si>
  <si>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</si>
  <si>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</si>
  <si>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</si>
  <si>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</si>
  <si>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</si>
  <si>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</si>
  <si>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</si>
  <si>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</si>
  <si>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</si>
  <si>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</si>
  <si>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</si>
  <si>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</si>
  <si>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</si>
  <si>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</si>
  <si>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</si>
  <si>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</si>
  <si>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</si>
  <si>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</si>
  <si>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</si>
  <si>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</si>
  <si>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</si>
  <si>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</si>
  <si>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</si>
  <si>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</si>
  <si>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</si>
  <si>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</si>
  <si>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</si>
  <si>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</si>
  <si>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</si>
  <si>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</si>
  <si>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</si>
  <si>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</si>
  <si>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</si>
  <si>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</si>
  <si>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</si>
  <si>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</si>
  <si>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</si>
  <si>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</si>
  <si>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</si>
  <si>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</si>
  <si>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</si>
  <si>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</si>
  <si>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</si>
  <si>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</si>
  <si>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</si>
  <si>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</si>
  <si>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</si>
  <si>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</si>
  <si>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</si>
  <si>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</si>
  <si>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</si>
  <si>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</si>
  <si>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</si>
  <si>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</si>
  <si>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</si>
  <si>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</si>
  <si>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</si>
  <si>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</si>
  <si>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</si>
  <si>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</si>
  <si>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</si>
  <si>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</si>
  <si>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</si>
  <si>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</si>
  <si>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</si>
  <si>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</si>
  <si>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</si>
  <si>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</si>
  <si>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</si>
  <si>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</si>
  <si>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</si>
  <si>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</si>
  <si>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</si>
  <si>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</si>
  <si>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</si>
  <si>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</si>
  <si>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</si>
  <si>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YKY</t>
  </si>
  <si>
    <t>YKY.PD.REP</t>
  </si>
  <si>
    <t>YKY.PD.D006.01</t>
  </si>
  <si>
    <t>YKY.PD.A2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</si>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</sst>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4" fillId="0" borderId="0" xfId="1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5"/>
  <cols>
    <col min="1" max="1" width="3.710937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4.5425319525929302</v>
      </c>
      <c r="K5" s="217">
        <v>4.5425319525929302</v>
      </c>
      <c r="L5" s="217">
        <v>4.5425319525929302</v>
      </c>
      <c r="M5" s="217">
        <v>4.5425319525929302</v>
      </c>
      <c r="N5" s="217">
        <v>4.5425319525929302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5.9340959397839903</v>
      </c>
      <c r="K6" s="217">
        <v>5.9340959397839903</v>
      </c>
      <c r="L6" s="217">
        <v>5.9340959397839903</v>
      </c>
      <c r="M6" s="217">
        <v>5.9340959397839903</v>
      </c>
      <c r="N6" s="217">
        <v>5.9340959397839903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94.332281295570397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99.504869880768695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94.332281295570397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99.5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346.174889850238</v>
      </c>
      <c r="K12" s="217">
        <v>311.26652548710899</v>
      </c>
      <c r="L12" s="217">
        <v>283.87716549867002</v>
      </c>
      <c r="M12" s="217">
        <v>284.388164744893</v>
      </c>
      <c r="N12" s="217">
        <v>290.70878628068601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387.88780320255398</v>
      </c>
      <c r="K13" s="217">
        <v>387.65270264732601</v>
      </c>
      <c r="L13" s="217">
        <v>387.65270264732601</v>
      </c>
      <c r="M13" s="217">
        <v>387.65270264732601</v>
      </c>
      <c r="N13" s="217">
        <v>387.65270264732601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344.339237461952</v>
      </c>
      <c r="K14" s="217">
        <v>309.13944048344501</v>
      </c>
      <c r="L14" s="217">
        <v>281.35641455571698</v>
      </c>
      <c r="M14" s="217">
        <v>281.87475836925802</v>
      </c>
      <c r="N14" s="217">
        <v>288.286225891041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388.12764331233097</v>
      </c>
      <c r="K15" s="217">
        <v>388.12764331233097</v>
      </c>
      <c r="L15" s="217">
        <v>388.12764331233097</v>
      </c>
      <c r="M15" s="217">
        <v>388.12764331233097</v>
      </c>
      <c r="N15" s="217">
        <v>388.12764331233097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279.79500000000002</v>
      </c>
      <c r="K16" s="217">
        <v>328.92353147038801</v>
      </c>
      <c r="L16" s="217">
        <v>369.596</v>
      </c>
      <c r="M16" s="217">
        <v>439.154</v>
      </c>
      <c r="N16" s="217">
        <v>456.14800000000002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320.91750000000002</v>
      </c>
      <c r="K17" s="217">
        <v>417.545672484345</v>
      </c>
      <c r="L17" s="217">
        <v>423.86</v>
      </c>
      <c r="M17" s="217">
        <v>528.88800000000003</v>
      </c>
      <c r="N17" s="217">
        <v>471.57799999999997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1.6279999999999999</v>
      </c>
      <c r="K18" s="217">
        <v>1.7050000000000001</v>
      </c>
      <c r="L18" s="217">
        <v>2.2509999999999999</v>
      </c>
      <c r="M18" s="217">
        <v>2.8279999999999998</v>
      </c>
      <c r="N18" s="217">
        <v>2.66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7.5090000000000003</v>
      </c>
      <c r="K20" s="217">
        <v>5.1779999999999999</v>
      </c>
      <c r="L20" s="217">
        <v>5.5620000000000003</v>
      </c>
      <c r="M20" s="217">
        <v>6.1420000000000003</v>
      </c>
      <c r="N20" s="217">
        <v>5.9089999999999998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0.40100000000000002</v>
      </c>
      <c r="K21" s="217">
        <v>0.65300000000000002</v>
      </c>
      <c r="L21" s="217">
        <v>1.014</v>
      </c>
      <c r="M21" s="217">
        <v>1.702</v>
      </c>
      <c r="N21" s="217">
        <v>1.079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2E-3</v>
      </c>
      <c r="K22" s="217">
        <v>0</v>
      </c>
      <c r="L22" s="217">
        <v>0</v>
      </c>
      <c r="M22" s="217">
        <v>0</v>
      </c>
      <c r="N22" s="217">
        <v>0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9.7859999999999996</v>
      </c>
      <c r="K24" s="217">
        <v>6.4820000000000002</v>
      </c>
      <c r="L24" s="217">
        <v>6.0860000000000003</v>
      </c>
      <c r="M24" s="217">
        <v>5.6769999999999996</v>
      </c>
      <c r="N24" s="217">
        <v>6.4649999999999999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0.54400000000000004</v>
      </c>
      <c r="K25" s="217">
        <v>0.88300000000000001</v>
      </c>
      <c r="L25" s="217">
        <v>1.389</v>
      </c>
      <c r="M25" s="217">
        <v>2.3620000000000001</v>
      </c>
      <c r="N25" s="217">
        <v>1.4770000000000001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9.6880000000000006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4.79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0.59762000000000004</v>
      </c>
      <c r="K28" s="218">
        <v>0.60158</v>
      </c>
      <c r="L28" s="218">
        <v>0.64469999999999805</v>
      </c>
      <c r="M28" s="218">
        <v>0.65680000000000005</v>
      </c>
      <c r="N28" s="218">
        <v>0.64770000000000005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0.46616999999999997</v>
      </c>
      <c r="K29" s="218">
        <v>0.43584000000000001</v>
      </c>
      <c r="L29" s="218">
        <v>0.45222000000000001</v>
      </c>
      <c r="M29" s="218">
        <v>0.50477000000000005</v>
      </c>
      <c r="N29" s="218">
        <v>0.61278999999999995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7.6120000000000001</v>
      </c>
      <c r="N30" s="217">
        <v>12.734999999999999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10</v>
      </c>
      <c r="K31" s="217">
        <v>46</v>
      </c>
      <c r="L31" s="217">
        <v>0</v>
      </c>
      <c r="M31" s="217">
        <v>0</v>
      </c>
      <c r="N31" s="217">
        <v>0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287.60000000000002</v>
      </c>
      <c r="O34" s="220">
        <v>297.10000000000002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288.3</v>
      </c>
      <c r="O35" s="220">
        <v>298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289.10000000000002</v>
      </c>
      <c r="O36" s="220">
        <v>298.89999999999998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289.2</v>
      </c>
      <c r="O37" s="220">
        <v>299.39999999999998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291.3</v>
      </c>
      <c r="O38" s="220">
        <v>301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291.2</v>
      </c>
      <c r="O39" s="220">
        <v>301.3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291.10000000000002</v>
      </c>
      <c r="O40" s="220">
        <v>301.5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291.2</v>
      </c>
      <c r="O41" s="220">
        <v>301.8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292.8</v>
      </c>
      <c r="O42" s="220">
        <v>304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290.7</v>
      </c>
      <c r="O43" s="220">
        <v>302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292.8</v>
      </c>
      <c r="O44" s="220">
        <v>304.2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293.2</v>
      </c>
      <c r="O45" s="220">
        <v>304.89999999999998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85" zoomScaleNormal="85" workbookViewId="0">
      <pane ySplit="2" topLeftCell="A3" activePane="bottomLeft" state="frozen"/>
      <selection activeCell="A3" sqref="A3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YKY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YKY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YKY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YKY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YKY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YKY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tr">
        <f>F_Inputs!A10</f>
        <v>YKY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>
        <v>99.504869880768695</v>
      </c>
      <c r="Q10" t="s">
        <v>472</v>
      </c>
    </row>
    <row r="11" spans="1:17">
      <c r="A11" t="str">
        <f>F_Inputs!A11</f>
        <v>YKY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YKY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YKY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YKY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YKY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YKY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7">
      <c r="A17" t="str">
        <f>F_Inputs!A17</f>
        <v>YKY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7">
      <c r="A18" t="str">
        <f>F_Inputs!A18</f>
        <v>YKY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tr">
        <f>F_Inputs!A19</f>
        <v>YKY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tr">
        <f>F_Inputs!A20</f>
        <v>YKY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tr">
        <f>F_Inputs!A21</f>
        <v>YKY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tr">
        <f>F_Inputs!A22</f>
        <v>YKY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tr">
        <f>F_Inputs!A23</f>
        <v>YKY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tr">
        <f>F_Inputs!A24</f>
        <v>YKY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tr">
        <f>F_Inputs!A25</f>
        <v>YKY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tr">
        <f>F_Inputs!A26</f>
        <v>YKY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tr">
        <f>F_Inputs!A27</f>
        <v>YKY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tr">
        <f>F_Inputs!A28</f>
        <v>YKY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tr">
        <f>F_Inputs!A29</f>
        <v>YKY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tr">
        <f>F_Inputs!A30</f>
        <v>YKY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>
        <v>0</v>
      </c>
      <c r="N30" s="264">
        <v>0</v>
      </c>
      <c r="O30" s="217"/>
      <c r="P30" s="217"/>
      <c r="Q30" t="s">
        <v>473</v>
      </c>
    </row>
    <row r="31" spans="1:17">
      <c r="A31" t="str">
        <f>F_Inputs!A31</f>
        <v>YKY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tr">
        <f>F_Inputs!A32</f>
        <v>YKY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7">
      <c r="A33" t="str">
        <f>F_Inputs!A33</f>
        <v>YKY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7">
      <c r="A34" t="str">
        <f>F_Inputs!A34</f>
        <v>YKY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>
        <v>296.22800000000001</v>
      </c>
      <c r="P34" s="220"/>
      <c r="Q34" t="s">
        <v>471</v>
      </c>
    </row>
    <row r="35" spans="1:17">
      <c r="A35" t="str">
        <f>F_Inputs!A35</f>
        <v>YKY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>
        <v>296.94900000000001</v>
      </c>
      <c r="P35" s="220"/>
      <c r="Q35" t="s">
        <v>471</v>
      </c>
    </row>
    <row r="36" spans="1:17">
      <c r="A36" t="str">
        <f>F_Inputs!A36</f>
        <v>YKY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>
        <v>297.77300000000002</v>
      </c>
      <c r="P36" s="220"/>
      <c r="Q36" t="s">
        <v>471</v>
      </c>
    </row>
    <row r="37" spans="1:17">
      <c r="A37" t="str">
        <f>F_Inputs!A37</f>
        <v>YKY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>
        <v>297.87599999999998</v>
      </c>
      <c r="P37" s="220"/>
      <c r="Q37" t="s">
        <v>471</v>
      </c>
    </row>
    <row r="38" spans="1:17">
      <c r="A38" t="str">
        <f>F_Inputs!A38</f>
        <v>YKY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>
        <v>300.03900000000004</v>
      </c>
      <c r="P38" s="220"/>
      <c r="Q38" t="s">
        <v>471</v>
      </c>
    </row>
    <row r="39" spans="1:17">
      <c r="A39" t="str">
        <f>F_Inputs!A39</f>
        <v>YKY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>
        <v>299.93599999999998</v>
      </c>
      <c r="P39" s="220"/>
      <c r="Q39" t="s">
        <v>471</v>
      </c>
    </row>
    <row r="40" spans="1:17">
      <c r="A40" t="str">
        <f>F_Inputs!A40</f>
        <v>YKY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>
        <v>299.83300000000003</v>
      </c>
      <c r="P40" s="220"/>
      <c r="Q40" t="s">
        <v>471</v>
      </c>
    </row>
    <row r="41" spans="1:17">
      <c r="A41" t="str">
        <f>F_Inputs!A41</f>
        <v>YKY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>
        <v>299.93599999999998</v>
      </c>
      <c r="P41" s="220"/>
      <c r="Q41" t="s">
        <v>471</v>
      </c>
    </row>
    <row r="42" spans="1:17">
      <c r="A42" t="str">
        <f>F_Inputs!A42</f>
        <v>YKY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>
        <v>301.584</v>
      </c>
      <c r="P42" s="220"/>
      <c r="Q42" t="s">
        <v>471</v>
      </c>
    </row>
    <row r="43" spans="1:17">
      <c r="A43" t="str">
        <f>F_Inputs!A43</f>
        <v>YKY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>
        <v>299.42099999999999</v>
      </c>
      <c r="P43" s="220"/>
      <c r="Q43" t="s">
        <v>471</v>
      </c>
    </row>
    <row r="44" spans="1:17">
      <c r="A44" t="str">
        <f>F_Inputs!A44</f>
        <v>YKY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>
        <v>301.584</v>
      </c>
      <c r="P44" s="220"/>
      <c r="Q44" t="s">
        <v>471</v>
      </c>
    </row>
    <row r="45" spans="1:17">
      <c r="A45" t="str">
        <f>F_Inputs!A45</f>
        <v>YKY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>
        <v>301.99599999999998</v>
      </c>
      <c r="P45" s="220"/>
      <c r="Q45" t="s">
        <v>471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A3" sqref="A3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YKY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YKY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4.5425319525929302</v>
      </c>
      <c r="K5" s="264">
        <f>IF(InpOverride!K5="",F_Inputs!K5,InpOverride!K5)</f>
        <v>4.5425319525929302</v>
      </c>
      <c r="L5" s="264">
        <f>IF(InpOverride!L5="",F_Inputs!L5,InpOverride!L5)</f>
        <v>4.5425319525929302</v>
      </c>
      <c r="M5" s="264">
        <f>IF(InpOverride!M5="",F_Inputs!M5,InpOverride!M5)</f>
        <v>4.5425319525929302</v>
      </c>
      <c r="N5" s="264">
        <f>IF(InpOverride!N5="",F_Inputs!N5,InpOverride!N5)</f>
        <v>4.5425319525929302</v>
      </c>
      <c r="O5" s="217"/>
      <c r="P5" s="217"/>
    </row>
    <row r="6" spans="1:16">
      <c r="A6" t="str">
        <f>F_Inputs!A6</f>
        <v>YKY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5.9340959397839903</v>
      </c>
      <c r="K6" s="264">
        <f>IF(InpOverride!K6="",F_Inputs!K6,InpOverride!K6)</f>
        <v>5.9340959397839903</v>
      </c>
      <c r="L6" s="264">
        <f>IF(InpOverride!L6="",F_Inputs!L6,InpOverride!L6)</f>
        <v>5.9340959397839903</v>
      </c>
      <c r="M6" s="264">
        <f>IF(InpOverride!M6="",F_Inputs!M6,InpOverride!M6)</f>
        <v>5.9340959397839903</v>
      </c>
      <c r="N6" s="264">
        <f>IF(InpOverride!N6="",F_Inputs!N6,InpOverride!N6)</f>
        <v>5.9340959397839903</v>
      </c>
      <c r="O6" s="217"/>
      <c r="P6" s="217"/>
    </row>
    <row r="7" spans="1:16">
      <c r="A7" t="str">
        <f>F_Inputs!A7</f>
        <v>YKY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94.332281295570397</v>
      </c>
    </row>
    <row r="8" spans="1:16">
      <c r="A8" t="str">
        <f>F_Inputs!A8</f>
        <v>YKY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99.504869880768695</v>
      </c>
    </row>
    <row r="9" spans="1:16">
      <c r="A9" t="str">
        <f>F_Inputs!A9</f>
        <v>YKY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94.332281295570397</v>
      </c>
    </row>
    <row r="10" spans="1:16">
      <c r="A10" t="str">
        <f>F_Inputs!A10</f>
        <v>YKY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99.504869880768695</v>
      </c>
    </row>
    <row r="11" spans="1:16">
      <c r="A11" t="str">
        <f>F_Inputs!A11</f>
        <v>YKY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YKY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346.174889850238</v>
      </c>
      <c r="K12" s="264">
        <f>IF(InpOverride!K12="",F_Inputs!K12,InpOverride!K12)</f>
        <v>311.26652548710899</v>
      </c>
      <c r="L12" s="264">
        <f>IF(InpOverride!L12="",F_Inputs!L12,InpOverride!L12)</f>
        <v>283.87716549867002</v>
      </c>
      <c r="M12" s="264">
        <f>IF(InpOverride!M12="",F_Inputs!M12,InpOverride!M12)</f>
        <v>284.388164744893</v>
      </c>
      <c r="N12" s="264">
        <f>IF(InpOverride!N12="",F_Inputs!N12,InpOverride!N12)</f>
        <v>290.70878628068601</v>
      </c>
      <c r="O12" s="217"/>
      <c r="P12" s="217"/>
    </row>
    <row r="13" spans="1:16">
      <c r="A13" t="str">
        <f>F_Inputs!A13</f>
        <v>YKY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387.88780320255398</v>
      </c>
      <c r="K13" s="264">
        <f>IF(InpOverride!K13="",F_Inputs!K13,InpOverride!K13)</f>
        <v>387.65270264732601</v>
      </c>
      <c r="L13" s="264">
        <f>IF(InpOverride!L13="",F_Inputs!L13,InpOverride!L13)</f>
        <v>387.65270264732601</v>
      </c>
      <c r="M13" s="264">
        <f>IF(InpOverride!M13="",F_Inputs!M13,InpOverride!M13)</f>
        <v>387.65270264732601</v>
      </c>
      <c r="N13" s="264">
        <f>IF(InpOverride!N13="",F_Inputs!N13,InpOverride!N13)</f>
        <v>387.65270264732601</v>
      </c>
      <c r="O13" s="217"/>
      <c r="P13" s="217"/>
    </row>
    <row r="14" spans="1:16">
      <c r="A14" t="str">
        <f>F_Inputs!A14</f>
        <v>YKY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344.339237461952</v>
      </c>
      <c r="K14" s="264">
        <f>IF(InpOverride!K14="",F_Inputs!K14,InpOverride!K14)</f>
        <v>309.13944048344501</v>
      </c>
      <c r="L14" s="264">
        <f>IF(InpOverride!L14="",F_Inputs!L14,InpOverride!L14)</f>
        <v>281.35641455571698</v>
      </c>
      <c r="M14" s="264">
        <f>IF(InpOverride!M14="",F_Inputs!M14,InpOverride!M14)</f>
        <v>281.87475836925802</v>
      </c>
      <c r="N14" s="264">
        <f>IF(InpOverride!N14="",F_Inputs!N14,InpOverride!N14)</f>
        <v>288.286225891041</v>
      </c>
      <c r="O14" s="217"/>
      <c r="P14" s="217"/>
    </row>
    <row r="15" spans="1:16">
      <c r="A15" t="str">
        <f>F_Inputs!A15</f>
        <v>YKY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388.12764331233097</v>
      </c>
      <c r="K15" s="264">
        <f>IF(InpOverride!K15="",F_Inputs!K15,InpOverride!K15)</f>
        <v>388.12764331233097</v>
      </c>
      <c r="L15" s="264">
        <f>IF(InpOverride!L15="",F_Inputs!L15,InpOverride!L15)</f>
        <v>388.12764331233097</v>
      </c>
      <c r="M15" s="264">
        <f>IF(InpOverride!M15="",F_Inputs!M15,InpOverride!M15)</f>
        <v>388.12764331233097</v>
      </c>
      <c r="N15" s="264">
        <f>IF(InpOverride!N15="",F_Inputs!N15,InpOverride!N15)</f>
        <v>388.12764331233097</v>
      </c>
      <c r="O15" s="217"/>
      <c r="P15" s="217"/>
    </row>
    <row r="16" spans="1:16">
      <c r="A16" t="str">
        <f>F_Inputs!A16</f>
        <v>YKY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279.79500000000002</v>
      </c>
      <c r="K16" s="264">
        <f>IF(InpOverride!K16="",F_Inputs!K16,InpOverride!K16)</f>
        <v>328.92353147038801</v>
      </c>
      <c r="L16" s="264">
        <f>IF(InpOverride!L16="",F_Inputs!L16,InpOverride!L16)</f>
        <v>369.596</v>
      </c>
      <c r="M16" s="264">
        <f>IF(InpOverride!M16="",F_Inputs!M16,InpOverride!M16)</f>
        <v>439.154</v>
      </c>
      <c r="N16" s="264">
        <f>IF(InpOverride!N16="",F_Inputs!N16,InpOverride!N16)</f>
        <v>456.14800000000002</v>
      </c>
      <c r="O16" s="217"/>
      <c r="P16" s="217"/>
    </row>
    <row r="17" spans="1:16">
      <c r="A17" t="str">
        <f>F_Inputs!A17</f>
        <v>YKY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320.91750000000002</v>
      </c>
      <c r="K17" s="264">
        <f>IF(InpOverride!K17="",F_Inputs!K17,InpOverride!K17)</f>
        <v>417.545672484345</v>
      </c>
      <c r="L17" s="264">
        <f>IF(InpOverride!L17="",F_Inputs!L17,InpOverride!L17)</f>
        <v>423.86</v>
      </c>
      <c r="M17" s="264">
        <f>IF(InpOverride!M17="",F_Inputs!M17,InpOverride!M17)</f>
        <v>528.88800000000003</v>
      </c>
      <c r="N17" s="264">
        <f>IF(InpOverride!N17="",F_Inputs!N17,InpOverride!N17)</f>
        <v>471.57799999999997</v>
      </c>
      <c r="O17" s="217"/>
      <c r="P17" s="217"/>
    </row>
    <row r="18" spans="1:16">
      <c r="A18" t="str">
        <f>F_Inputs!A18</f>
        <v>YKY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1.6279999999999999</v>
      </c>
      <c r="K18" s="264">
        <f>IF(InpOverride!K18="",F_Inputs!K18,InpOverride!K18)</f>
        <v>1.7050000000000001</v>
      </c>
      <c r="L18" s="264">
        <f>IF(InpOverride!L18="",F_Inputs!L18,InpOverride!L18)</f>
        <v>2.2509999999999999</v>
      </c>
      <c r="M18" s="264">
        <f>IF(InpOverride!M18="",F_Inputs!M18,InpOverride!M18)</f>
        <v>2.8279999999999998</v>
      </c>
      <c r="N18" s="264">
        <f>IF(InpOverride!N18="",F_Inputs!N18,InpOverride!N18)</f>
        <v>2.66</v>
      </c>
      <c r="O18" s="217"/>
      <c r="P18" s="217"/>
    </row>
    <row r="19" spans="1:16">
      <c r="A19" t="str">
        <f>F_Inputs!A19</f>
        <v>YKY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YKY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7.5090000000000003</v>
      </c>
      <c r="K20" s="264">
        <f>IF(InpOverride!K20="",F_Inputs!K20,InpOverride!K20)</f>
        <v>5.1779999999999999</v>
      </c>
      <c r="L20" s="264">
        <f>IF(InpOverride!L20="",F_Inputs!L20,InpOverride!L20)</f>
        <v>5.5620000000000003</v>
      </c>
      <c r="M20" s="264">
        <f>IF(InpOverride!M20="",F_Inputs!M20,InpOverride!M20)</f>
        <v>6.1420000000000003</v>
      </c>
      <c r="N20" s="264">
        <f>IF(InpOverride!N20="",F_Inputs!N20,InpOverride!N20)</f>
        <v>5.9089999999999998</v>
      </c>
      <c r="O20" s="217"/>
      <c r="P20" s="217"/>
    </row>
    <row r="21" spans="1:16">
      <c r="A21" t="str">
        <f>F_Inputs!A21</f>
        <v>YKY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0.40100000000000002</v>
      </c>
      <c r="K21" s="264">
        <f>IF(InpOverride!K21="",F_Inputs!K21,InpOverride!K21)</f>
        <v>0.65300000000000002</v>
      </c>
      <c r="L21" s="264">
        <f>IF(InpOverride!L21="",F_Inputs!L21,InpOverride!L21)</f>
        <v>1.014</v>
      </c>
      <c r="M21" s="264">
        <f>IF(InpOverride!M21="",F_Inputs!M21,InpOverride!M21)</f>
        <v>1.702</v>
      </c>
      <c r="N21" s="264">
        <f>IF(InpOverride!N21="",F_Inputs!N21,InpOverride!N21)</f>
        <v>1.079</v>
      </c>
      <c r="O21" s="217"/>
      <c r="P21" s="217"/>
    </row>
    <row r="22" spans="1:16">
      <c r="A22" t="str">
        <f>F_Inputs!A22</f>
        <v>YKY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2E-3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YKY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YKY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9.7859999999999996</v>
      </c>
      <c r="K24" s="264">
        <f>IF(InpOverride!K24="",F_Inputs!K24,InpOverride!K24)</f>
        <v>6.4820000000000002</v>
      </c>
      <c r="L24" s="264">
        <f>IF(InpOverride!L24="",F_Inputs!L24,InpOverride!L24)</f>
        <v>6.0860000000000003</v>
      </c>
      <c r="M24" s="264">
        <f>IF(InpOverride!M24="",F_Inputs!M24,InpOverride!M24)</f>
        <v>5.6769999999999996</v>
      </c>
      <c r="N24" s="264">
        <f>IF(InpOverride!N24="",F_Inputs!N24,InpOverride!N24)</f>
        <v>6.4649999999999999</v>
      </c>
      <c r="O24" s="217"/>
      <c r="P24" s="217"/>
    </row>
    <row r="25" spans="1:16">
      <c r="A25" t="str">
        <f>F_Inputs!A25</f>
        <v>YKY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0.54400000000000004</v>
      </c>
      <c r="K25" s="264">
        <f>IF(InpOverride!K25="",F_Inputs!K25,InpOverride!K25)</f>
        <v>0.88300000000000001</v>
      </c>
      <c r="L25" s="264">
        <f>IF(InpOverride!L25="",F_Inputs!L25,InpOverride!L25)</f>
        <v>1.389</v>
      </c>
      <c r="M25" s="264">
        <f>IF(InpOverride!M25="",F_Inputs!M25,InpOverride!M25)</f>
        <v>2.3620000000000001</v>
      </c>
      <c r="N25" s="264">
        <f>IF(InpOverride!N25="",F_Inputs!N25,InpOverride!N25)</f>
        <v>1.4770000000000001</v>
      </c>
      <c r="O25" s="217"/>
      <c r="P25" s="217"/>
    </row>
    <row r="26" spans="1:16">
      <c r="A26" t="str">
        <f>F_Inputs!A26</f>
        <v>YKY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9.6880000000000006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YKY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4.79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YKY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0.59762000000000004</v>
      </c>
      <c r="K28" s="264">
        <f>IF(InpOverride!K28="",F_Inputs!K28,InpOverride!K28)</f>
        <v>0.60158</v>
      </c>
      <c r="L28" s="264">
        <f>IF(InpOverride!L28="",F_Inputs!L28,InpOverride!L28)</f>
        <v>0.64469999999999805</v>
      </c>
      <c r="M28" s="264">
        <f>IF(InpOverride!M28="",F_Inputs!M28,InpOverride!M28)</f>
        <v>0.65680000000000005</v>
      </c>
      <c r="N28" s="264">
        <f>IF(InpOverride!N28="",F_Inputs!N28,InpOverride!N28)</f>
        <v>0.64770000000000005</v>
      </c>
      <c r="O28" s="218"/>
      <c r="P28" s="218"/>
    </row>
    <row r="29" spans="1:16">
      <c r="A29" t="str">
        <f>F_Inputs!A29</f>
        <v>YKY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0.46616999999999997</v>
      </c>
      <c r="K29" s="264">
        <f>IF(InpOverride!K29="",F_Inputs!K29,InpOverride!K29)</f>
        <v>0.43584000000000001</v>
      </c>
      <c r="L29" s="264">
        <f>IF(InpOverride!L29="",F_Inputs!L29,InpOverride!L29)</f>
        <v>0.45222000000000001</v>
      </c>
      <c r="M29" s="264">
        <f>IF(InpOverride!M29="",F_Inputs!M29,InpOverride!M29)</f>
        <v>0.50477000000000005</v>
      </c>
      <c r="N29" s="264">
        <f>IF(InpOverride!N29="",F_Inputs!N29,InpOverride!N29)</f>
        <v>0.61278999999999995</v>
      </c>
      <c r="O29" s="218"/>
      <c r="P29" s="218"/>
    </row>
    <row r="30" spans="1:16">
      <c r="A30" t="str">
        <f>F_Inputs!A30</f>
        <v>YKY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YKY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10</v>
      </c>
      <c r="K31" s="264">
        <f>IF(InpOverride!K31="",F_Inputs!K31,InpOverride!K31)</f>
        <v>46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YKY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YKY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YKY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287.60000000000002</v>
      </c>
      <c r="O34" s="264">
        <f>IF(InpOverride!O34="",F_Inputs!O34,InpOverride!O34)</f>
        <v>296.22800000000001</v>
      </c>
      <c r="P34" s="220"/>
    </row>
    <row r="35" spans="1:16">
      <c r="A35" t="str">
        <f>F_Inputs!A35</f>
        <v>YKY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288.3</v>
      </c>
      <c r="O35" s="264">
        <f>IF(InpOverride!O35="",F_Inputs!O35,InpOverride!O35)</f>
        <v>296.94900000000001</v>
      </c>
      <c r="P35" s="220"/>
    </row>
    <row r="36" spans="1:16">
      <c r="A36" t="str">
        <f>F_Inputs!A36</f>
        <v>YKY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289.10000000000002</v>
      </c>
      <c r="O36" s="264">
        <f>IF(InpOverride!O36="",F_Inputs!O36,InpOverride!O36)</f>
        <v>297.77300000000002</v>
      </c>
      <c r="P36" s="220"/>
    </row>
    <row r="37" spans="1:16">
      <c r="A37" t="str">
        <f>F_Inputs!A37</f>
        <v>YKY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289.2</v>
      </c>
      <c r="O37" s="264">
        <f>IF(InpOverride!O37="",F_Inputs!O37,InpOverride!O37)</f>
        <v>297.87599999999998</v>
      </c>
      <c r="P37" s="220"/>
    </row>
    <row r="38" spans="1:16">
      <c r="A38" t="str">
        <f>F_Inputs!A38</f>
        <v>YKY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291.3</v>
      </c>
      <c r="O38" s="264">
        <f>IF(InpOverride!O38="",F_Inputs!O38,InpOverride!O38)</f>
        <v>300.03900000000004</v>
      </c>
      <c r="P38" s="220"/>
    </row>
    <row r="39" spans="1:16">
      <c r="A39" t="str">
        <f>F_Inputs!A39</f>
        <v>YKY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291.2</v>
      </c>
      <c r="O39" s="264">
        <f>IF(InpOverride!O39="",F_Inputs!O39,InpOverride!O39)</f>
        <v>299.93599999999998</v>
      </c>
      <c r="P39" s="220"/>
    </row>
    <row r="40" spans="1:16">
      <c r="A40" t="str">
        <f>F_Inputs!A40</f>
        <v>YKY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291.10000000000002</v>
      </c>
      <c r="O40" s="264">
        <f>IF(InpOverride!O40="",F_Inputs!O40,InpOverride!O40)</f>
        <v>299.83300000000003</v>
      </c>
      <c r="P40" s="220"/>
    </row>
    <row r="41" spans="1:16">
      <c r="A41" t="str">
        <f>F_Inputs!A41</f>
        <v>YKY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291.2</v>
      </c>
      <c r="O41" s="264">
        <f>IF(InpOverride!O41="",F_Inputs!O41,InpOverride!O41)</f>
        <v>299.93599999999998</v>
      </c>
      <c r="P41" s="220"/>
    </row>
    <row r="42" spans="1:16">
      <c r="A42" t="str">
        <f>F_Inputs!A42</f>
        <v>YKY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292.8</v>
      </c>
      <c r="O42" s="264">
        <f>IF(InpOverride!O42="",F_Inputs!O42,InpOverride!O42)</f>
        <v>301.584</v>
      </c>
      <c r="P42" s="220"/>
    </row>
    <row r="43" spans="1:16">
      <c r="A43" t="str">
        <f>F_Inputs!A43</f>
        <v>YKY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290.7</v>
      </c>
      <c r="O43" s="264">
        <f>IF(InpOverride!O43="",F_Inputs!O43,InpOverride!O43)</f>
        <v>299.42099999999999</v>
      </c>
      <c r="P43" s="220"/>
    </row>
    <row r="44" spans="1:16">
      <c r="A44" t="str">
        <f>F_Inputs!A44</f>
        <v>YKY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292.8</v>
      </c>
      <c r="O44" s="264">
        <f>IF(InpOverride!O44="",F_Inputs!O44,InpOverride!O44)</f>
        <v>301.584</v>
      </c>
      <c r="P44" s="220"/>
    </row>
    <row r="45" spans="1:16">
      <c r="A45" t="str">
        <f>F_Inputs!A45</f>
        <v>YKY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293.2</v>
      </c>
      <c r="O45" s="264">
        <f>IF(InpOverride!O45="",F_Inputs!O45,InpOverride!O45)</f>
        <v>301.99599999999998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7.4603249674967032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-5.2827440030524286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2.1775809644442745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51.658694842169567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-62.158278683072851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-10.499583840903284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13:21:43</v>
      </c>
      <c r="G10" s="259" t="str">
        <f ca="1">CONCATENATE("[…]", TEXT(NOW(),"dd/mm/yyy hh:mm:ss"))</f>
        <v>[…]10/12/2019 13:21:43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menu_YKY_FD</v>
      </c>
      <c r="G11" s="262" t="str">
        <f ca="1">MID(CELL("filename",F1),SEARCH("[",CELL("filename",F1))+1,SEARCH(".",CELL("filename",F1))-1-SEARCH("[",CELL("filename",F1)))</f>
        <v>Totex menu_YKY_FD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474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475</v>
      </c>
      <c r="C3" s="273" t="s">
        <v>476</v>
      </c>
      <c r="D3" s="273" t="s">
        <v>477</v>
      </c>
      <c r="E3" s="273" t="s">
        <v>478</v>
      </c>
      <c r="F3" s="273" t="s">
        <v>479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YKY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94.332281295570397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99.504869880768695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4.5425319525929302</v>
      </c>
      <c r="M26" s="35">
        <f>InpActive!K5</f>
        <v>4.5425319525929302</v>
      </c>
      <c r="N26" s="35">
        <f>InpActive!L5</f>
        <v>4.5425319525929302</v>
      </c>
      <c r="O26" s="35">
        <f>InpActive!M5</f>
        <v>4.5425319525929302</v>
      </c>
      <c r="P26" s="35">
        <f>InpActive!N5</f>
        <v>4.5425319525929302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5.9340959397839903</v>
      </c>
      <c r="M27" s="35">
        <f>InpActive!K6</f>
        <v>5.9340959397839903</v>
      </c>
      <c r="N27" s="35">
        <f>InpActive!L6</f>
        <v>5.9340959397839903</v>
      </c>
      <c r="O27" s="35">
        <f>InpActive!M6</f>
        <v>5.9340959397839903</v>
      </c>
      <c r="P27" s="35">
        <f>InpActive!N6</f>
        <v>5.9340959397839903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94.332281295570397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99.504869880768695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344.339237461952</v>
      </c>
      <c r="M40" s="35">
        <f>InpActive!K14</f>
        <v>309.13944048344501</v>
      </c>
      <c r="N40" s="35">
        <f>InpActive!L14</f>
        <v>281.35641455571698</v>
      </c>
      <c r="O40" s="35">
        <f>InpActive!M14</f>
        <v>281.87475836925802</v>
      </c>
      <c r="P40" s="35">
        <f>InpActive!N14</f>
        <v>288.286225891041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388.12764331233097</v>
      </c>
      <c r="M41" s="35">
        <f>InpActive!K15</f>
        <v>388.12764331233097</v>
      </c>
      <c r="N41" s="35">
        <f>InpActive!L15</f>
        <v>388.12764331233097</v>
      </c>
      <c r="O41" s="35">
        <f>InpActive!M15</f>
        <v>388.12764331233097</v>
      </c>
      <c r="P41" s="35">
        <f>InpActive!N15</f>
        <v>388.12764331233097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346.174889850238</v>
      </c>
      <c r="M46" s="35">
        <f>InpActive!K12</f>
        <v>311.26652548710899</v>
      </c>
      <c r="N46" s="35">
        <f>InpActive!L12</f>
        <v>283.87716549867002</v>
      </c>
      <c r="O46" s="35">
        <f>InpActive!M12</f>
        <v>284.388164744893</v>
      </c>
      <c r="P46" s="35">
        <f>InpActive!N12</f>
        <v>290.70878628068601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387.88780320255398</v>
      </c>
      <c r="M47" s="35">
        <f>InpActive!K13</f>
        <v>387.65270264732601</v>
      </c>
      <c r="N47" s="35">
        <f>InpActive!L13</f>
        <v>387.65270264732601</v>
      </c>
      <c r="O47" s="35">
        <f>InpActive!M13</f>
        <v>387.65270264732601</v>
      </c>
      <c r="P47" s="35">
        <f>InpActive!N13</f>
        <v>387.65270264732601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279.79500000000002</v>
      </c>
      <c r="M52" s="35">
        <f>InpActive!K16</f>
        <v>328.92353147038801</v>
      </c>
      <c r="N52" s="35">
        <f>InpActive!L16</f>
        <v>369.596</v>
      </c>
      <c r="O52" s="35">
        <f>InpActive!M16</f>
        <v>439.154</v>
      </c>
      <c r="P52" s="35">
        <f>InpActive!N16</f>
        <v>456.14800000000002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320.91750000000002</v>
      </c>
      <c r="M53" s="35">
        <f>InpActive!K17</f>
        <v>417.545672484345</v>
      </c>
      <c r="N53" s="35">
        <f>InpActive!L17</f>
        <v>423.86</v>
      </c>
      <c r="O53" s="35">
        <f>InpActive!M17</f>
        <v>528.88800000000003</v>
      </c>
      <c r="P53" s="35">
        <f>InpActive!N17</f>
        <v>471.57799999999997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1.6279999999999999</v>
      </c>
      <c r="M60" s="35">
        <f>InpActive!K18</f>
        <v>1.7050000000000001</v>
      </c>
      <c r="N60" s="35">
        <f>InpActive!L18</f>
        <v>2.2509999999999999</v>
      </c>
      <c r="O60" s="35">
        <f>InpActive!M18</f>
        <v>2.8279999999999998</v>
      </c>
      <c r="P60" s="35">
        <f>InpActive!N18</f>
        <v>2.66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7.5090000000000003</v>
      </c>
      <c r="M62" s="35">
        <f>InpActive!K20</f>
        <v>5.1779999999999999</v>
      </c>
      <c r="N62" s="35">
        <f>InpActive!L20</f>
        <v>5.5620000000000003</v>
      </c>
      <c r="O62" s="35">
        <f>InpActive!M20</f>
        <v>6.1420000000000003</v>
      </c>
      <c r="P62" s="35">
        <f>InpActive!N20</f>
        <v>5.9089999999999998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0.40100000000000002</v>
      </c>
      <c r="M63" s="35">
        <f>InpActive!K21</f>
        <v>0.65300000000000002</v>
      </c>
      <c r="N63" s="35">
        <f>InpActive!L21</f>
        <v>1.014</v>
      </c>
      <c r="O63" s="35">
        <f>InpActive!M21</f>
        <v>1.702</v>
      </c>
      <c r="P63" s="35">
        <f>InpActive!N21</f>
        <v>1.079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2E-3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9.7859999999999996</v>
      </c>
      <c r="M68" s="35">
        <f>InpActive!K24</f>
        <v>6.4820000000000002</v>
      </c>
      <c r="N68" s="35">
        <f>InpActive!L24</f>
        <v>6.0860000000000003</v>
      </c>
      <c r="O68" s="35">
        <f>InpActive!M24</f>
        <v>5.6769999999999996</v>
      </c>
      <c r="P68" s="35">
        <f>InpActive!N24</f>
        <v>6.4649999999999999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0.54400000000000004</v>
      </c>
      <c r="M69" s="35">
        <f>InpActive!K25</f>
        <v>0.88300000000000001</v>
      </c>
      <c r="N69" s="35">
        <f>InpActive!L25</f>
        <v>1.389</v>
      </c>
      <c r="O69" s="35">
        <f>InpActive!M25</f>
        <v>2.3620000000000001</v>
      </c>
      <c r="P69" s="35">
        <f>InpActive!N25</f>
        <v>1.4770000000000001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10</v>
      </c>
      <c r="M70" s="221">
        <f>InpActive!K31</f>
        <v>46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9.6880000000000006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4.79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0.59762000000000004</v>
      </c>
      <c r="M125" s="173">
        <f>InpActive!K28</f>
        <v>0.60158</v>
      </c>
      <c r="N125" s="173">
        <f>InpActive!L28</f>
        <v>0.64469999999999805</v>
      </c>
      <c r="O125" s="173">
        <f>InpActive!M28</f>
        <v>0.65680000000000005</v>
      </c>
      <c r="P125" s="173">
        <f>InpActive!N28</f>
        <v>0.64770000000000005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0.46616999999999997</v>
      </c>
      <c r="M126" s="173">
        <f>InpActive!K29</f>
        <v>0.43584000000000001</v>
      </c>
      <c r="N126" s="173">
        <f>InpActive!L29</f>
        <v>0.45222000000000001</v>
      </c>
      <c r="O126" s="173">
        <f>InpActive!M29</f>
        <v>0.50477000000000005</v>
      </c>
      <c r="P126" s="173">
        <f>InpActive!N29</f>
        <v>0.61278999999999995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0.51133543740885912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0.98583070323892596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263.87835651419755</v>
      </c>
      <c r="M14" s="50">
        <f>Actual.Totex.Water/Indexation.Average</f>
        <v>303.70526769716218</v>
      </c>
      <c r="N14" s="50">
        <f>Actual.Totex.Water/Indexation.Average</f>
        <v>328.94929085452719</v>
      </c>
      <c r="O14" s="50">
        <f>Actual.Totex.Water/Indexation.Average</f>
        <v>379.26877648027761</v>
      </c>
      <c r="P14" s="50">
        <f>Actual.Totex.Water/Indexation.Average</f>
        <v>383.91748396158806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302.6615288931003</v>
      </c>
      <c r="M15" s="50">
        <f>Actual.Totex.Sewerage/Indexation.Average</f>
        <v>385.53283090074689</v>
      </c>
      <c r="N15" s="50">
        <f>Actual.Totex.Sewerage/Indexation.Average</f>
        <v>377.24555033496011</v>
      </c>
      <c r="O15" s="50">
        <f>Actual.Totex.Sewerage/Indexation.Average</f>
        <v>456.76620195899636</v>
      </c>
      <c r="P15" s="50">
        <f>Actual.Totex.Sewerage/Indexation.Average</f>
        <v>396.90416104342836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8.9954136579725024</v>
      </c>
      <c r="M18" s="50">
        <f>SUM(INDEX(Actual.Exclusions.Water,,M6))/Indexation.Average</f>
        <v>6.958221830875182</v>
      </c>
      <c r="N18" s="50">
        <f>SUM(INDEX(Actual.Exclusions.Water,,N6))/Indexation.Average</f>
        <v>7.8562413834914659</v>
      </c>
      <c r="O18" s="50">
        <f>SUM(INDEX(Actual.Exclusions.Water,,O6))/Indexation.Average</f>
        <v>9.2167130040885947</v>
      </c>
      <c r="P18" s="50">
        <f>SUM(INDEX(Actual.Exclusions.Water,,P6))/Indexation.Average</f>
        <v>8.1202501934929039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19.17537748939997</v>
      </c>
      <c r="M19" s="212">
        <f>SUM(Inputs!M66:M72)/Indexation.Average</f>
        <v>49.27355467153054</v>
      </c>
      <c r="N19" s="212">
        <f>SUM(Inputs!N66:N72)/Indexation.Average</f>
        <v>6.6529290066385762</v>
      </c>
      <c r="O19" s="212">
        <f>SUM(Inputs!O66:O72)/Indexation.Average</f>
        <v>6.9427619789981456</v>
      </c>
      <c r="P19" s="212">
        <f>SUM(Inputs!P66:P72)/Indexation.Average</f>
        <v>6.6843933495771815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9.6880000000000006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4.79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264.57094285622503</v>
      </c>
      <c r="M30" s="212">
        <f t="shared" ref="M30:P30" si="2">M14-M18+M22</f>
        <v>296.74704586628701</v>
      </c>
      <c r="N30" s="212">
        <f t="shared" si="2"/>
        <v>321.09304947103573</v>
      </c>
      <c r="O30" s="212">
        <f t="shared" si="2"/>
        <v>370.05206347618901</v>
      </c>
      <c r="P30" s="212">
        <f t="shared" si="2"/>
        <v>375.79723376809517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288.27615140370034</v>
      </c>
      <c r="M31" s="212">
        <f t="shared" ref="M31:P31" si="3">M15-M19+M23</f>
        <v>336.25927622921637</v>
      </c>
      <c r="N31" s="212">
        <f t="shared" si="3"/>
        <v>370.59262132832151</v>
      </c>
      <c r="O31" s="212">
        <f t="shared" si="3"/>
        <v>449.82343997999823</v>
      </c>
      <c r="P31" s="212">
        <f t="shared" si="3"/>
        <v>390.21976769385117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552.84709425992537</v>
      </c>
      <c r="M32" s="77">
        <f>SUM(M30:M31)</f>
        <v>633.00632209550338</v>
      </c>
      <c r="N32" s="77">
        <f t="shared" ref="N32:P32" si="4">SUM(N30:N31)</f>
        <v>691.68567079935724</v>
      </c>
      <c r="O32" s="77">
        <f t="shared" si="4"/>
        <v>819.87550345618729</v>
      </c>
      <c r="P32" s="77">
        <f t="shared" si="4"/>
        <v>766.01700146194639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0.51133543740885912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98.583070323892599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0.69240332039743002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0.5009902602384626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99.876217470192174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6.1768687986428539E-2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0.51133543740885912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98.583070323892599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0.69240332039743002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0.5009902602384626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99.876217470192174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6.1768687986428539E-2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1.0819033754172105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108.19033754172105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-4.2201328647346736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-4.2201328647346735E-2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0.94565346645938497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94.56534664593849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2.7224632443221397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2.7224632443221396E-2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-63.512834048375865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52.83316215115974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2.3842163136177468</v>
      </c>
      <c r="M97" s="147">
        <f>FD.AddInc.Coeff.Water/100*Baseline.Totex.Water</f>
        <v>2.1404917505654102</v>
      </c>
      <c r="N97" s="147">
        <f>FD.AddInc.Coeff.Water/100*Baseline.Totex.Water</f>
        <v>1.9481211565349426</v>
      </c>
      <c r="O97" s="147">
        <f>FD.AddInc.Coeff.Water/100*Baseline.Totex.Water</f>
        <v>1.9517101863109754</v>
      </c>
      <c r="P97" s="147">
        <f>FD.AddInc.Coeff.Water/100*Baseline.Totex.Water</f>
        <v>1.9961034003180036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0.23974135298667199</v>
      </c>
      <c r="M98" s="147">
        <f>FD.AddInc.Coeff.Sewerage/100*Baseline.Totex.Sewerage</f>
        <v>0.23974135298667199</v>
      </c>
      <c r="N98" s="147">
        <f>FD.AddInc.Coeff.Sewerage/100*Baseline.Totex.Sewerage</f>
        <v>0.23974135298667199</v>
      </c>
      <c r="O98" s="147">
        <f>FD.AddInc.Coeff.Sewerage/100*Baseline.Totex.Sewerage</f>
        <v>0.23974135298667199</v>
      </c>
      <c r="P98" s="147">
        <f>FD.AddInc.Coeff.Sewerage/100*Baseline.Totex.Sewerage</f>
        <v>0.23974135298667199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-73.933476855722944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51.634455386226378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-16.915789639926352</v>
      </c>
      <c r="M105" s="147">
        <f>IF(SUM(Baseline.Totex.Water)=0,0,$G101*(Baseline.Totex.Water/SUM(Baseline.Totex.Water)))</f>
        <v>-15.186586876264158</v>
      </c>
      <c r="N105" s="147">
        <f>IF(SUM(Baseline.Totex.Water)=0,0,$G101*(Baseline.Totex.Water/SUM(Baseline.Totex.Water)))</f>
        <v>-13.821735674239886</v>
      </c>
      <c r="O105" s="147">
        <f>IF(SUM(Baseline.Totex.Water)=0,0,$G101*(Baseline.Totex.Water/SUM(Baseline.Totex.Water)))</f>
        <v>-13.847199501643484</v>
      </c>
      <c r="P105" s="147">
        <f>IF(SUM(Baseline.Totex.Water)=0,0,$G101*(Baseline.Totex.Water/SUM(Baseline.Totex.Water)))</f>
        <v>-14.162165163649066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10.326891077245277</v>
      </c>
      <c r="M106" s="147">
        <f>IF(SUM(Baseline.Totex.Sewerage)=0,0,$G102*(Baseline.Totex.Sewerage/SUM(Baseline.Totex.Sewerage)))</f>
        <v>10.326891077245277</v>
      </c>
      <c r="N106" s="147">
        <f>IF(SUM(Baseline.Totex.Sewerage)=0,0,$G102*(Baseline.Totex.Sewerage/SUM(Baseline.Totex.Sewerage)))</f>
        <v>10.326891077245277</v>
      </c>
      <c r="O106" s="147">
        <f>IF(SUM(Baseline.Totex.Sewerage)=0,0,$G102*(Baseline.Totex.Sewerage/SUM(Baseline.Totex.Sewerage)))</f>
        <v>10.326891077245277</v>
      </c>
      <c r="P106" s="147">
        <f>IF(SUM(Baseline.Totex.Sewerage)=0,0,$G102*(Baseline.Totex.Sewerage/SUM(Baseline.Totex.Sewerage)))</f>
        <v>10.326891077245277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-19.486385832672511</v>
      </c>
      <c r="M109" s="147">
        <f>M105*(1+WACC)^Calcs!M7</f>
        <v>-16.886492254072902</v>
      </c>
      <c r="N109" s="147">
        <f>N105*(1+WACC)^Calcs!N7</f>
        <v>-14.834813612218973</v>
      </c>
      <c r="O109" s="147">
        <f>O105*(1+WACC)^Calcs!O7</f>
        <v>-14.345698683702651</v>
      </c>
      <c r="P109" s="147">
        <f>P105*(1+WACC)^Calcs!P7</f>
        <v>-14.162165163649066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11.89620988831714</v>
      </c>
      <c r="M110" s="147">
        <f>M106*(1+WACC)^Calcs!M7</f>
        <v>11.482828077526197</v>
      </c>
      <c r="N110" s="147">
        <f>N106*(1+WACC)^Calcs!N7</f>
        <v>11.083810885643047</v>
      </c>
      <c r="O110" s="147">
        <f>O106*(1+WACC)^Calcs!O7</f>
        <v>10.698659156026107</v>
      </c>
      <c r="P110" s="147">
        <f>P106*(1+WACC)^Calcs!P7</f>
        <v>10.326891077245277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-79.715555546316097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55.488399084757773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339.46019261987163</v>
      </c>
      <c r="M136" s="147">
        <f>Baseline.Totex.Water*(FD.AllExp.Coeff.Water/100)</f>
        <v>304.75915201068267</v>
      </c>
      <c r="N136" s="147">
        <f>Baseline.Totex.Water*(FD.AllExp.Coeff.Water/100)</f>
        <v>277.36979202224524</v>
      </c>
      <c r="O136" s="147">
        <f>Baseline.Totex.Water*(FD.AllExp.Coeff.Water/100)</f>
        <v>277.88079126846799</v>
      </c>
      <c r="P136" s="147">
        <f>Baseline.Totex.Water*(FD.AllExp.Coeff.Water/100)</f>
        <v>284.20141280426083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387.64720909655546</v>
      </c>
      <c r="M137" s="147">
        <f>Baseline.Totex.Sewerage*(FD.AllExp.Coeff.Sewerage/100)</f>
        <v>387.64720909655546</v>
      </c>
      <c r="N137" s="147">
        <f>Baseline.Totex.Sewerage*(FD.AllExp.Coeff.Sewerage/100)</f>
        <v>387.64720909655546</v>
      </c>
      <c r="O137" s="147">
        <f>Baseline.Totex.Sewerage*(FD.AllExp.Coeff.Sewerage/100)</f>
        <v>387.64720909655546</v>
      </c>
      <c r="P137" s="147">
        <f>Baseline.Totex.Sewerage*(FD.AllExp.Coeff.Sewerage/100)</f>
        <v>387.64720909655546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346.174889850238</v>
      </c>
      <c r="M140" s="147">
        <f>Inputs!M46</f>
        <v>311.26652548710899</v>
      </c>
      <c r="N140" s="147">
        <f>Inputs!N46</f>
        <v>283.87716549867002</v>
      </c>
      <c r="O140" s="147">
        <f>Inputs!O46</f>
        <v>284.388164744893</v>
      </c>
      <c r="P140" s="147">
        <f>Inputs!P46</f>
        <v>290.70878628068601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387.88780320255398</v>
      </c>
      <c r="M141" s="147">
        <f>Inputs!M47</f>
        <v>387.65270264732601</v>
      </c>
      <c r="N141" s="147">
        <f>Inputs!N47</f>
        <v>387.65270264732601</v>
      </c>
      <c r="O141" s="147">
        <f>Inputs!O47</f>
        <v>387.65270264732601</v>
      </c>
      <c r="P141" s="147">
        <f>Inputs!P47</f>
        <v>387.65270264732601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6.7146972303663688</v>
      </c>
      <c r="M144" s="147">
        <f t="shared" ref="M144:P144" si="5">M140-M136</f>
        <v>6.5073734764263236</v>
      </c>
      <c r="N144" s="147">
        <f t="shared" si="5"/>
        <v>6.5073734764247888</v>
      </c>
      <c r="O144" s="147">
        <f t="shared" si="5"/>
        <v>6.5073734764250162</v>
      </c>
      <c r="P144" s="147">
        <f t="shared" si="5"/>
        <v>6.5073734764251867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0.24059410599852527</v>
      </c>
      <c r="M145" s="147">
        <f t="shared" ref="M145:P145" si="6">M141-M137</f>
        <v>5.4935507705522468E-3</v>
      </c>
      <c r="N145" s="147">
        <f t="shared" si="6"/>
        <v>5.4935507705522468E-3</v>
      </c>
      <c r="O145" s="147">
        <f t="shared" si="6"/>
        <v>5.4935507705522468E-3</v>
      </c>
      <c r="P145" s="147">
        <f t="shared" si="6"/>
        <v>5.4935507705522468E-3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339.46019261987163</v>
      </c>
      <c r="M148" s="147">
        <f>Baseline.Totex.Water*(AllExp.Coeff.Water/100)</f>
        <v>304.75915201068267</v>
      </c>
      <c r="N148" s="147">
        <f>Baseline.Totex.Water*(AllExp.Coeff.Water/100)</f>
        <v>277.36979202224524</v>
      </c>
      <c r="O148" s="147">
        <f>Baseline.Totex.Water*(AllExp.Coeff.Water/100)</f>
        <v>277.88079126846799</v>
      </c>
      <c r="P148" s="147">
        <f>Baseline.Totex.Water*(AllExp.Coeff.Water/100)</f>
        <v>284.20141280426083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387.64720909655546</v>
      </c>
      <c r="M149" s="147">
        <f>Baseline.Totex.Sewerage*(AllExp.Coeff.Sewerage/100)</f>
        <v>387.64720909655546</v>
      </c>
      <c r="N149" s="147">
        <f>Baseline.Totex.Sewerage*(AllExp.Coeff.Sewerage/100)</f>
        <v>387.64720909655546</v>
      </c>
      <c r="O149" s="147">
        <f>Baseline.Totex.Sewerage*(AllExp.Coeff.Sewerage/100)</f>
        <v>387.64720909655546</v>
      </c>
      <c r="P149" s="147">
        <f>Baseline.Totex.Sewerage*(AllExp.Coeff.Sewerage/100)</f>
        <v>387.64720909655546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346.174889850238</v>
      </c>
      <c r="M152" s="147">
        <f t="shared" ref="M152:P152" si="7">M148+M144</f>
        <v>311.26652548710899</v>
      </c>
      <c r="N152" s="147">
        <f t="shared" si="7"/>
        <v>283.87716549867002</v>
      </c>
      <c r="O152" s="147">
        <f t="shared" si="7"/>
        <v>284.388164744893</v>
      </c>
      <c r="P152" s="147">
        <f t="shared" si="7"/>
        <v>290.70878628068601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387.88780320255398</v>
      </c>
      <c r="M153" s="147">
        <f t="shared" ref="M153:P153" si="8">M149+M145</f>
        <v>387.65270264732601</v>
      </c>
      <c r="N153" s="147">
        <f t="shared" si="8"/>
        <v>387.65270264732601</v>
      </c>
      <c r="O153" s="147">
        <f t="shared" si="8"/>
        <v>387.65270264732601</v>
      </c>
      <c r="P153" s="147">
        <f t="shared" si="8"/>
        <v>387.65270264732601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-74.889249763646546</v>
      </c>
      <c r="M162" s="209">
        <f>(Actual.Totex.Water-SUM(Inputs!M60:M64))/Indexation.Average-M148</f>
        <v>-8.012106144395716</v>
      </c>
      <c r="N162" s="209">
        <f>(Actual.Totex.Water-SUM(Inputs!N60:N64))/Indexation.Average-N148</f>
        <v>43.723257448790491</v>
      </c>
      <c r="O162" s="209">
        <f>(Actual.Totex.Water-SUM(Inputs!O60:O64))/Indexation.Average-O148</f>
        <v>92.171272207721017</v>
      </c>
      <c r="P162" s="209">
        <f>(Actual.Totex.Water-SUM(Inputs!P60:P64))/Indexation.Average-P148</f>
        <v>91.595820963834285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-99.371057692855118</v>
      </c>
      <c r="M163" s="209">
        <f>(Actual.Totex.Sewerage-SUM(Inputs!M66:M72))/Indexation.Average-M149</f>
        <v>-51.387932867339146</v>
      </c>
      <c r="N163" s="209">
        <f>(Actual.Totex.Sewerage-SUM(Inputs!N66:N72))/Indexation.Average-N149</f>
        <v>-17.054587768233944</v>
      </c>
      <c r="O163" s="209">
        <f>(Actual.Totex.Sewerage-SUM(Inputs!O66:O72))/Indexation.Average-O149</f>
        <v>62.17623088344277</v>
      </c>
      <c r="P163" s="209">
        <f>(Actual.Totex.Sewerage-SUM(Inputs!P66:P72))/Indexation.Average-P149</f>
        <v>2.5725585972957106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-74.889249763646546</v>
      </c>
      <c r="M166" s="147">
        <f t="shared" ref="L166:P167" si="10">M162+M156</f>
        <v>-8.012106144395716</v>
      </c>
      <c r="N166" s="147">
        <f t="shared" si="10"/>
        <v>43.723257448790491</v>
      </c>
      <c r="O166" s="147">
        <f t="shared" si="10"/>
        <v>92.171272207721017</v>
      </c>
      <c r="P166" s="147">
        <f t="shared" si="10"/>
        <v>91.595820963834285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-99.371057692855118</v>
      </c>
      <c r="M167" s="147">
        <f t="shared" si="10"/>
        <v>-51.387932867339146</v>
      </c>
      <c r="N167" s="147">
        <f t="shared" si="10"/>
        <v>-17.054587768233944</v>
      </c>
      <c r="O167" s="147">
        <f t="shared" si="10"/>
        <v>62.17623088344277</v>
      </c>
      <c r="P167" s="147">
        <f t="shared" si="10"/>
        <v>2.5725585972957106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-86.269742452303788</v>
      </c>
      <c r="M170" s="147">
        <f>M166*(1+WACC)^Calcs!M7</f>
        <v>-8.9089384895041377</v>
      </c>
      <c r="N170" s="147">
        <f>N166*(1+WACC)^Calcs!N7</f>
        <v>46.927997326757037</v>
      </c>
      <c r="O170" s="147">
        <f>O166*(1+WACC)^Calcs!O7</f>
        <v>95.48943800719897</v>
      </c>
      <c r="P170" s="147">
        <f>P166*(1+WACC)^Calcs!P7</f>
        <v>91.595820963834285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-114.47191127473522</v>
      </c>
      <c r="M171" s="147">
        <f>M167*(1+WACC)^Calcs!M7</f>
        <v>-57.140023455395848</v>
      </c>
      <c r="N171" s="147">
        <f>N167*(1+WACC)^Calcs!N7</f>
        <v>-18.304620833294418</v>
      </c>
      <c r="O171" s="147">
        <f>O167*(1+WACC)^Calcs!O7</f>
        <v>64.414575195246712</v>
      </c>
      <c r="P171" s="147">
        <f>P167*(1+WACC)^Calcs!P7</f>
        <v>2.5725585972957106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138.83457535598237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-122.92942177088305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0.62791188931350306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0.49435799999999996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7.4603249674967032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-5.2827440030524286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51.658694842169567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-62.158278683072851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tabSelected="1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2.75">
      <c r="A11" s="69"/>
      <c r="D11" s="30" t="s">
        <v>41</v>
      </c>
      <c r="E11" s="87" t="s">
        <v>306</v>
      </c>
      <c r="F11" s="33" t="s">
        <v>28</v>
      </c>
      <c r="N11" s="269"/>
      <c r="P11" s="84">
        <f>Calcs!P197</f>
        <v>7.4603249674967032</v>
      </c>
    </row>
    <row r="12" spans="1:22" s="3" customFormat="1" ht="12.75">
      <c r="A12" s="69"/>
      <c r="D12" s="30" t="s">
        <v>41</v>
      </c>
      <c r="E12" s="87" t="s">
        <v>307</v>
      </c>
      <c r="F12" s="33" t="s">
        <v>28</v>
      </c>
      <c r="N12" s="269"/>
      <c r="P12" s="84">
        <f>Calcs!P198</f>
        <v>-5.2827440030524286</v>
      </c>
    </row>
    <row r="13" spans="1:22" s="3" customFormat="1" ht="12.75">
      <c r="E13" s="87"/>
      <c r="F13" s="3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P14" s="150">
        <f>SUM(P11:P12)</f>
        <v>2.1775809644442745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2.75">
      <c r="A18" s="69"/>
      <c r="D18" s="30" t="s">
        <v>41</v>
      </c>
      <c r="E18" s="87" t="s">
        <v>309</v>
      </c>
      <c r="F18" s="33" t="s">
        <v>28</v>
      </c>
      <c r="N18" s="269"/>
      <c r="P18" s="84">
        <f>Calcs!P202</f>
        <v>51.658694842169567</v>
      </c>
    </row>
    <row r="19" spans="1:22" s="3" customFormat="1" ht="12.75">
      <c r="A19" s="69"/>
      <c r="D19" s="30" t="s">
        <v>41</v>
      </c>
      <c r="E19" s="87" t="s">
        <v>310</v>
      </c>
      <c r="F19" s="33" t="s">
        <v>28</v>
      </c>
      <c r="N19" s="269"/>
      <c r="P19" s="84">
        <f>Calcs!P203</f>
        <v>-62.158278683072851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P21" s="150">
        <f>SUM(P18:P19)</f>
        <v>-10.499583840903284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287.60000000000002</v>
      </c>
      <c r="Q11" s="122">
        <f>InpActive!O34</f>
        <v>296.22800000000001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288.3</v>
      </c>
      <c r="Q12" s="122">
        <f>InpActive!O35</f>
        <v>296.94900000000001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289.10000000000002</v>
      </c>
      <c r="Q13" s="122">
        <f>InpActive!O36</f>
        <v>297.77300000000002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289.2</v>
      </c>
      <c r="Q14" s="122">
        <f>InpActive!O37</f>
        <v>297.87599999999998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291.3</v>
      </c>
      <c r="Q15" s="122">
        <f>InpActive!O38</f>
        <v>300.03900000000004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291.2</v>
      </c>
      <c r="Q16" s="122">
        <f>InpActive!O39</f>
        <v>299.93599999999998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291.10000000000002</v>
      </c>
      <c r="Q17" s="122">
        <f>InpActive!O40</f>
        <v>299.83300000000003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291.2</v>
      </c>
      <c r="Q18" s="122">
        <f>InpActive!O41</f>
        <v>299.93599999999998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292.8</v>
      </c>
      <c r="Q19" s="122">
        <f>InpActive!O42</f>
        <v>301.584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290.7</v>
      </c>
      <c r="Q20" s="122">
        <f>InpActive!O43</f>
        <v>299.42099999999999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292.8</v>
      </c>
      <c r="Q21" s="122">
        <f>InpActive!O44</f>
        <v>301.584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293.2</v>
      </c>
      <c r="Q22" s="122">
        <f>InpActive!O45</f>
        <v>301.99599999999998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287.60000000000002</v>
      </c>
      <c r="Q29" s="127">
        <f t="shared" si="2"/>
        <v>296.22800000000001</v>
      </c>
      <c r="R29" s="127">
        <f t="shared" si="2"/>
        <v>296.22800000000001</v>
      </c>
      <c r="S29" s="127">
        <f t="shared" si="2"/>
        <v>296.22800000000001</v>
      </c>
      <c r="T29" s="127">
        <f t="shared" si="2"/>
        <v>296.22800000000001</v>
      </c>
      <c r="U29" s="127">
        <f t="shared" si="2"/>
        <v>296.22800000000001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288.3</v>
      </c>
      <c r="Q30" s="127">
        <f t="shared" si="3"/>
        <v>296.94900000000001</v>
      </c>
      <c r="R30" s="127">
        <f t="shared" si="3"/>
        <v>296.94900000000001</v>
      </c>
      <c r="S30" s="127">
        <f t="shared" si="3"/>
        <v>296.94900000000001</v>
      </c>
      <c r="T30" s="127">
        <f t="shared" si="3"/>
        <v>296.94900000000001</v>
      </c>
      <c r="U30" s="127">
        <f t="shared" si="3"/>
        <v>296.94900000000001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289.10000000000002</v>
      </c>
      <c r="Q31" s="127">
        <f t="shared" si="3"/>
        <v>297.77300000000002</v>
      </c>
      <c r="R31" s="127">
        <f t="shared" si="3"/>
        <v>297.77300000000002</v>
      </c>
      <c r="S31" s="127">
        <f t="shared" si="3"/>
        <v>297.77300000000002</v>
      </c>
      <c r="T31" s="127">
        <f t="shared" si="3"/>
        <v>297.77300000000002</v>
      </c>
      <c r="U31" s="127">
        <f t="shared" si="3"/>
        <v>297.77300000000002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289.2</v>
      </c>
      <c r="Q32" s="127">
        <f t="shared" si="3"/>
        <v>297.87599999999998</v>
      </c>
      <c r="R32" s="127">
        <f t="shared" si="3"/>
        <v>297.87599999999998</v>
      </c>
      <c r="S32" s="127">
        <f t="shared" si="3"/>
        <v>297.87599999999998</v>
      </c>
      <c r="T32" s="127">
        <f t="shared" si="3"/>
        <v>297.87599999999998</v>
      </c>
      <c r="U32" s="127">
        <f t="shared" si="3"/>
        <v>297.87599999999998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291.3</v>
      </c>
      <c r="Q33" s="127">
        <f t="shared" si="3"/>
        <v>300.03900000000004</v>
      </c>
      <c r="R33" s="127">
        <f t="shared" si="3"/>
        <v>300.03900000000004</v>
      </c>
      <c r="S33" s="127">
        <f t="shared" si="3"/>
        <v>300.03900000000004</v>
      </c>
      <c r="T33" s="127">
        <f t="shared" si="3"/>
        <v>300.03900000000004</v>
      </c>
      <c r="U33" s="127">
        <f t="shared" si="3"/>
        <v>300.03900000000004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291.2</v>
      </c>
      <c r="Q34" s="127">
        <f t="shared" si="3"/>
        <v>299.93599999999998</v>
      </c>
      <c r="R34" s="127">
        <f t="shared" si="3"/>
        <v>299.93599999999998</v>
      </c>
      <c r="S34" s="127">
        <f t="shared" si="3"/>
        <v>299.93599999999998</v>
      </c>
      <c r="T34" s="127">
        <f t="shared" si="3"/>
        <v>299.93599999999998</v>
      </c>
      <c r="U34" s="127">
        <f t="shared" si="3"/>
        <v>299.93599999999998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291.10000000000002</v>
      </c>
      <c r="Q35" s="127">
        <f t="shared" si="3"/>
        <v>299.83300000000003</v>
      </c>
      <c r="R35" s="127">
        <f t="shared" si="3"/>
        <v>299.83300000000003</v>
      </c>
      <c r="S35" s="127">
        <f t="shared" si="3"/>
        <v>299.83300000000003</v>
      </c>
      <c r="T35" s="127">
        <f t="shared" si="3"/>
        <v>299.83300000000003</v>
      </c>
      <c r="U35" s="127">
        <f t="shared" si="3"/>
        <v>299.83300000000003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291.2</v>
      </c>
      <c r="Q36" s="127">
        <f t="shared" si="3"/>
        <v>299.93599999999998</v>
      </c>
      <c r="R36" s="127">
        <f t="shared" si="3"/>
        <v>299.93599999999998</v>
      </c>
      <c r="S36" s="127">
        <f t="shared" si="3"/>
        <v>299.93599999999998</v>
      </c>
      <c r="T36" s="127">
        <f t="shared" si="3"/>
        <v>299.93599999999998</v>
      </c>
      <c r="U36" s="127">
        <f t="shared" si="3"/>
        <v>299.93599999999998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292.8</v>
      </c>
      <c r="Q37" s="127">
        <f t="shared" si="3"/>
        <v>301.584</v>
      </c>
      <c r="R37" s="127">
        <f t="shared" si="3"/>
        <v>301.584</v>
      </c>
      <c r="S37" s="127">
        <f t="shared" si="3"/>
        <v>301.584</v>
      </c>
      <c r="T37" s="127">
        <f t="shared" si="3"/>
        <v>301.584</v>
      </c>
      <c r="U37" s="127">
        <f t="shared" si="3"/>
        <v>301.584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290.7</v>
      </c>
      <c r="Q38" s="127">
        <f t="shared" si="3"/>
        <v>299.42099999999999</v>
      </c>
      <c r="R38" s="127">
        <f t="shared" si="3"/>
        <v>299.42099999999999</v>
      </c>
      <c r="S38" s="127">
        <f t="shared" si="3"/>
        <v>299.42099999999999</v>
      </c>
      <c r="T38" s="127">
        <f t="shared" si="3"/>
        <v>299.42099999999999</v>
      </c>
      <c r="U38" s="127">
        <f t="shared" si="3"/>
        <v>299.42099999999999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292.8</v>
      </c>
      <c r="Q39" s="127">
        <f t="shared" si="3"/>
        <v>301.584</v>
      </c>
      <c r="R39" s="127">
        <f t="shared" si="3"/>
        <v>301.584</v>
      </c>
      <c r="S39" s="127">
        <f t="shared" si="3"/>
        <v>301.584</v>
      </c>
      <c r="T39" s="127">
        <f t="shared" si="3"/>
        <v>301.584</v>
      </c>
      <c r="U39" s="127">
        <f t="shared" si="3"/>
        <v>301.584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293.2</v>
      </c>
      <c r="Q40" s="127">
        <f t="shared" si="3"/>
        <v>301.99599999999998</v>
      </c>
      <c r="R40" s="127">
        <f t="shared" si="3"/>
        <v>301.99599999999998</v>
      </c>
      <c r="S40" s="127">
        <f t="shared" si="3"/>
        <v>301.99599999999998</v>
      </c>
      <c r="T40" s="127">
        <f t="shared" si="3"/>
        <v>301.99599999999998</v>
      </c>
      <c r="U40" s="127">
        <f t="shared" si="3"/>
        <v>301.99599999999998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290.70833333333331</v>
      </c>
      <c r="Q41" s="123">
        <f t="shared" si="4"/>
        <v>299.42958333333331</v>
      </c>
      <c r="R41" s="123">
        <f t="shared" si="4"/>
        <v>299.42958333333331</v>
      </c>
      <c r="S41" s="123">
        <f t="shared" si="4"/>
        <v>299.42958333333331</v>
      </c>
      <c r="T41" s="123">
        <f t="shared" si="4"/>
        <v>299.42958333333331</v>
      </c>
      <c r="U41" s="123">
        <f t="shared" si="4"/>
        <v>299.42958333333331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1.220964360587002</v>
      </c>
      <c r="R45" s="179">
        <f t="shared" si="5"/>
        <v>1.2575932914046122</v>
      </c>
      <c r="S45" s="179">
        <f t="shared" si="5"/>
        <v>1.2575932914046122</v>
      </c>
      <c r="T45" s="179">
        <f t="shared" si="5"/>
        <v>1.2575932914046122</v>
      </c>
      <c r="U45" s="179">
        <f t="shared" si="5"/>
        <v>1.2575932914046122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1.1881407309015362</v>
      </c>
      <c r="Q49" s="179">
        <f t="shared" si="6"/>
        <v>1.2237849528285822</v>
      </c>
      <c r="R49" s="179">
        <f t="shared" si="6"/>
        <v>1.2237849528285822</v>
      </c>
      <c r="S49" s="179">
        <f t="shared" si="6"/>
        <v>1.2237849528285822</v>
      </c>
      <c r="T49" s="179">
        <f t="shared" si="6"/>
        <v>1.2237849528285822</v>
      </c>
      <c r="U49" s="179">
        <f t="shared" si="6"/>
        <v>1.2237849528285822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2.6119951760449345E-2</v>
      </c>
      <c r="Q51" s="133">
        <f t="shared" si="7"/>
        <v>3.0000000000000027E-2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2019-12-05T11:25:33Z</dcterms:created>
  <dcterms:modified xsi:type="dcterms:W3CDTF">2019-12-10T13:21:51Z</dcterms:modified>
  <cp:category/>
  <cp:contentStatus/>
</cp:coreProperties>
</file>