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5638" windowHeight="11573" tabRatio="949"/>
  </bookViews>
  <sheets>
    <sheet name="Cover" sheetId="33" r:id="rId1"/>
    <sheet name="Style Guide" sheetId="34" r:id="rId2"/>
    <sheet name="ToC" sheetId="35" r:id="rId3"/>
    <sheet name="Inputs" sheetId="19" r:id="rId4"/>
    <sheet name="Time" sheetId="8" r:id="rId5"/>
    <sheet name="Index" sheetId="32" r:id="rId6"/>
    <sheet name="Abatements and deferrals" sheetId="24" r:id="rId7"/>
    <sheet name="Water resources" sheetId="29" r:id="rId8"/>
    <sheet name="Water network plus" sheetId="17" r:id="rId9"/>
    <sheet name="Wastewater network plus" sheetId="30" r:id="rId10"/>
    <sheet name="Residential retail" sheetId="26" r:id="rId11"/>
    <sheet name="Business retail" sheetId="25" r:id="rId12"/>
    <sheet name="Bioresources (sludge)" sheetId="27" r:id="rId13"/>
    <sheet name="Dummy control" sheetId="31" r:id="rId14"/>
    <sheet name="Validation" sheetId="22" r:id="rId15"/>
    <sheet name="Outputs" sheetId="16" r:id="rId16"/>
  </sheets>
  <externalReferences>
    <externalReference r:id="rId17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Print_Area" localSheetId="12">'Bioresources (sludge)'!$A$1:$T$60</definedName>
    <definedName name="_xlnm.Print_Area" localSheetId="11">'Business retail'!$A$1:$T$101</definedName>
    <definedName name="_xlnm.Print_Area" localSheetId="0">Cover!$A$1:$F$29</definedName>
    <definedName name="_xlnm.Print_Area" localSheetId="13">'Dummy control'!$A$1:$T$76</definedName>
    <definedName name="_xlnm.Print_Area" localSheetId="15">Outputs!$A$1:$T$38</definedName>
    <definedName name="_xlnm.Print_Area" localSheetId="10">'Residential retail'!$A$1:$T$55</definedName>
    <definedName name="_xlnm.Print_Area" localSheetId="2">ToC!$A$1:$K$29</definedName>
    <definedName name="_xlnm.Print_Area" localSheetId="9">'Wastewater network plus'!$A$1:$T$76</definedName>
    <definedName name="_xlnm.Print_Area" localSheetId="8">'Water network plus'!$A$1:$T$76</definedName>
    <definedName name="_xlnm.Print_Area" localSheetId="7">'Water resources'!$A$1:$T$76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rk_Tol">[1]InpC!$F$43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34" l="1"/>
  <c r="B5" i="33" l="1"/>
  <c r="A1" i="35"/>
  <c r="A1" i="33"/>
  <c r="I35" i="30" l="1"/>
  <c r="G35" i="30"/>
  <c r="F35" i="30"/>
  <c r="E35" i="30"/>
  <c r="I35" i="17"/>
  <c r="G35" i="17"/>
  <c r="F35" i="17"/>
  <c r="E35" i="17"/>
  <c r="F36" i="16"/>
  <c r="E36" i="16"/>
  <c r="F35" i="16"/>
  <c r="E35" i="16"/>
  <c r="F34" i="16"/>
  <c r="E34" i="16"/>
  <c r="F33" i="16"/>
  <c r="E33" i="16"/>
  <c r="F32" i="16"/>
  <c r="E32" i="16"/>
  <c r="F31" i="16"/>
  <c r="E31" i="16"/>
  <c r="F30" i="16"/>
  <c r="E30" i="16"/>
  <c r="I19" i="16"/>
  <c r="H19" i="16"/>
  <c r="G19" i="16"/>
  <c r="F19" i="16"/>
  <c r="E19" i="16"/>
  <c r="I16" i="16"/>
  <c r="H16" i="16"/>
  <c r="F16" i="16"/>
  <c r="E16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13" i="16"/>
  <c r="H13" i="16"/>
  <c r="G13" i="16"/>
  <c r="F13" i="16"/>
  <c r="E74" i="31"/>
  <c r="E13" i="16" s="1"/>
  <c r="I73" i="31"/>
  <c r="H73" i="31"/>
  <c r="G73" i="31"/>
  <c r="F73" i="31"/>
  <c r="E73" i="31"/>
  <c r="I70" i="31"/>
  <c r="H70" i="31"/>
  <c r="G70" i="31"/>
  <c r="F70" i="31"/>
  <c r="E70" i="31"/>
  <c r="K69" i="31"/>
  <c r="J69" i="31"/>
  <c r="I69" i="31"/>
  <c r="H69" i="31"/>
  <c r="G69" i="31"/>
  <c r="F69" i="31"/>
  <c r="E69" i="31"/>
  <c r="I68" i="31"/>
  <c r="H68" i="31"/>
  <c r="G68" i="31"/>
  <c r="F68" i="31"/>
  <c r="E68" i="31"/>
  <c r="I65" i="31"/>
  <c r="H65" i="31"/>
  <c r="G65" i="31"/>
  <c r="F65" i="31"/>
  <c r="E65" i="31"/>
  <c r="I62" i="31"/>
  <c r="J63" i="31" s="1"/>
  <c r="J68" i="31" s="1"/>
  <c r="G62" i="31"/>
  <c r="F62" i="31"/>
  <c r="E62" i="31"/>
  <c r="I58" i="31"/>
  <c r="G58" i="31"/>
  <c r="F58" i="31"/>
  <c r="E58" i="31"/>
  <c r="I57" i="31"/>
  <c r="H57" i="31"/>
  <c r="G57" i="31"/>
  <c r="F57" i="31"/>
  <c r="E57" i="31"/>
  <c r="I54" i="31"/>
  <c r="G54" i="31"/>
  <c r="F54" i="31"/>
  <c r="E54" i="31"/>
  <c r="I53" i="31"/>
  <c r="G53" i="31"/>
  <c r="F53" i="31"/>
  <c r="E53" i="31"/>
  <c r="I50" i="31"/>
  <c r="H50" i="31"/>
  <c r="G50" i="31"/>
  <c r="F50" i="31"/>
  <c r="E50" i="31"/>
  <c r="I49" i="31"/>
  <c r="G49" i="31"/>
  <c r="F49" i="31"/>
  <c r="E49" i="31"/>
  <c r="T46" i="31"/>
  <c r="T47" i="31" s="1"/>
  <c r="T50" i="31" s="1"/>
  <c r="S46" i="31"/>
  <c r="S47" i="31" s="1"/>
  <c r="S50" i="31" s="1"/>
  <c r="R46" i="31"/>
  <c r="R47" i="31" s="1"/>
  <c r="R50" i="31" s="1"/>
  <c r="Q46" i="31"/>
  <c r="Q47" i="31" s="1"/>
  <c r="Q50" i="31" s="1"/>
  <c r="P46" i="31"/>
  <c r="P47" i="31" s="1"/>
  <c r="P50" i="31" s="1"/>
  <c r="O46" i="31"/>
  <c r="O47" i="31" s="1"/>
  <c r="O50" i="31" s="1"/>
  <c r="N46" i="31"/>
  <c r="N47" i="31" s="1"/>
  <c r="N50" i="31" s="1"/>
  <c r="M46" i="31"/>
  <c r="M47" i="31" s="1"/>
  <c r="M50" i="31" s="1"/>
  <c r="L46" i="31"/>
  <c r="L47" i="31" s="1"/>
  <c r="L50" i="31" s="1"/>
  <c r="K46" i="31"/>
  <c r="K47" i="31" s="1"/>
  <c r="K50" i="31" s="1"/>
  <c r="J46" i="31"/>
  <c r="J47" i="31" s="1"/>
  <c r="J50" i="31" s="1"/>
  <c r="I46" i="31"/>
  <c r="H46" i="31"/>
  <c r="G46" i="31"/>
  <c r="F46" i="31"/>
  <c r="E46" i="31"/>
  <c r="K42" i="31"/>
  <c r="J42" i="31"/>
  <c r="I42" i="31"/>
  <c r="H42" i="31"/>
  <c r="G42" i="31"/>
  <c r="F42" i="31"/>
  <c r="E42" i="31"/>
  <c r="I41" i="31"/>
  <c r="H41" i="31"/>
  <c r="F41" i="31"/>
  <c r="K37" i="31"/>
  <c r="J37" i="31"/>
  <c r="I37" i="31"/>
  <c r="H37" i="31"/>
  <c r="G37" i="31"/>
  <c r="F37" i="31"/>
  <c r="E37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T33" i="31"/>
  <c r="S33" i="31"/>
  <c r="R33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E33" i="31"/>
  <c r="E29" i="31"/>
  <c r="E41" i="31" s="1"/>
  <c r="K27" i="31"/>
  <c r="J27" i="31"/>
  <c r="I25" i="31"/>
  <c r="H25" i="31"/>
  <c r="G25" i="31"/>
  <c r="F25" i="31"/>
  <c r="E25" i="31"/>
  <c r="G23" i="31"/>
  <c r="F23" i="31"/>
  <c r="F24" i="31" s="1"/>
  <c r="E23" i="31"/>
  <c r="I47" i="27"/>
  <c r="G47" i="27"/>
  <c r="F47" i="27"/>
  <c r="E47" i="27"/>
  <c r="I46" i="27"/>
  <c r="H46" i="27"/>
  <c r="G46" i="27"/>
  <c r="F46" i="27"/>
  <c r="E46" i="27"/>
  <c r="I43" i="27"/>
  <c r="H43" i="27"/>
  <c r="G43" i="27"/>
  <c r="F43" i="27"/>
  <c r="E43" i="27"/>
  <c r="I42" i="27"/>
  <c r="H42" i="27"/>
  <c r="G42" i="27"/>
  <c r="E42" i="27"/>
  <c r="T39" i="27"/>
  <c r="T40" i="27" s="1"/>
  <c r="T43" i="27" s="1"/>
  <c r="S39" i="27"/>
  <c r="S40" i="27" s="1"/>
  <c r="S43" i="27" s="1"/>
  <c r="R39" i="27"/>
  <c r="R40" i="27" s="1"/>
  <c r="R43" i="27" s="1"/>
  <c r="Q39" i="27"/>
  <c r="Q40" i="27" s="1"/>
  <c r="Q43" i="27" s="1"/>
  <c r="P39" i="27"/>
  <c r="P40" i="27" s="1"/>
  <c r="P43" i="27" s="1"/>
  <c r="O39" i="27"/>
  <c r="O40" i="27" s="1"/>
  <c r="O43" i="27" s="1"/>
  <c r="N39" i="27"/>
  <c r="N40" i="27" s="1"/>
  <c r="N43" i="27" s="1"/>
  <c r="M39" i="27"/>
  <c r="M40" i="27" s="1"/>
  <c r="M43" i="27" s="1"/>
  <c r="L39" i="27"/>
  <c r="L40" i="27" s="1"/>
  <c r="L43" i="27" s="1"/>
  <c r="K39" i="27"/>
  <c r="K40" i="27" s="1"/>
  <c r="K43" i="27" s="1"/>
  <c r="J39" i="27"/>
  <c r="J40" i="27" s="1"/>
  <c r="J43" i="27" s="1"/>
  <c r="I39" i="27"/>
  <c r="H39" i="27"/>
  <c r="G39" i="27"/>
  <c r="F39" i="27"/>
  <c r="E39" i="27"/>
  <c r="K35" i="27"/>
  <c r="J35" i="27"/>
  <c r="I35" i="27"/>
  <c r="H35" i="27"/>
  <c r="G35" i="27"/>
  <c r="F35" i="27"/>
  <c r="E35" i="27"/>
  <c r="I34" i="27"/>
  <c r="H34" i="27"/>
  <c r="F34" i="27"/>
  <c r="E29" i="27"/>
  <c r="E34" i="27" s="1"/>
  <c r="K27" i="27"/>
  <c r="K29" i="27" s="1"/>
  <c r="K34" i="27" s="1"/>
  <c r="K36" i="27" s="1"/>
  <c r="J27" i="27"/>
  <c r="J29" i="27" s="1"/>
  <c r="J34" i="27" s="1"/>
  <c r="J36" i="27" s="1"/>
  <c r="I25" i="27"/>
  <c r="H25" i="27"/>
  <c r="G25" i="27"/>
  <c r="F25" i="27"/>
  <c r="E25" i="27"/>
  <c r="G23" i="27"/>
  <c r="F23" i="27"/>
  <c r="F24" i="27" s="1"/>
  <c r="E23" i="27"/>
  <c r="I99" i="25"/>
  <c r="I26" i="16" s="1"/>
  <c r="H99" i="25"/>
  <c r="H26" i="16" s="1"/>
  <c r="G99" i="25"/>
  <c r="G26" i="16" s="1"/>
  <c r="F99" i="25"/>
  <c r="F26" i="16" s="1"/>
  <c r="I98" i="25"/>
  <c r="I25" i="16" s="1"/>
  <c r="H98" i="25"/>
  <c r="H25" i="16" s="1"/>
  <c r="G98" i="25"/>
  <c r="G25" i="16" s="1"/>
  <c r="F98" i="25"/>
  <c r="F25" i="16" s="1"/>
  <c r="I97" i="25"/>
  <c r="I24" i="16" s="1"/>
  <c r="H97" i="25"/>
  <c r="H24" i="16" s="1"/>
  <c r="G97" i="25"/>
  <c r="G24" i="16" s="1"/>
  <c r="F97" i="25"/>
  <c r="F24" i="16" s="1"/>
  <c r="I96" i="25"/>
  <c r="I23" i="16" s="1"/>
  <c r="H96" i="25"/>
  <c r="H23" i="16" s="1"/>
  <c r="G96" i="25"/>
  <c r="G23" i="16" s="1"/>
  <c r="F96" i="25"/>
  <c r="F23" i="16" s="1"/>
  <c r="I95" i="25"/>
  <c r="I22" i="16" s="1"/>
  <c r="H95" i="25"/>
  <c r="H22" i="16" s="1"/>
  <c r="G95" i="25"/>
  <c r="G22" i="16" s="1"/>
  <c r="F95" i="25"/>
  <c r="F22" i="16" s="1"/>
  <c r="E99" i="25"/>
  <c r="E26" i="16" s="1"/>
  <c r="E98" i="25"/>
  <c r="E25" i="16" s="1"/>
  <c r="E97" i="25"/>
  <c r="E24" i="16" s="1"/>
  <c r="E96" i="25"/>
  <c r="E23" i="16" s="1"/>
  <c r="E95" i="25"/>
  <c r="E22" i="16" s="1"/>
  <c r="T74" i="25"/>
  <c r="T92" i="25" s="1"/>
  <c r="T99" i="25" s="1"/>
  <c r="T26" i="16" s="1"/>
  <c r="S74" i="25"/>
  <c r="S92" i="25" s="1"/>
  <c r="S99" i="25" s="1"/>
  <c r="S26" i="16" s="1"/>
  <c r="R74" i="25"/>
  <c r="R92" i="25" s="1"/>
  <c r="R99" i="25" s="1"/>
  <c r="R26" i="16" s="1"/>
  <c r="Q74" i="25"/>
  <c r="P74" i="25"/>
  <c r="P92" i="25" s="1"/>
  <c r="P99" i="25" s="1"/>
  <c r="P26" i="16" s="1"/>
  <c r="O74" i="25"/>
  <c r="O92" i="25" s="1"/>
  <c r="O99" i="25" s="1"/>
  <c r="O26" i="16" s="1"/>
  <c r="N74" i="25"/>
  <c r="N92" i="25" s="1"/>
  <c r="N99" i="25" s="1"/>
  <c r="N26" i="16" s="1"/>
  <c r="M74" i="25"/>
  <c r="M92" i="25" s="1"/>
  <c r="M99" i="25" s="1"/>
  <c r="M26" i="16" s="1"/>
  <c r="L74" i="25"/>
  <c r="L92" i="25" s="1"/>
  <c r="L99" i="25" s="1"/>
  <c r="L26" i="16" s="1"/>
  <c r="K74" i="25"/>
  <c r="K92" i="25" s="1"/>
  <c r="K99" i="25" s="1"/>
  <c r="K26" i="16" s="1"/>
  <c r="J74" i="25"/>
  <c r="J92" i="25" s="1"/>
  <c r="J99" i="25" s="1"/>
  <c r="J26" i="16" s="1"/>
  <c r="I74" i="25"/>
  <c r="H74" i="25"/>
  <c r="G74" i="25"/>
  <c r="F74" i="25"/>
  <c r="E74" i="25"/>
  <c r="T73" i="25"/>
  <c r="T91" i="25" s="1"/>
  <c r="T98" i="25" s="1"/>
  <c r="T25" i="16" s="1"/>
  <c r="S73" i="25"/>
  <c r="S91" i="25" s="1"/>
  <c r="S98" i="25" s="1"/>
  <c r="S25" i="16" s="1"/>
  <c r="R73" i="25"/>
  <c r="R91" i="25" s="1"/>
  <c r="R98" i="25" s="1"/>
  <c r="R25" i="16" s="1"/>
  <c r="Q73" i="25"/>
  <c r="P73" i="25"/>
  <c r="P91" i="25" s="1"/>
  <c r="P98" i="25" s="1"/>
  <c r="P25" i="16" s="1"/>
  <c r="O73" i="25"/>
  <c r="O91" i="25" s="1"/>
  <c r="O98" i="25" s="1"/>
  <c r="O25" i="16" s="1"/>
  <c r="N73" i="25"/>
  <c r="N91" i="25" s="1"/>
  <c r="N98" i="25" s="1"/>
  <c r="N25" i="16" s="1"/>
  <c r="M73" i="25"/>
  <c r="M91" i="25" s="1"/>
  <c r="M98" i="25" s="1"/>
  <c r="M25" i="16" s="1"/>
  <c r="L73" i="25"/>
  <c r="L91" i="25" s="1"/>
  <c r="L98" i="25" s="1"/>
  <c r="L25" i="16" s="1"/>
  <c r="K73" i="25"/>
  <c r="K91" i="25" s="1"/>
  <c r="K98" i="25" s="1"/>
  <c r="K25" i="16" s="1"/>
  <c r="J73" i="25"/>
  <c r="J91" i="25" s="1"/>
  <c r="J98" i="25" s="1"/>
  <c r="J25" i="16" s="1"/>
  <c r="I73" i="25"/>
  <c r="H73" i="25"/>
  <c r="G73" i="25"/>
  <c r="F73" i="25"/>
  <c r="E73" i="25"/>
  <c r="T72" i="25"/>
  <c r="T90" i="25" s="1"/>
  <c r="T97" i="25" s="1"/>
  <c r="T24" i="16" s="1"/>
  <c r="S72" i="25"/>
  <c r="S90" i="25" s="1"/>
  <c r="S97" i="25" s="1"/>
  <c r="S24" i="16" s="1"/>
  <c r="R72" i="25"/>
  <c r="R90" i="25" s="1"/>
  <c r="R97" i="25" s="1"/>
  <c r="R24" i="16" s="1"/>
  <c r="Q72" i="25"/>
  <c r="P72" i="25"/>
  <c r="P90" i="25" s="1"/>
  <c r="P97" i="25" s="1"/>
  <c r="P24" i="16" s="1"/>
  <c r="O72" i="25"/>
  <c r="O90" i="25" s="1"/>
  <c r="O97" i="25" s="1"/>
  <c r="O24" i="16" s="1"/>
  <c r="N72" i="25"/>
  <c r="N90" i="25" s="1"/>
  <c r="N97" i="25" s="1"/>
  <c r="N24" i="16" s="1"/>
  <c r="M72" i="25"/>
  <c r="M90" i="25" s="1"/>
  <c r="M97" i="25" s="1"/>
  <c r="M24" i="16" s="1"/>
  <c r="L72" i="25"/>
  <c r="L90" i="25" s="1"/>
  <c r="L97" i="25" s="1"/>
  <c r="L24" i="16" s="1"/>
  <c r="K72" i="25"/>
  <c r="K90" i="25" s="1"/>
  <c r="K97" i="25" s="1"/>
  <c r="K24" i="16" s="1"/>
  <c r="J72" i="25"/>
  <c r="J90" i="25" s="1"/>
  <c r="J97" i="25" s="1"/>
  <c r="J24" i="16" s="1"/>
  <c r="I72" i="25"/>
  <c r="H72" i="25"/>
  <c r="G72" i="25"/>
  <c r="F72" i="25"/>
  <c r="E72" i="25"/>
  <c r="T71" i="25"/>
  <c r="T89" i="25" s="1"/>
  <c r="T96" i="25" s="1"/>
  <c r="T23" i="16" s="1"/>
  <c r="S71" i="25"/>
  <c r="S89" i="25" s="1"/>
  <c r="S96" i="25" s="1"/>
  <c r="S23" i="16" s="1"/>
  <c r="R71" i="25"/>
  <c r="R89" i="25" s="1"/>
  <c r="R96" i="25" s="1"/>
  <c r="R23" i="16" s="1"/>
  <c r="Q71" i="25"/>
  <c r="P71" i="25"/>
  <c r="P89" i="25" s="1"/>
  <c r="P96" i="25" s="1"/>
  <c r="P23" i="16" s="1"/>
  <c r="O71" i="25"/>
  <c r="O89" i="25" s="1"/>
  <c r="O96" i="25" s="1"/>
  <c r="O23" i="16" s="1"/>
  <c r="N71" i="25"/>
  <c r="N89" i="25" s="1"/>
  <c r="N96" i="25" s="1"/>
  <c r="N23" i="16" s="1"/>
  <c r="M71" i="25"/>
  <c r="M89" i="25" s="1"/>
  <c r="M96" i="25" s="1"/>
  <c r="M23" i="16" s="1"/>
  <c r="L71" i="25"/>
  <c r="L89" i="25" s="1"/>
  <c r="L96" i="25" s="1"/>
  <c r="L23" i="16" s="1"/>
  <c r="K71" i="25"/>
  <c r="K89" i="25" s="1"/>
  <c r="K96" i="25" s="1"/>
  <c r="K23" i="16" s="1"/>
  <c r="J71" i="25"/>
  <c r="J89" i="25" s="1"/>
  <c r="J96" i="25" s="1"/>
  <c r="J23" i="16" s="1"/>
  <c r="I71" i="25"/>
  <c r="H71" i="25"/>
  <c r="G71" i="25"/>
  <c r="F71" i="25"/>
  <c r="E71" i="25"/>
  <c r="T70" i="25"/>
  <c r="T88" i="25" s="1"/>
  <c r="T95" i="25" s="1"/>
  <c r="T22" i="16" s="1"/>
  <c r="S70" i="25"/>
  <c r="S88" i="25" s="1"/>
  <c r="S95" i="25" s="1"/>
  <c r="S22" i="16" s="1"/>
  <c r="R70" i="25"/>
  <c r="R88" i="25" s="1"/>
  <c r="R95" i="25" s="1"/>
  <c r="R22" i="16" s="1"/>
  <c r="Q70" i="25"/>
  <c r="P70" i="25"/>
  <c r="P88" i="25" s="1"/>
  <c r="P95" i="25" s="1"/>
  <c r="P22" i="16" s="1"/>
  <c r="O70" i="25"/>
  <c r="O88" i="25" s="1"/>
  <c r="O95" i="25" s="1"/>
  <c r="O22" i="16" s="1"/>
  <c r="N70" i="25"/>
  <c r="N88" i="25" s="1"/>
  <c r="N95" i="25" s="1"/>
  <c r="N22" i="16" s="1"/>
  <c r="M70" i="25"/>
  <c r="M88" i="25" s="1"/>
  <c r="M95" i="25" s="1"/>
  <c r="M22" i="16" s="1"/>
  <c r="L70" i="25"/>
  <c r="L88" i="25" s="1"/>
  <c r="L95" i="25" s="1"/>
  <c r="L22" i="16" s="1"/>
  <c r="K70" i="25"/>
  <c r="K88" i="25" s="1"/>
  <c r="K95" i="25" s="1"/>
  <c r="K22" i="16" s="1"/>
  <c r="J70" i="25"/>
  <c r="J88" i="25" s="1"/>
  <c r="J95" i="25" s="1"/>
  <c r="J22" i="16" s="1"/>
  <c r="I70" i="25"/>
  <c r="H70" i="25"/>
  <c r="G70" i="25"/>
  <c r="F70" i="25"/>
  <c r="E70" i="25"/>
  <c r="T68" i="25"/>
  <c r="T80" i="25" s="1"/>
  <c r="S68" i="25"/>
  <c r="S80" i="25" s="1"/>
  <c r="R68" i="25"/>
  <c r="R80" i="25" s="1"/>
  <c r="Q68" i="25"/>
  <c r="Q80" i="25" s="1"/>
  <c r="P68" i="25"/>
  <c r="P80" i="25" s="1"/>
  <c r="O68" i="25"/>
  <c r="O80" i="25" s="1"/>
  <c r="N68" i="25"/>
  <c r="N80" i="25" s="1"/>
  <c r="M68" i="25"/>
  <c r="M80" i="25" s="1"/>
  <c r="L68" i="25"/>
  <c r="L80" i="25" s="1"/>
  <c r="K68" i="25"/>
  <c r="K80" i="25" s="1"/>
  <c r="J68" i="25"/>
  <c r="J80" i="25" s="1"/>
  <c r="I68" i="25"/>
  <c r="H68" i="25"/>
  <c r="G68" i="25"/>
  <c r="F68" i="25"/>
  <c r="E68" i="25"/>
  <c r="T67" i="25"/>
  <c r="T79" i="25" s="1"/>
  <c r="S67" i="25"/>
  <c r="S79" i="25" s="1"/>
  <c r="R67" i="25"/>
  <c r="R79" i="25" s="1"/>
  <c r="Q67" i="25"/>
  <c r="Q79" i="25" s="1"/>
  <c r="P67" i="25"/>
  <c r="P79" i="25" s="1"/>
  <c r="O67" i="25"/>
  <c r="O79" i="25" s="1"/>
  <c r="N67" i="25"/>
  <c r="N79" i="25" s="1"/>
  <c r="M67" i="25"/>
  <c r="M79" i="25" s="1"/>
  <c r="L67" i="25"/>
  <c r="L79" i="25" s="1"/>
  <c r="K67" i="25"/>
  <c r="K79" i="25" s="1"/>
  <c r="J67" i="25"/>
  <c r="J79" i="25" s="1"/>
  <c r="I67" i="25"/>
  <c r="H67" i="25"/>
  <c r="G67" i="25"/>
  <c r="F67" i="25"/>
  <c r="E67" i="25"/>
  <c r="T66" i="25"/>
  <c r="T78" i="25" s="1"/>
  <c r="S66" i="25"/>
  <c r="S78" i="25" s="1"/>
  <c r="R66" i="25"/>
  <c r="R78" i="25" s="1"/>
  <c r="Q66" i="25"/>
  <c r="Q78" i="25" s="1"/>
  <c r="P66" i="25"/>
  <c r="P78" i="25" s="1"/>
  <c r="O66" i="25"/>
  <c r="O78" i="25" s="1"/>
  <c r="N66" i="25"/>
  <c r="N78" i="25" s="1"/>
  <c r="M66" i="25"/>
  <c r="M78" i="25" s="1"/>
  <c r="L66" i="25"/>
  <c r="L78" i="25" s="1"/>
  <c r="K66" i="25"/>
  <c r="K78" i="25" s="1"/>
  <c r="J66" i="25"/>
  <c r="J78" i="25" s="1"/>
  <c r="I66" i="25"/>
  <c r="H66" i="25"/>
  <c r="G66" i="25"/>
  <c r="F66" i="25"/>
  <c r="E66" i="25"/>
  <c r="T65" i="25"/>
  <c r="T77" i="25" s="1"/>
  <c r="S65" i="25"/>
  <c r="S77" i="25" s="1"/>
  <c r="R65" i="25"/>
  <c r="R77" i="25" s="1"/>
  <c r="Q65" i="25"/>
  <c r="Q77" i="25" s="1"/>
  <c r="P65" i="25"/>
  <c r="P77" i="25" s="1"/>
  <c r="O65" i="25"/>
  <c r="O77" i="25" s="1"/>
  <c r="N65" i="25"/>
  <c r="N77" i="25" s="1"/>
  <c r="M65" i="25"/>
  <c r="M77" i="25" s="1"/>
  <c r="L65" i="25"/>
  <c r="L77" i="25" s="1"/>
  <c r="K65" i="25"/>
  <c r="K77" i="25" s="1"/>
  <c r="J65" i="25"/>
  <c r="J77" i="25" s="1"/>
  <c r="I65" i="25"/>
  <c r="H65" i="25"/>
  <c r="G65" i="25"/>
  <c r="F65" i="25"/>
  <c r="E65" i="25"/>
  <c r="T64" i="25"/>
  <c r="T76" i="25" s="1"/>
  <c r="S64" i="25"/>
  <c r="S76" i="25" s="1"/>
  <c r="R64" i="25"/>
  <c r="R76" i="25" s="1"/>
  <c r="Q64" i="25"/>
  <c r="Q76" i="25" s="1"/>
  <c r="P64" i="25"/>
  <c r="P76" i="25" s="1"/>
  <c r="O64" i="25"/>
  <c r="O76" i="25" s="1"/>
  <c r="N64" i="25"/>
  <c r="N76" i="25" s="1"/>
  <c r="M64" i="25"/>
  <c r="M76" i="25" s="1"/>
  <c r="L64" i="25"/>
  <c r="L76" i="25" s="1"/>
  <c r="K64" i="25"/>
  <c r="K76" i="25" s="1"/>
  <c r="J64" i="25"/>
  <c r="J76" i="25" s="1"/>
  <c r="I64" i="25"/>
  <c r="H64" i="25"/>
  <c r="G64" i="25"/>
  <c r="F64" i="25"/>
  <c r="E64" i="25"/>
  <c r="I56" i="25"/>
  <c r="G56" i="25"/>
  <c r="F56" i="25"/>
  <c r="E56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4" i="25"/>
  <c r="E53" i="25"/>
  <c r="E52" i="25"/>
  <c r="E51" i="25"/>
  <c r="E50" i="25"/>
  <c r="I42" i="25"/>
  <c r="H42" i="25"/>
  <c r="I42" i="26"/>
  <c r="H42" i="26"/>
  <c r="G42" i="26"/>
  <c r="F42" i="26"/>
  <c r="I47" i="25"/>
  <c r="G47" i="25"/>
  <c r="F47" i="25"/>
  <c r="E47" i="25"/>
  <c r="I46" i="25"/>
  <c r="H46" i="25"/>
  <c r="G46" i="25"/>
  <c r="F46" i="25"/>
  <c r="E46" i="25"/>
  <c r="I43" i="25"/>
  <c r="H43" i="25"/>
  <c r="G43" i="25"/>
  <c r="F43" i="25"/>
  <c r="E43" i="25"/>
  <c r="G42" i="25"/>
  <c r="E42" i="25"/>
  <c r="T39" i="25"/>
  <c r="T40" i="25" s="1"/>
  <c r="T43" i="25" s="1"/>
  <c r="S39" i="25"/>
  <c r="S40" i="25" s="1"/>
  <c r="S43" i="25" s="1"/>
  <c r="R39" i="25"/>
  <c r="R40" i="25" s="1"/>
  <c r="R43" i="25" s="1"/>
  <c r="Q39" i="25"/>
  <c r="Q40" i="25" s="1"/>
  <c r="Q43" i="25" s="1"/>
  <c r="P39" i="25"/>
  <c r="P40" i="25" s="1"/>
  <c r="P43" i="25" s="1"/>
  <c r="O39" i="25"/>
  <c r="O40" i="25" s="1"/>
  <c r="O43" i="25" s="1"/>
  <c r="N39" i="25"/>
  <c r="N40" i="25" s="1"/>
  <c r="N43" i="25" s="1"/>
  <c r="M39" i="25"/>
  <c r="M40" i="25" s="1"/>
  <c r="M43" i="25" s="1"/>
  <c r="L39" i="25"/>
  <c r="L40" i="25" s="1"/>
  <c r="L43" i="25" s="1"/>
  <c r="K39" i="25"/>
  <c r="K40" i="25" s="1"/>
  <c r="K43" i="25" s="1"/>
  <c r="J39" i="25"/>
  <c r="J40" i="25" s="1"/>
  <c r="J43" i="25" s="1"/>
  <c r="I39" i="25"/>
  <c r="H39" i="25"/>
  <c r="G39" i="25"/>
  <c r="F39" i="25"/>
  <c r="E39" i="25"/>
  <c r="K35" i="25"/>
  <c r="J35" i="25"/>
  <c r="I35" i="25"/>
  <c r="H35" i="25"/>
  <c r="G35" i="25"/>
  <c r="F35" i="25"/>
  <c r="E35" i="25"/>
  <c r="I34" i="25"/>
  <c r="H34" i="25"/>
  <c r="F34" i="25"/>
  <c r="E29" i="25"/>
  <c r="E34" i="25" s="1"/>
  <c r="K27" i="25"/>
  <c r="K29" i="25" s="1"/>
  <c r="K34" i="25" s="1"/>
  <c r="K36" i="25" s="1"/>
  <c r="J27" i="25"/>
  <c r="J29" i="25" s="1"/>
  <c r="J34" i="25" s="1"/>
  <c r="J36" i="25" s="1"/>
  <c r="I25" i="25"/>
  <c r="H25" i="25"/>
  <c r="G25" i="25"/>
  <c r="F25" i="25"/>
  <c r="E25" i="25"/>
  <c r="G23" i="25"/>
  <c r="F23" i="25"/>
  <c r="F24" i="25" s="1"/>
  <c r="E23" i="25"/>
  <c r="I43" i="26"/>
  <c r="H43" i="26"/>
  <c r="G43" i="26"/>
  <c r="F43" i="26"/>
  <c r="I47" i="26"/>
  <c r="G47" i="26"/>
  <c r="F47" i="26"/>
  <c r="I46" i="26"/>
  <c r="H46" i="26"/>
  <c r="G46" i="26"/>
  <c r="F46" i="26"/>
  <c r="E74" i="30"/>
  <c r="E12" i="16" s="1"/>
  <c r="I73" i="30"/>
  <c r="H73" i="30"/>
  <c r="G73" i="30"/>
  <c r="F73" i="30"/>
  <c r="E73" i="30"/>
  <c r="I70" i="30"/>
  <c r="H70" i="30"/>
  <c r="G70" i="30"/>
  <c r="F70" i="30"/>
  <c r="E70" i="30"/>
  <c r="K69" i="30"/>
  <c r="J69" i="30"/>
  <c r="I69" i="30"/>
  <c r="H69" i="30"/>
  <c r="G69" i="30"/>
  <c r="F69" i="30"/>
  <c r="E69" i="30"/>
  <c r="I68" i="30"/>
  <c r="H68" i="30"/>
  <c r="G68" i="30"/>
  <c r="F68" i="30"/>
  <c r="E68" i="30"/>
  <c r="I65" i="30"/>
  <c r="H65" i="30"/>
  <c r="G65" i="30"/>
  <c r="F65" i="30"/>
  <c r="E65" i="30"/>
  <c r="I62" i="30"/>
  <c r="J63" i="30" s="1"/>
  <c r="J68" i="30" s="1"/>
  <c r="G62" i="30"/>
  <c r="F62" i="30"/>
  <c r="E62" i="30"/>
  <c r="I58" i="30"/>
  <c r="G58" i="30"/>
  <c r="F58" i="30"/>
  <c r="E58" i="30"/>
  <c r="I57" i="30"/>
  <c r="G57" i="30"/>
  <c r="F57" i="30"/>
  <c r="E57" i="30"/>
  <c r="I54" i="30"/>
  <c r="G54" i="30"/>
  <c r="F54" i="30"/>
  <c r="E54" i="30"/>
  <c r="I53" i="30"/>
  <c r="G53" i="30"/>
  <c r="F53" i="30"/>
  <c r="E53" i="30"/>
  <c r="I50" i="30"/>
  <c r="H50" i="30"/>
  <c r="G50" i="30"/>
  <c r="F50" i="30"/>
  <c r="E50" i="30"/>
  <c r="I49" i="30"/>
  <c r="G49" i="30"/>
  <c r="F49" i="30"/>
  <c r="E49" i="30"/>
  <c r="T46" i="30"/>
  <c r="T47" i="30" s="1"/>
  <c r="T50" i="30" s="1"/>
  <c r="S46" i="30"/>
  <c r="S47" i="30" s="1"/>
  <c r="S50" i="30" s="1"/>
  <c r="R46" i="30"/>
  <c r="R47" i="30" s="1"/>
  <c r="R50" i="30" s="1"/>
  <c r="Q46" i="30"/>
  <c r="Q47" i="30" s="1"/>
  <c r="Q50" i="30" s="1"/>
  <c r="P46" i="30"/>
  <c r="P47" i="30" s="1"/>
  <c r="P50" i="30" s="1"/>
  <c r="O46" i="30"/>
  <c r="O47" i="30" s="1"/>
  <c r="O50" i="30" s="1"/>
  <c r="N46" i="30"/>
  <c r="N47" i="30" s="1"/>
  <c r="N50" i="30" s="1"/>
  <c r="M46" i="30"/>
  <c r="M47" i="30" s="1"/>
  <c r="M50" i="30" s="1"/>
  <c r="L46" i="30"/>
  <c r="L47" i="30" s="1"/>
  <c r="L50" i="30" s="1"/>
  <c r="K46" i="30"/>
  <c r="K47" i="30" s="1"/>
  <c r="K50" i="30" s="1"/>
  <c r="J46" i="30"/>
  <c r="J47" i="30" s="1"/>
  <c r="J50" i="30" s="1"/>
  <c r="I46" i="30"/>
  <c r="H46" i="30"/>
  <c r="G46" i="30"/>
  <c r="F46" i="30"/>
  <c r="E46" i="30"/>
  <c r="K42" i="30"/>
  <c r="J42" i="30"/>
  <c r="I42" i="30"/>
  <c r="H42" i="30"/>
  <c r="G42" i="30"/>
  <c r="F42" i="30"/>
  <c r="E42" i="30"/>
  <c r="I41" i="30"/>
  <c r="H41" i="30"/>
  <c r="F41" i="30"/>
  <c r="E74" i="17"/>
  <c r="E11" i="16" s="1"/>
  <c r="I73" i="17"/>
  <c r="H73" i="17"/>
  <c r="G73" i="17"/>
  <c r="F73" i="17"/>
  <c r="E73" i="17"/>
  <c r="I70" i="17"/>
  <c r="H70" i="17"/>
  <c r="G70" i="17"/>
  <c r="F70" i="17"/>
  <c r="E70" i="17"/>
  <c r="K69" i="17"/>
  <c r="J69" i="17"/>
  <c r="I69" i="17"/>
  <c r="H69" i="17"/>
  <c r="G69" i="17"/>
  <c r="F69" i="17"/>
  <c r="E69" i="17"/>
  <c r="I68" i="17"/>
  <c r="H68" i="17"/>
  <c r="G68" i="17"/>
  <c r="F68" i="17"/>
  <c r="E68" i="17"/>
  <c r="I65" i="17"/>
  <c r="H65" i="17"/>
  <c r="G65" i="17"/>
  <c r="F65" i="17"/>
  <c r="E65" i="17"/>
  <c r="I62" i="17"/>
  <c r="J63" i="17" s="1"/>
  <c r="J68" i="17" s="1"/>
  <c r="G62" i="17"/>
  <c r="F62" i="17"/>
  <c r="E62" i="17"/>
  <c r="I58" i="17"/>
  <c r="G58" i="17"/>
  <c r="F58" i="17"/>
  <c r="E58" i="17"/>
  <c r="I57" i="17"/>
  <c r="G57" i="17"/>
  <c r="F57" i="17"/>
  <c r="E57" i="17"/>
  <c r="I54" i="17"/>
  <c r="G54" i="17"/>
  <c r="F54" i="17"/>
  <c r="E54" i="17"/>
  <c r="I53" i="17"/>
  <c r="G53" i="17"/>
  <c r="F53" i="17"/>
  <c r="E53" i="17"/>
  <c r="I50" i="17"/>
  <c r="H50" i="17"/>
  <c r="G50" i="17"/>
  <c r="F50" i="17"/>
  <c r="E50" i="17"/>
  <c r="I49" i="17"/>
  <c r="G49" i="17"/>
  <c r="F49" i="17"/>
  <c r="E49" i="17"/>
  <c r="T46" i="17"/>
  <c r="T47" i="17" s="1"/>
  <c r="T50" i="17" s="1"/>
  <c r="S46" i="17"/>
  <c r="S47" i="17" s="1"/>
  <c r="S50" i="17" s="1"/>
  <c r="R46" i="17"/>
  <c r="R47" i="17" s="1"/>
  <c r="R50" i="17" s="1"/>
  <c r="Q46" i="17"/>
  <c r="Q47" i="17" s="1"/>
  <c r="Q50" i="17" s="1"/>
  <c r="P46" i="17"/>
  <c r="P47" i="17" s="1"/>
  <c r="P50" i="17" s="1"/>
  <c r="O46" i="17"/>
  <c r="O47" i="17" s="1"/>
  <c r="O50" i="17" s="1"/>
  <c r="N46" i="17"/>
  <c r="N47" i="17" s="1"/>
  <c r="N50" i="17" s="1"/>
  <c r="M46" i="17"/>
  <c r="M47" i="17" s="1"/>
  <c r="M50" i="17" s="1"/>
  <c r="L46" i="17"/>
  <c r="L47" i="17" s="1"/>
  <c r="L50" i="17" s="1"/>
  <c r="K46" i="17"/>
  <c r="K47" i="17" s="1"/>
  <c r="K50" i="17" s="1"/>
  <c r="J46" i="17"/>
  <c r="J47" i="17" s="1"/>
  <c r="J50" i="17" s="1"/>
  <c r="I46" i="17"/>
  <c r="H46" i="17"/>
  <c r="G46" i="17"/>
  <c r="F46" i="17"/>
  <c r="E46" i="17"/>
  <c r="K42" i="17"/>
  <c r="J42" i="17"/>
  <c r="I42" i="17"/>
  <c r="H42" i="17"/>
  <c r="G42" i="17"/>
  <c r="F42" i="17"/>
  <c r="E42" i="17"/>
  <c r="I41" i="17"/>
  <c r="H41" i="17"/>
  <c r="F41" i="17"/>
  <c r="I73" i="29"/>
  <c r="H73" i="29"/>
  <c r="G73" i="29"/>
  <c r="F73" i="29"/>
  <c r="E73" i="29"/>
  <c r="I62" i="29"/>
  <c r="G62" i="29"/>
  <c r="F62" i="29"/>
  <c r="E62" i="29"/>
  <c r="I58" i="29"/>
  <c r="G58" i="29"/>
  <c r="F58" i="29"/>
  <c r="E58" i="29"/>
  <c r="I57" i="29"/>
  <c r="G57" i="29"/>
  <c r="F57" i="29"/>
  <c r="E57" i="29"/>
  <c r="I54" i="29"/>
  <c r="G54" i="29"/>
  <c r="F54" i="29"/>
  <c r="E54" i="29"/>
  <c r="I53" i="29"/>
  <c r="G53" i="29"/>
  <c r="F53" i="29"/>
  <c r="E53" i="29"/>
  <c r="I50" i="29"/>
  <c r="H50" i="29"/>
  <c r="G50" i="29"/>
  <c r="F50" i="29"/>
  <c r="E50" i="29"/>
  <c r="I49" i="29"/>
  <c r="G49" i="29"/>
  <c r="F49" i="29"/>
  <c r="E49" i="29"/>
  <c r="T39" i="26"/>
  <c r="T40" i="26" s="1"/>
  <c r="T43" i="26" s="1"/>
  <c r="S39" i="26"/>
  <c r="S40" i="26" s="1"/>
  <c r="S43" i="26" s="1"/>
  <c r="R39" i="26"/>
  <c r="R40" i="26" s="1"/>
  <c r="R43" i="26" s="1"/>
  <c r="Q39" i="26"/>
  <c r="Q40" i="26" s="1"/>
  <c r="Q43" i="26" s="1"/>
  <c r="P39" i="26"/>
  <c r="P40" i="26" s="1"/>
  <c r="P43" i="26" s="1"/>
  <c r="O39" i="26"/>
  <c r="O40" i="26" s="1"/>
  <c r="O43" i="26" s="1"/>
  <c r="N39" i="26"/>
  <c r="N40" i="26" s="1"/>
  <c r="N43" i="26" s="1"/>
  <c r="M39" i="26"/>
  <c r="M40" i="26" s="1"/>
  <c r="M43" i="26" s="1"/>
  <c r="L39" i="26"/>
  <c r="L40" i="26" s="1"/>
  <c r="L43" i="26" s="1"/>
  <c r="K39" i="26"/>
  <c r="K40" i="26" s="1"/>
  <c r="K43" i="26" s="1"/>
  <c r="J39" i="26"/>
  <c r="J40" i="26" s="1"/>
  <c r="J43" i="26" s="1"/>
  <c r="I39" i="26"/>
  <c r="H39" i="26"/>
  <c r="G39" i="26"/>
  <c r="F39" i="26"/>
  <c r="E39" i="26"/>
  <c r="K35" i="26"/>
  <c r="J35" i="26"/>
  <c r="I35" i="26"/>
  <c r="H35" i="26"/>
  <c r="G35" i="26"/>
  <c r="F35" i="26"/>
  <c r="E35" i="26"/>
  <c r="I34" i="26"/>
  <c r="H34" i="26"/>
  <c r="F34" i="26"/>
  <c r="E42" i="26"/>
  <c r="E43" i="26"/>
  <c r="E46" i="26"/>
  <c r="E47" i="26"/>
  <c r="E29" i="26"/>
  <c r="E34" i="26" s="1"/>
  <c r="K27" i="26"/>
  <c r="K29" i="26" s="1"/>
  <c r="K34" i="26" s="1"/>
  <c r="K36" i="26" s="1"/>
  <c r="J27" i="26"/>
  <c r="J29" i="26" s="1"/>
  <c r="J34" i="26" s="1"/>
  <c r="J36" i="26" s="1"/>
  <c r="I25" i="26"/>
  <c r="H25" i="26"/>
  <c r="G25" i="26"/>
  <c r="F25" i="26"/>
  <c r="E25" i="26"/>
  <c r="G23" i="26"/>
  <c r="F23" i="26"/>
  <c r="F24" i="26" s="1"/>
  <c r="E23" i="26"/>
  <c r="K37" i="30"/>
  <c r="J37" i="30"/>
  <c r="I37" i="30"/>
  <c r="H37" i="30"/>
  <c r="G37" i="30"/>
  <c r="F37" i="30"/>
  <c r="E37" i="30"/>
  <c r="T36" i="30"/>
  <c r="S36" i="30"/>
  <c r="R36" i="30"/>
  <c r="Q36" i="30"/>
  <c r="P36" i="30"/>
  <c r="O36" i="30"/>
  <c r="N36" i="30"/>
  <c r="M36" i="30"/>
  <c r="L36" i="30"/>
  <c r="K36" i="30"/>
  <c r="J36" i="30"/>
  <c r="I36" i="30"/>
  <c r="H36" i="30"/>
  <c r="G36" i="30"/>
  <c r="F36" i="30"/>
  <c r="E36" i="30"/>
  <c r="T33" i="30"/>
  <c r="S33" i="30"/>
  <c r="R33" i="30"/>
  <c r="Q33" i="30"/>
  <c r="P33" i="30"/>
  <c r="O33" i="30"/>
  <c r="N33" i="30"/>
  <c r="M33" i="30"/>
  <c r="L33" i="30"/>
  <c r="K33" i="30"/>
  <c r="J33" i="30"/>
  <c r="I33" i="30"/>
  <c r="H33" i="30"/>
  <c r="G33" i="30"/>
  <c r="F33" i="30"/>
  <c r="E33" i="30"/>
  <c r="E29" i="30"/>
  <c r="E41" i="30" s="1"/>
  <c r="K27" i="30"/>
  <c r="J27" i="30"/>
  <c r="I25" i="30"/>
  <c r="H25" i="30"/>
  <c r="G25" i="30"/>
  <c r="F25" i="30"/>
  <c r="E25" i="30"/>
  <c r="G23" i="30"/>
  <c r="F23" i="30"/>
  <c r="F24" i="30" s="1"/>
  <c r="E23" i="30"/>
  <c r="E29" i="17"/>
  <c r="E41" i="17" s="1"/>
  <c r="K27" i="17"/>
  <c r="J27" i="17"/>
  <c r="I25" i="17"/>
  <c r="H25" i="17"/>
  <c r="G25" i="17"/>
  <c r="F25" i="17"/>
  <c r="E25" i="17"/>
  <c r="G23" i="17"/>
  <c r="F23" i="17"/>
  <c r="F24" i="17" s="1"/>
  <c r="E23" i="17"/>
  <c r="E23" i="29"/>
  <c r="F23" i="29"/>
  <c r="F24" i="29" s="1"/>
  <c r="G23" i="29"/>
  <c r="E25" i="29"/>
  <c r="F25" i="29"/>
  <c r="G25" i="29"/>
  <c r="H25" i="29"/>
  <c r="I25" i="29"/>
  <c r="J27" i="29"/>
  <c r="J29" i="29" s="1"/>
  <c r="J41" i="29" s="1"/>
  <c r="K27" i="29"/>
  <c r="E29" i="29"/>
  <c r="E41" i="29" s="1"/>
  <c r="K29" i="29"/>
  <c r="I70" i="29"/>
  <c r="H70" i="29"/>
  <c r="G70" i="29"/>
  <c r="F70" i="29"/>
  <c r="E70" i="29"/>
  <c r="I68" i="29"/>
  <c r="H68" i="29"/>
  <c r="G68" i="29"/>
  <c r="F68" i="29"/>
  <c r="E68" i="29"/>
  <c r="K65" i="29"/>
  <c r="J65" i="29"/>
  <c r="J66" i="29" s="1"/>
  <c r="I65" i="29"/>
  <c r="H65" i="29"/>
  <c r="G65" i="29"/>
  <c r="F65" i="29"/>
  <c r="E65" i="29"/>
  <c r="J63" i="29"/>
  <c r="J68" i="29" s="1"/>
  <c r="K41" i="29"/>
  <c r="I41" i="29"/>
  <c r="H41" i="29"/>
  <c r="F41" i="29"/>
  <c r="T36" i="29"/>
  <c r="S36" i="29"/>
  <c r="R36" i="29"/>
  <c r="Q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K37" i="17"/>
  <c r="J37" i="17"/>
  <c r="I37" i="17"/>
  <c r="H37" i="17"/>
  <c r="G37" i="17"/>
  <c r="F37" i="17"/>
  <c r="E37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K69" i="29"/>
  <c r="J69" i="29"/>
  <c r="I69" i="29"/>
  <c r="H69" i="29"/>
  <c r="G69" i="29"/>
  <c r="F69" i="29"/>
  <c r="E69" i="29"/>
  <c r="K37" i="29"/>
  <c r="J37" i="29"/>
  <c r="I37" i="29"/>
  <c r="H37" i="29"/>
  <c r="G37" i="29"/>
  <c r="F37" i="29"/>
  <c r="E37" i="29"/>
  <c r="T46" i="29"/>
  <c r="T47" i="29" s="1"/>
  <c r="T50" i="29" s="1"/>
  <c r="S46" i="29"/>
  <c r="S47" i="29" s="1"/>
  <c r="S50" i="29" s="1"/>
  <c r="R46" i="29"/>
  <c r="R47" i="29" s="1"/>
  <c r="R50" i="29" s="1"/>
  <c r="Q46" i="29"/>
  <c r="Q47" i="29" s="1"/>
  <c r="Q50" i="29" s="1"/>
  <c r="P46" i="29"/>
  <c r="P47" i="29" s="1"/>
  <c r="P50" i="29" s="1"/>
  <c r="O46" i="29"/>
  <c r="O47" i="29" s="1"/>
  <c r="O50" i="29" s="1"/>
  <c r="N46" i="29"/>
  <c r="N47" i="29" s="1"/>
  <c r="N50" i="29" s="1"/>
  <c r="M46" i="29"/>
  <c r="M47" i="29" s="1"/>
  <c r="M50" i="29" s="1"/>
  <c r="L46" i="29"/>
  <c r="L47" i="29" s="1"/>
  <c r="L50" i="29" s="1"/>
  <c r="K46" i="29"/>
  <c r="K47" i="29" s="1"/>
  <c r="K50" i="29" s="1"/>
  <c r="J46" i="29"/>
  <c r="J47" i="29" s="1"/>
  <c r="J50" i="29" s="1"/>
  <c r="I46" i="29"/>
  <c r="H46" i="29"/>
  <c r="G46" i="29"/>
  <c r="F46" i="29"/>
  <c r="E46" i="29"/>
  <c r="K42" i="29"/>
  <c r="J42" i="29"/>
  <c r="I42" i="29"/>
  <c r="H42" i="29"/>
  <c r="G42" i="29"/>
  <c r="F42" i="29"/>
  <c r="E42" i="29"/>
  <c r="I35" i="29"/>
  <c r="G35" i="29"/>
  <c r="F35" i="29"/>
  <c r="E35" i="29"/>
  <c r="T33" i="29"/>
  <c r="S33" i="29"/>
  <c r="R33" i="29"/>
  <c r="Q33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E34" i="29" s="1"/>
  <c r="H34" i="30" l="1"/>
  <c r="H34" i="17"/>
  <c r="H34" i="31"/>
  <c r="J29" i="17"/>
  <c r="J41" i="17" s="1"/>
  <c r="J43" i="17" s="1"/>
  <c r="J65" i="17"/>
  <c r="J66" i="17" s="1"/>
  <c r="J70" i="17" s="1"/>
  <c r="J71" i="17" s="1"/>
  <c r="J73" i="17" s="1"/>
  <c r="J74" i="17" s="1"/>
  <c r="J11" i="16" s="1"/>
  <c r="K65" i="17"/>
  <c r="K29" i="17"/>
  <c r="K41" i="17" s="1"/>
  <c r="K43" i="17" s="1"/>
  <c r="K53" i="17" s="1"/>
  <c r="J29" i="30"/>
  <c r="J41" i="30" s="1"/>
  <c r="J43" i="30" s="1"/>
  <c r="J53" i="30" s="1"/>
  <c r="J65" i="30"/>
  <c r="J66" i="30" s="1"/>
  <c r="J70" i="30" s="1"/>
  <c r="J71" i="30" s="1"/>
  <c r="J73" i="30" s="1"/>
  <c r="J74" i="30" s="1"/>
  <c r="J12" i="16" s="1"/>
  <c r="K29" i="30"/>
  <c r="K41" i="30" s="1"/>
  <c r="K43" i="30" s="1"/>
  <c r="K65" i="30"/>
  <c r="J42" i="26"/>
  <c r="J46" i="26"/>
  <c r="K42" i="26"/>
  <c r="K46" i="26"/>
  <c r="J29" i="31"/>
  <c r="J41" i="31" s="1"/>
  <c r="J43" i="31" s="1"/>
  <c r="J65" i="31"/>
  <c r="J66" i="31" s="1"/>
  <c r="K29" i="31"/>
  <c r="K41" i="31" s="1"/>
  <c r="K43" i="31" s="1"/>
  <c r="K49" i="31" s="1"/>
  <c r="K51" i="31" s="1"/>
  <c r="K54" i="31" s="1"/>
  <c r="K65" i="31"/>
  <c r="H34" i="29"/>
  <c r="J49" i="31"/>
  <c r="J51" i="31" s="1"/>
  <c r="J53" i="31"/>
  <c r="K53" i="31"/>
  <c r="J70" i="31"/>
  <c r="J71" i="31" s="1"/>
  <c r="J73" i="31" s="1"/>
  <c r="J74" i="31" s="1"/>
  <c r="J13" i="16" s="1"/>
  <c r="J42" i="27"/>
  <c r="J44" i="27" s="1"/>
  <c r="J47" i="27" s="1"/>
  <c r="J46" i="27"/>
  <c r="K46" i="27"/>
  <c r="K42" i="27"/>
  <c r="K44" i="27" s="1"/>
  <c r="K47" i="27" s="1"/>
  <c r="J46" i="25"/>
  <c r="J42" i="25"/>
  <c r="J44" i="25" s="1"/>
  <c r="K46" i="25"/>
  <c r="K42" i="25"/>
  <c r="K44" i="25" s="1"/>
  <c r="K47" i="25" s="1"/>
  <c r="K53" i="30"/>
  <c r="K49" i="30"/>
  <c r="K51" i="30" s="1"/>
  <c r="K54" i="30" s="1"/>
  <c r="J49" i="30"/>
  <c r="J51" i="30" s="1"/>
  <c r="K66" i="30"/>
  <c r="J53" i="17"/>
  <c r="J49" i="17"/>
  <c r="J51" i="17" s="1"/>
  <c r="K66" i="17"/>
  <c r="K70" i="17" s="1"/>
  <c r="K71" i="17" s="1"/>
  <c r="K73" i="17" s="1"/>
  <c r="K74" i="17" s="1"/>
  <c r="K11" i="16" s="1"/>
  <c r="J44" i="26"/>
  <c r="K66" i="29"/>
  <c r="K70" i="29" s="1"/>
  <c r="K71" i="29" s="1"/>
  <c r="K73" i="29" s="1"/>
  <c r="J70" i="29"/>
  <c r="J71" i="29" s="1"/>
  <c r="J73" i="29" s="1"/>
  <c r="E56" i="27"/>
  <c r="K48" i="27" l="1"/>
  <c r="J48" i="27"/>
  <c r="K66" i="31"/>
  <c r="K70" i="31" s="1"/>
  <c r="K71" i="31" s="1"/>
  <c r="K73" i="31" s="1"/>
  <c r="K74" i="31" s="1"/>
  <c r="K13" i="16" s="1"/>
  <c r="K49" i="17"/>
  <c r="K51" i="17" s="1"/>
  <c r="K54" i="17" s="1"/>
  <c r="K55" i="17" s="1"/>
  <c r="K58" i="17" s="1"/>
  <c r="K48" i="25"/>
  <c r="K56" i="25" s="1"/>
  <c r="K55" i="31"/>
  <c r="K58" i="31" s="1"/>
  <c r="J54" i="31"/>
  <c r="J55" i="31" s="1"/>
  <c r="J58" i="31" s="1"/>
  <c r="J47" i="25"/>
  <c r="J48" i="25" s="1"/>
  <c r="J47" i="26"/>
  <c r="J48" i="26" s="1"/>
  <c r="J54" i="30"/>
  <c r="J55" i="30" s="1"/>
  <c r="J58" i="30" s="1"/>
  <c r="K70" i="30"/>
  <c r="K71" i="30" s="1"/>
  <c r="K73" i="30" s="1"/>
  <c r="K74" i="30" s="1"/>
  <c r="K12" i="16" s="1"/>
  <c r="K55" i="30"/>
  <c r="K58" i="30" s="1"/>
  <c r="J54" i="17"/>
  <c r="J55" i="17" s="1"/>
  <c r="J58" i="17" s="1"/>
  <c r="K44" i="26"/>
  <c r="K62" i="25" l="1"/>
  <c r="K86" i="25" s="1"/>
  <c r="K60" i="25"/>
  <c r="K84" i="25" s="1"/>
  <c r="K61" i="25"/>
  <c r="K85" i="25" s="1"/>
  <c r="K58" i="25"/>
  <c r="K82" i="25" s="1"/>
  <c r="K59" i="25"/>
  <c r="K83" i="25" s="1"/>
  <c r="J56" i="25"/>
  <c r="K47" i="26"/>
  <c r="G52" i="27"/>
  <c r="J52" i="27"/>
  <c r="K52" i="27"/>
  <c r="E52" i="27"/>
  <c r="T12" i="32"/>
  <c r="S12" i="32"/>
  <c r="R12" i="32"/>
  <c r="M12" i="32"/>
  <c r="L12" i="32"/>
  <c r="K12" i="32"/>
  <c r="L13" i="32" s="1"/>
  <c r="J12" i="32"/>
  <c r="G12" i="32"/>
  <c r="E12" i="32"/>
  <c r="T9" i="32"/>
  <c r="S9" i="32"/>
  <c r="T10" i="32" s="1"/>
  <c r="R9" i="32"/>
  <c r="S10" i="32" s="1"/>
  <c r="M9" i="32"/>
  <c r="L9" i="32"/>
  <c r="K9" i="32"/>
  <c r="J9" i="32"/>
  <c r="G9" i="32"/>
  <c r="E9" i="32"/>
  <c r="E5" i="32"/>
  <c r="E4" i="32"/>
  <c r="E3" i="32"/>
  <c r="E2" i="32"/>
  <c r="H1" i="32"/>
  <c r="A1" i="32"/>
  <c r="S69" i="31" l="1"/>
  <c r="S37" i="31"/>
  <c r="S69" i="30"/>
  <c r="S69" i="17"/>
  <c r="S37" i="30"/>
  <c r="S37" i="17"/>
  <c r="S69" i="29"/>
  <c r="S37" i="29"/>
  <c r="T69" i="31"/>
  <c r="T37" i="31"/>
  <c r="T69" i="30"/>
  <c r="T69" i="17"/>
  <c r="T37" i="30"/>
  <c r="T37" i="17"/>
  <c r="T69" i="29"/>
  <c r="T37" i="29"/>
  <c r="L42" i="31"/>
  <c r="L35" i="27"/>
  <c r="L35" i="25"/>
  <c r="L42" i="30"/>
  <c r="L42" i="17"/>
  <c r="L35" i="26"/>
  <c r="L42" i="29"/>
  <c r="M13" i="32"/>
  <c r="N13" i="32"/>
  <c r="K48" i="26"/>
  <c r="J61" i="25"/>
  <c r="J85" i="25" s="1"/>
  <c r="J58" i="25"/>
  <c r="J82" i="25" s="1"/>
  <c r="J60" i="25"/>
  <c r="J84" i="25" s="1"/>
  <c r="J62" i="25"/>
  <c r="J86" i="25" s="1"/>
  <c r="J59" i="25"/>
  <c r="J83" i="25" s="1"/>
  <c r="L10" i="32"/>
  <c r="N52" i="27"/>
  <c r="L52" i="27"/>
  <c r="N10" i="32"/>
  <c r="M10" i="32"/>
  <c r="G58" i="27"/>
  <c r="G16" i="16" s="1"/>
  <c r="G57" i="27"/>
  <c r="K53" i="27"/>
  <c r="K56" i="27" s="1"/>
  <c r="J53" i="27"/>
  <c r="J56" i="27" s="1"/>
  <c r="G51" i="27"/>
  <c r="E51" i="27"/>
  <c r="M69" i="31" l="1"/>
  <c r="M37" i="31"/>
  <c r="M69" i="30"/>
  <c r="M69" i="17"/>
  <c r="M37" i="30"/>
  <c r="M37" i="17"/>
  <c r="M69" i="29"/>
  <c r="M37" i="29"/>
  <c r="N69" i="31"/>
  <c r="N37" i="31"/>
  <c r="N69" i="30"/>
  <c r="N69" i="17"/>
  <c r="N37" i="30"/>
  <c r="N37" i="17"/>
  <c r="N69" i="29"/>
  <c r="N37" i="29"/>
  <c r="L69" i="31"/>
  <c r="L37" i="31"/>
  <c r="L69" i="30"/>
  <c r="L69" i="17"/>
  <c r="L37" i="30"/>
  <c r="L37" i="17"/>
  <c r="L69" i="29"/>
  <c r="L37" i="29"/>
  <c r="N42" i="31"/>
  <c r="N35" i="27"/>
  <c r="N35" i="25"/>
  <c r="N42" i="30"/>
  <c r="N42" i="17"/>
  <c r="N35" i="26"/>
  <c r="N42" i="29"/>
  <c r="M52" i="27"/>
  <c r="M42" i="31"/>
  <c r="M35" i="27"/>
  <c r="M35" i="25"/>
  <c r="M42" i="30"/>
  <c r="M42" i="17"/>
  <c r="M35" i="26"/>
  <c r="M42" i="29"/>
  <c r="E4" i="19" l="1"/>
  <c r="E85" i="24" l="1"/>
  <c r="G85" i="24"/>
  <c r="H85" i="24"/>
  <c r="G84" i="24"/>
  <c r="H84" i="24"/>
  <c r="E5" i="31"/>
  <c r="E4" i="31"/>
  <c r="E3" i="31"/>
  <c r="E2" i="31"/>
  <c r="E5" i="16"/>
  <c r="E4" i="16"/>
  <c r="E3" i="16"/>
  <c r="E2" i="16"/>
  <c r="E5" i="27"/>
  <c r="E4" i="27"/>
  <c r="E3" i="27"/>
  <c r="E2" i="27"/>
  <c r="E5" i="25"/>
  <c r="E4" i="25"/>
  <c r="E3" i="25"/>
  <c r="E2" i="25"/>
  <c r="E5" i="26"/>
  <c r="E4" i="26"/>
  <c r="E3" i="26"/>
  <c r="E2" i="26"/>
  <c r="E5" i="29"/>
  <c r="E4" i="29"/>
  <c r="E3" i="29"/>
  <c r="E2" i="29"/>
  <c r="E5" i="17"/>
  <c r="E4" i="17"/>
  <c r="E3" i="17"/>
  <c r="E2" i="17"/>
  <c r="H86" i="24" l="1"/>
  <c r="E5" i="19" l="1"/>
  <c r="E3" i="19"/>
  <c r="E2" i="19"/>
  <c r="E34" i="31"/>
  <c r="G35" i="31"/>
  <c r="E35" i="31"/>
  <c r="H1" i="31"/>
  <c r="A1" i="31"/>
  <c r="E34" i="30"/>
  <c r="E5" i="30"/>
  <c r="E4" i="30"/>
  <c r="E3" i="30"/>
  <c r="E2" i="30"/>
  <c r="H1" i="30"/>
  <c r="A1" i="30"/>
  <c r="H1" i="29"/>
  <c r="A1" i="29"/>
  <c r="F18" i="29" s="1"/>
  <c r="H1" i="16"/>
  <c r="H1" i="27"/>
  <c r="H1" i="25"/>
  <c r="H1" i="26"/>
  <c r="H1" i="17"/>
  <c r="H1" i="24"/>
  <c r="F127" i="19"/>
  <c r="G19" i="29" l="1"/>
  <c r="G29" i="29" s="1"/>
  <c r="K43" i="29"/>
  <c r="J43" i="29"/>
  <c r="E74" i="29"/>
  <c r="E10" i="16" s="1"/>
  <c r="Q57" i="27"/>
  <c r="J57" i="27"/>
  <c r="J58" i="27" s="1"/>
  <c r="J16" i="16" s="1"/>
  <c r="K57" i="27"/>
  <c r="K58" i="27" s="1"/>
  <c r="K16" i="16" s="1"/>
  <c r="L57" i="27"/>
  <c r="M57" i="27"/>
  <c r="N57" i="27"/>
  <c r="O57" i="27"/>
  <c r="P57" i="27"/>
  <c r="R57" i="27"/>
  <c r="S57" i="27"/>
  <c r="T57" i="27"/>
  <c r="E57" i="27"/>
  <c r="A1" i="27"/>
  <c r="G51" i="26"/>
  <c r="J51" i="26"/>
  <c r="J53" i="26" s="1"/>
  <c r="J19" i="16" s="1"/>
  <c r="K51" i="26"/>
  <c r="K53" i="26" s="1"/>
  <c r="K19" i="16" s="1"/>
  <c r="L51" i="26"/>
  <c r="M51" i="26"/>
  <c r="N51" i="26"/>
  <c r="O51" i="26"/>
  <c r="P51" i="26"/>
  <c r="Q51" i="26"/>
  <c r="R51" i="26"/>
  <c r="S51" i="26"/>
  <c r="T51" i="26"/>
  <c r="E51" i="26"/>
  <c r="A1" i="26"/>
  <c r="J49" i="29" l="1"/>
  <c r="J51" i="29" s="1"/>
  <c r="J53" i="29"/>
  <c r="K53" i="29"/>
  <c r="K49" i="29"/>
  <c r="K51" i="29" s="1"/>
  <c r="K54" i="29" s="1"/>
  <c r="K55" i="29" l="1"/>
  <c r="K58" i="29" s="1"/>
  <c r="J54" i="29"/>
  <c r="J55" i="29" s="1"/>
  <c r="J58" i="29" s="1"/>
  <c r="J51" i="27"/>
  <c r="K51" i="27"/>
  <c r="A1" i="25" l="1"/>
  <c r="E27" i="24"/>
  <c r="J10" i="8" l="1"/>
  <c r="J5" i="32" s="1"/>
  <c r="E34" i="17"/>
  <c r="N12" i="32" l="1"/>
  <c r="O13" i="32" s="1"/>
  <c r="N9" i="32"/>
  <c r="O10" i="32" s="1"/>
  <c r="J5" i="19"/>
  <c r="J5" i="31"/>
  <c r="J5" i="16"/>
  <c r="J5" i="27"/>
  <c r="J5" i="25"/>
  <c r="J5" i="26"/>
  <c r="J5" i="29"/>
  <c r="J5" i="17"/>
  <c r="J5" i="30"/>
  <c r="J13" i="8"/>
  <c r="J14" i="8" s="1"/>
  <c r="O12" i="32" l="1"/>
  <c r="P13" i="32" s="1"/>
  <c r="O9" i="32"/>
  <c r="P10" i="32" s="1"/>
  <c r="O69" i="31"/>
  <c r="O37" i="31"/>
  <c r="O69" i="30"/>
  <c r="O69" i="17"/>
  <c r="O37" i="30"/>
  <c r="O37" i="17"/>
  <c r="O69" i="29"/>
  <c r="O37" i="29"/>
  <c r="O42" i="31"/>
  <c r="O35" i="27"/>
  <c r="O35" i="25"/>
  <c r="O42" i="30"/>
  <c r="O42" i="17"/>
  <c r="O35" i="26"/>
  <c r="O42" i="29"/>
  <c r="O52" i="27"/>
  <c r="E112" i="24"/>
  <c r="E113" i="24"/>
  <c r="E114" i="24"/>
  <c r="E115" i="24"/>
  <c r="E116" i="24"/>
  <c r="E117" i="24"/>
  <c r="E111" i="24"/>
  <c r="D110" i="24"/>
  <c r="E10" i="31" l="1"/>
  <c r="E10" i="27"/>
  <c r="E10" i="25"/>
  <c r="E10" i="26"/>
  <c r="E10" i="30"/>
  <c r="E10" i="17"/>
  <c r="E10" i="29"/>
  <c r="E16" i="31"/>
  <c r="E16" i="27"/>
  <c r="E16" i="25"/>
  <c r="E16" i="26"/>
  <c r="E16" i="30"/>
  <c r="E16" i="17"/>
  <c r="E16" i="29"/>
  <c r="E15" i="31"/>
  <c r="E15" i="27"/>
  <c r="E15" i="25"/>
  <c r="E15" i="26"/>
  <c r="E15" i="30"/>
  <c r="E15" i="17"/>
  <c r="E15" i="29"/>
  <c r="E14" i="31"/>
  <c r="E14" i="27"/>
  <c r="E14" i="25"/>
  <c r="E14" i="26"/>
  <c r="E14" i="30"/>
  <c r="E14" i="17"/>
  <c r="E14" i="29"/>
  <c r="E13" i="31"/>
  <c r="E13" i="27"/>
  <c r="E13" i="25"/>
  <c r="E13" i="26"/>
  <c r="E13" i="30"/>
  <c r="E13" i="17"/>
  <c r="E13" i="29"/>
  <c r="E12" i="31"/>
  <c r="E12" i="27"/>
  <c r="E12" i="25"/>
  <c r="E12" i="26"/>
  <c r="E12" i="30"/>
  <c r="E12" i="17"/>
  <c r="E12" i="29"/>
  <c r="E11" i="31"/>
  <c r="E11" i="27"/>
  <c r="E11" i="25"/>
  <c r="E11" i="26"/>
  <c r="E11" i="30"/>
  <c r="E11" i="17"/>
  <c r="E11" i="29"/>
  <c r="P12" i="32"/>
  <c r="Q13" i="32" s="1"/>
  <c r="P9" i="32"/>
  <c r="Q10" i="32" s="1"/>
  <c r="P69" i="31"/>
  <c r="P37" i="31"/>
  <c r="P69" i="30"/>
  <c r="P69" i="17"/>
  <c r="P37" i="30"/>
  <c r="P37" i="17"/>
  <c r="P69" i="29"/>
  <c r="P37" i="29"/>
  <c r="P42" i="31"/>
  <c r="P35" i="27"/>
  <c r="P35" i="25"/>
  <c r="P42" i="30"/>
  <c r="P42" i="17"/>
  <c r="P35" i="26"/>
  <c r="P42" i="29"/>
  <c r="P52" i="27"/>
  <c r="G86" i="24"/>
  <c r="E86" i="24"/>
  <c r="E84" i="24"/>
  <c r="Q12" i="32" l="1"/>
  <c r="R13" i="32" s="1"/>
  <c r="Q9" i="32"/>
  <c r="R10" i="32" s="1"/>
  <c r="Q69" i="31"/>
  <c r="Q37" i="31"/>
  <c r="Q69" i="30"/>
  <c r="Q69" i="17"/>
  <c r="Q37" i="30"/>
  <c r="Q37" i="17"/>
  <c r="Q69" i="29"/>
  <c r="Q37" i="29"/>
  <c r="Q42" i="31"/>
  <c r="Q35" i="27"/>
  <c r="Q35" i="25"/>
  <c r="Q42" i="30"/>
  <c r="Q42" i="17"/>
  <c r="Q35" i="26"/>
  <c r="Q42" i="29"/>
  <c r="Q52" i="27"/>
  <c r="H65" i="24"/>
  <c r="H66" i="24"/>
  <c r="H67" i="24"/>
  <c r="H68" i="24"/>
  <c r="H69" i="24"/>
  <c r="H70" i="24"/>
  <c r="H64" i="24"/>
  <c r="E69" i="24"/>
  <c r="E70" i="24"/>
  <c r="E65" i="24"/>
  <c r="E66" i="24"/>
  <c r="E67" i="24"/>
  <c r="E68" i="24"/>
  <c r="E64" i="24"/>
  <c r="D63" i="24"/>
  <c r="H45" i="24"/>
  <c r="H43" i="24"/>
  <c r="H44" i="24"/>
  <c r="H46" i="24"/>
  <c r="H47" i="24"/>
  <c r="H48" i="24"/>
  <c r="H42" i="24"/>
  <c r="E43" i="24"/>
  <c r="E44" i="24"/>
  <c r="E45" i="24"/>
  <c r="E46" i="24"/>
  <c r="E47" i="24"/>
  <c r="E48" i="24"/>
  <c r="E42" i="24"/>
  <c r="D41" i="24"/>
  <c r="H18" i="24"/>
  <c r="H19" i="24"/>
  <c r="H17" i="24"/>
  <c r="H23" i="24"/>
  <c r="H24" i="24"/>
  <c r="H25" i="24"/>
  <c r="H26" i="24"/>
  <c r="H27" i="24"/>
  <c r="H28" i="24"/>
  <c r="H22" i="24"/>
  <c r="E23" i="24"/>
  <c r="E24" i="24"/>
  <c r="E25" i="24"/>
  <c r="E26" i="24"/>
  <c r="E28" i="24"/>
  <c r="E22" i="24"/>
  <c r="D7" i="24"/>
  <c r="D16" i="24"/>
  <c r="D21" i="24"/>
  <c r="E18" i="24"/>
  <c r="E19" i="24"/>
  <c r="E17" i="24"/>
  <c r="H9" i="24"/>
  <c r="H10" i="24"/>
  <c r="H11" i="24"/>
  <c r="H12" i="24"/>
  <c r="H13" i="24"/>
  <c r="H14" i="24"/>
  <c r="H8" i="24"/>
  <c r="E9" i="24"/>
  <c r="E10" i="24"/>
  <c r="E11" i="24"/>
  <c r="E12" i="24"/>
  <c r="E13" i="24"/>
  <c r="E14" i="24"/>
  <c r="E8" i="24"/>
  <c r="A1" i="24"/>
  <c r="R69" i="31" l="1"/>
  <c r="R37" i="31"/>
  <c r="R69" i="30"/>
  <c r="R69" i="17"/>
  <c r="R37" i="30"/>
  <c r="R37" i="17"/>
  <c r="R69" i="29"/>
  <c r="R37" i="29"/>
  <c r="R42" i="31"/>
  <c r="R35" i="27"/>
  <c r="R35" i="25"/>
  <c r="R42" i="30"/>
  <c r="R42" i="17"/>
  <c r="R35" i="26"/>
  <c r="R42" i="29"/>
  <c r="R52" i="27"/>
  <c r="S13" i="32"/>
  <c r="H89" i="24"/>
  <c r="H100" i="24" s="1"/>
  <c r="H30" i="16" s="1"/>
  <c r="H93" i="24"/>
  <c r="H106" i="24" s="1"/>
  <c r="H36" i="16" s="1"/>
  <c r="H91" i="24"/>
  <c r="H102" i="24" s="1"/>
  <c r="H32" i="16" s="1"/>
  <c r="H92" i="24"/>
  <c r="H103" i="24" s="1"/>
  <c r="H33" i="16" s="1"/>
  <c r="H97" i="24"/>
  <c r="H105" i="24" s="1"/>
  <c r="H35" i="16" s="1"/>
  <c r="H90" i="24"/>
  <c r="H101" i="24" s="1"/>
  <c r="H31" i="16" s="1"/>
  <c r="H96" i="24"/>
  <c r="H104" i="24" s="1"/>
  <c r="H34" i="16" s="1"/>
  <c r="H31" i="24"/>
  <c r="H51" i="24" s="1"/>
  <c r="H34" i="24"/>
  <c r="H54" i="24" s="1"/>
  <c r="H76" i="24" s="1"/>
  <c r="H114" i="24" s="1"/>
  <c r="H36" i="24"/>
  <c r="H56" i="24" s="1"/>
  <c r="H78" i="24" s="1"/>
  <c r="H116" i="24" s="1"/>
  <c r="H35" i="24"/>
  <c r="H55" i="24" s="1"/>
  <c r="H77" i="24" s="1"/>
  <c r="H115" i="24" s="1"/>
  <c r="H37" i="24"/>
  <c r="H57" i="24" s="1"/>
  <c r="H79" i="24" s="1"/>
  <c r="H117" i="24" s="1"/>
  <c r="H33" i="24"/>
  <c r="H32" i="24"/>
  <c r="H52" i="24" s="1"/>
  <c r="H74" i="24" s="1"/>
  <c r="H112" i="24" s="1"/>
  <c r="H11" i="31" l="1"/>
  <c r="H11" i="27"/>
  <c r="H11" i="25"/>
  <c r="H11" i="26"/>
  <c r="H11" i="30"/>
  <c r="H11" i="17"/>
  <c r="H19" i="17" s="1"/>
  <c r="H11" i="29"/>
  <c r="H16" i="31"/>
  <c r="H19" i="31" s="1"/>
  <c r="H16" i="27"/>
  <c r="H16" i="25"/>
  <c r="H16" i="26"/>
  <c r="H16" i="30"/>
  <c r="H16" i="17"/>
  <c r="H16" i="29"/>
  <c r="H14" i="31"/>
  <c r="H14" i="27"/>
  <c r="H14" i="25"/>
  <c r="H14" i="26"/>
  <c r="H19" i="26" s="1"/>
  <c r="H14" i="30"/>
  <c r="H14" i="17"/>
  <c r="H14" i="29"/>
  <c r="H15" i="31"/>
  <c r="H15" i="27"/>
  <c r="H15" i="25"/>
  <c r="H19" i="25" s="1"/>
  <c r="H15" i="26"/>
  <c r="H15" i="30"/>
  <c r="H15" i="17"/>
  <c r="H15" i="29"/>
  <c r="H13" i="31"/>
  <c r="H13" i="27"/>
  <c r="H19" i="27" s="1"/>
  <c r="H13" i="25"/>
  <c r="H13" i="26"/>
  <c r="H13" i="30"/>
  <c r="H13" i="17"/>
  <c r="H13" i="29"/>
  <c r="S42" i="31"/>
  <c r="S35" i="27"/>
  <c r="S35" i="25"/>
  <c r="S42" i="30"/>
  <c r="S42" i="17"/>
  <c r="S35" i="26"/>
  <c r="S42" i="29"/>
  <c r="S52" i="27"/>
  <c r="T13" i="32"/>
  <c r="H73" i="24"/>
  <c r="H111" i="24" s="1"/>
  <c r="H53" i="24"/>
  <c r="H75" i="24" s="1"/>
  <c r="H113" i="24" s="1"/>
  <c r="H1" i="19"/>
  <c r="H12" i="31" l="1"/>
  <c r="H12" i="27"/>
  <c r="H12" i="25"/>
  <c r="H12" i="26"/>
  <c r="H12" i="30"/>
  <c r="H19" i="30" s="1"/>
  <c r="H12" i="17"/>
  <c r="H12" i="29"/>
  <c r="H10" i="31"/>
  <c r="H10" i="27"/>
  <c r="H10" i="25"/>
  <c r="H10" i="26"/>
  <c r="H10" i="30"/>
  <c r="H10" i="17"/>
  <c r="H10" i="29"/>
  <c r="H19" i="29" s="1"/>
  <c r="T42" i="31"/>
  <c r="T35" i="27"/>
  <c r="T35" i="25"/>
  <c r="T42" i="30"/>
  <c r="T42" i="17"/>
  <c r="T35" i="26"/>
  <c r="T42" i="29"/>
  <c r="T52" i="27"/>
  <c r="F10" i="19"/>
  <c r="E1" i="22"/>
  <c r="A1" i="22"/>
  <c r="F15" i="19"/>
  <c r="A1" i="19"/>
  <c r="G106" i="24" l="1"/>
  <c r="G36" i="16" s="1"/>
  <c r="G102" i="24"/>
  <c r="G32" i="16" s="1"/>
  <c r="G105" i="24"/>
  <c r="G35" i="16" s="1"/>
  <c r="G101" i="24"/>
  <c r="G31" i="16" s="1"/>
  <c r="G104" i="24"/>
  <c r="G34" i="16" s="1"/>
  <c r="G100" i="24"/>
  <c r="G30" i="16" s="1"/>
  <c r="G103" i="24"/>
  <c r="G33" i="16" s="1"/>
  <c r="G77" i="24"/>
  <c r="G115" i="24" s="1"/>
  <c r="G73" i="24"/>
  <c r="G111" i="24" s="1"/>
  <c r="G57" i="24"/>
  <c r="G53" i="24"/>
  <c r="G75" i="24"/>
  <c r="G113" i="24" s="1"/>
  <c r="G55" i="24"/>
  <c r="G78" i="24"/>
  <c r="G116" i="24" s="1"/>
  <c r="G74" i="24"/>
  <c r="G112" i="24" s="1"/>
  <c r="G54" i="24"/>
  <c r="G76" i="24"/>
  <c r="G114" i="24" s="1"/>
  <c r="G56" i="24"/>
  <c r="G52" i="24"/>
  <c r="G79" i="24"/>
  <c r="G117" i="24" s="1"/>
  <c r="G51" i="24"/>
  <c r="G32" i="24"/>
  <c r="G36" i="24"/>
  <c r="G33" i="24"/>
  <c r="G37" i="24"/>
  <c r="G35" i="24"/>
  <c r="G34" i="24"/>
  <c r="G31" i="24"/>
  <c r="G35" i="19"/>
  <c r="G23" i="24" s="1"/>
  <c r="G39" i="19"/>
  <c r="G27" i="24" s="1"/>
  <c r="G36" i="19"/>
  <c r="G24" i="24" s="1"/>
  <c r="G40" i="19"/>
  <c r="G28" i="24" s="1"/>
  <c r="G37" i="19"/>
  <c r="G25" i="24" s="1"/>
  <c r="G34" i="19"/>
  <c r="G22" i="24" s="1"/>
  <c r="G38" i="19"/>
  <c r="G26" i="24" s="1"/>
  <c r="G52" i="19"/>
  <c r="G48" i="24" s="1"/>
  <c r="G31" i="19"/>
  <c r="G19" i="24" s="1"/>
  <c r="G26" i="19"/>
  <c r="G14" i="24" s="1"/>
  <c r="G58" i="19"/>
  <c r="G67" i="24" s="1"/>
  <c r="G56" i="19"/>
  <c r="G65" i="24" s="1"/>
  <c r="G60" i="19"/>
  <c r="G69" i="24" s="1"/>
  <c r="G55" i="19"/>
  <c r="G64" i="24" s="1"/>
  <c r="G59" i="19"/>
  <c r="G68" i="24" s="1"/>
  <c r="G57" i="19"/>
  <c r="G66" i="24" s="1"/>
  <c r="G61" i="19"/>
  <c r="G70" i="24" s="1"/>
  <c r="G25" i="19"/>
  <c r="G13" i="24" s="1"/>
  <c r="G22" i="19"/>
  <c r="G10" i="24" s="1"/>
  <c r="G21" i="19"/>
  <c r="G9" i="24" s="1"/>
  <c r="G49" i="19"/>
  <c r="G45" i="24" s="1"/>
  <c r="G20" i="19"/>
  <c r="G8" i="24" s="1"/>
  <c r="G24" i="19"/>
  <c r="G12" i="24" s="1"/>
  <c r="G30" i="19"/>
  <c r="G18" i="24" s="1"/>
  <c r="G23" i="19"/>
  <c r="G11" i="24" s="1"/>
  <c r="G46" i="19"/>
  <c r="G42" i="24" s="1"/>
  <c r="G50" i="19"/>
  <c r="G46" i="24" s="1"/>
  <c r="G47" i="19"/>
  <c r="G43" i="24" s="1"/>
  <c r="G51" i="19"/>
  <c r="G47" i="24" s="1"/>
  <c r="G29" i="19"/>
  <c r="G17" i="24" s="1"/>
  <c r="G48" i="19"/>
  <c r="G44" i="24" s="1"/>
  <c r="G16" i="31" l="1"/>
  <c r="G19" i="31" s="1"/>
  <c r="G29" i="31" s="1"/>
  <c r="G41" i="31" s="1"/>
  <c r="G16" i="27"/>
  <c r="G16" i="25"/>
  <c r="G16" i="26"/>
  <c r="G16" i="30"/>
  <c r="G16" i="17"/>
  <c r="G16" i="29"/>
  <c r="G13" i="31"/>
  <c r="G13" i="27"/>
  <c r="G19" i="27" s="1"/>
  <c r="G29" i="27" s="1"/>
  <c r="G34" i="27" s="1"/>
  <c r="G13" i="25"/>
  <c r="G13" i="26"/>
  <c r="G13" i="30"/>
  <c r="G13" i="17"/>
  <c r="G13" i="29"/>
  <c r="G11" i="31"/>
  <c r="G11" i="27"/>
  <c r="G11" i="25"/>
  <c r="G11" i="26"/>
  <c r="G11" i="30"/>
  <c r="G11" i="17"/>
  <c r="G19" i="17" s="1"/>
  <c r="G29" i="17" s="1"/>
  <c r="G41" i="17" s="1"/>
  <c r="G11" i="29"/>
  <c r="G15" i="31"/>
  <c r="G15" i="27"/>
  <c r="G15" i="25"/>
  <c r="G19" i="25" s="1"/>
  <c r="G29" i="25" s="1"/>
  <c r="G34" i="25" s="1"/>
  <c r="G15" i="26"/>
  <c r="G15" i="30"/>
  <c r="G15" i="17"/>
  <c r="G15" i="29"/>
  <c r="G12" i="31"/>
  <c r="G12" i="27"/>
  <c r="G12" i="25"/>
  <c r="G12" i="26"/>
  <c r="G12" i="30"/>
  <c r="G19" i="30" s="1"/>
  <c r="G29" i="30" s="1"/>
  <c r="G41" i="30" s="1"/>
  <c r="G12" i="17"/>
  <c r="G12" i="29"/>
  <c r="G10" i="31"/>
  <c r="G10" i="27"/>
  <c r="G10" i="25"/>
  <c r="G10" i="26"/>
  <c r="G10" i="30"/>
  <c r="G10" i="17"/>
  <c r="G10" i="29"/>
  <c r="G14" i="31"/>
  <c r="G14" i="27"/>
  <c r="G14" i="25"/>
  <c r="G14" i="26"/>
  <c r="G19" i="26" s="1"/>
  <c r="G29" i="26" s="1"/>
  <c r="G34" i="26" s="1"/>
  <c r="G14" i="30"/>
  <c r="G14" i="17"/>
  <c r="G14" i="29"/>
  <c r="G41" i="29"/>
  <c r="A1" i="17"/>
  <c r="G53" i="27" l="1"/>
  <c r="G56" i="27" s="1"/>
  <c r="A1" i="16" l="1"/>
  <c r="F81" i="8" l="1"/>
  <c r="E81" i="8"/>
  <c r="G81" i="8"/>
  <c r="E82" i="8"/>
  <c r="G82" i="8"/>
  <c r="F82" i="8" l="1"/>
  <c r="A1" i="8"/>
  <c r="E2" i="8"/>
  <c r="E3" i="8"/>
  <c r="E4" i="8"/>
  <c r="E5" i="8"/>
  <c r="J5" i="8"/>
  <c r="E13" i="8"/>
  <c r="F13" i="8"/>
  <c r="G13" i="8"/>
  <c r="H13" i="8"/>
  <c r="I13" i="8"/>
  <c r="E16" i="8"/>
  <c r="G16" i="8"/>
  <c r="E19" i="8"/>
  <c r="G19" i="8"/>
  <c r="E20" i="8"/>
  <c r="F20" i="8"/>
  <c r="G20" i="8"/>
  <c r="I20" i="8"/>
  <c r="E24" i="8"/>
  <c r="F24" i="8"/>
  <c r="G24" i="8"/>
  <c r="H24" i="8"/>
  <c r="I24" i="8"/>
  <c r="E25" i="8"/>
  <c r="F25" i="8"/>
  <c r="G25" i="8"/>
  <c r="H25" i="8"/>
  <c r="I25" i="8"/>
  <c r="E31" i="8"/>
  <c r="G31" i="8"/>
  <c r="E32" i="8"/>
  <c r="F32" i="8"/>
  <c r="G32" i="8"/>
  <c r="H32" i="8"/>
  <c r="I32" i="8"/>
  <c r="E37" i="8"/>
  <c r="G37" i="8"/>
  <c r="E38" i="8"/>
  <c r="F38" i="8"/>
  <c r="G38" i="8"/>
  <c r="H38" i="8"/>
  <c r="I38" i="8"/>
  <c r="E44" i="8"/>
  <c r="F44" i="8"/>
  <c r="G44" i="8"/>
  <c r="I44" i="8"/>
  <c r="J45" i="8" s="1"/>
  <c r="E47" i="8"/>
  <c r="G47" i="8"/>
  <c r="E48" i="8"/>
  <c r="F48" i="8"/>
  <c r="G48" i="8"/>
  <c r="H48" i="8"/>
  <c r="I48" i="8"/>
  <c r="E51" i="8"/>
  <c r="F51" i="8"/>
  <c r="G51" i="8"/>
  <c r="I51" i="8"/>
  <c r="E52" i="8"/>
  <c r="F52" i="8"/>
  <c r="G52" i="8"/>
  <c r="I52" i="8"/>
  <c r="E56" i="8"/>
  <c r="F56" i="8"/>
  <c r="G56" i="8"/>
  <c r="I56" i="8"/>
  <c r="E57" i="8"/>
  <c r="F57" i="8"/>
  <c r="G57" i="8"/>
  <c r="I57" i="8"/>
  <c r="E63" i="8"/>
  <c r="F63" i="8"/>
  <c r="G63" i="8"/>
  <c r="I63" i="8"/>
  <c r="J64" i="8" s="1"/>
  <c r="J66" i="8" s="1"/>
  <c r="J67" i="8" s="1"/>
  <c r="E66" i="8"/>
  <c r="F66" i="8"/>
  <c r="G66" i="8"/>
  <c r="I66" i="8"/>
  <c r="E73" i="8"/>
  <c r="G73" i="8"/>
  <c r="E74" i="8"/>
  <c r="G74" i="8"/>
  <c r="E75" i="8"/>
  <c r="G75" i="8"/>
  <c r="E76" i="8"/>
  <c r="G76" i="8"/>
  <c r="E83" i="8"/>
  <c r="F83" i="8"/>
  <c r="G83" i="8"/>
  <c r="H83" i="8"/>
  <c r="I83" i="8"/>
  <c r="E84" i="8"/>
  <c r="F84" i="8"/>
  <c r="G84" i="8"/>
  <c r="I84" i="8"/>
  <c r="J35" i="30" l="1"/>
  <c r="J35" i="17"/>
  <c r="J35" i="29"/>
  <c r="J38" i="17"/>
  <c r="J35" i="31"/>
  <c r="J38" i="31" s="1"/>
  <c r="J57" i="31" s="1"/>
  <c r="J59" i="31" s="1"/>
  <c r="J38" i="30"/>
  <c r="J38" i="29"/>
  <c r="J51" i="8"/>
  <c r="J53" i="8" s="1"/>
  <c r="J57" i="8" s="1"/>
  <c r="F31" i="8"/>
  <c r="F16" i="8"/>
  <c r="F17" i="8" s="1"/>
  <c r="F19" i="8" s="1"/>
  <c r="F37" i="8"/>
  <c r="F47" i="8"/>
  <c r="K10" i="8"/>
  <c r="K5" i="32" s="1"/>
  <c r="J57" i="30" l="1"/>
  <c r="J59" i="30" s="1"/>
  <c r="J62" i="31"/>
  <c r="K63" i="31" s="1"/>
  <c r="K68" i="31" s="1"/>
  <c r="J57" i="17"/>
  <c r="J59" i="17" s="1"/>
  <c r="J57" i="29"/>
  <c r="J59" i="29" s="1"/>
  <c r="J74" i="29"/>
  <c r="J10" i="16" s="1"/>
  <c r="K5" i="19"/>
  <c r="K5" i="31"/>
  <c r="K5" i="16"/>
  <c r="K5" i="27"/>
  <c r="K5" i="25"/>
  <c r="K5" i="26"/>
  <c r="K5" i="29"/>
  <c r="K5" i="17"/>
  <c r="K5" i="30"/>
  <c r="J20" i="8"/>
  <c r="J21" i="8" s="1"/>
  <c r="J84" i="8"/>
  <c r="J85" i="8" s="1"/>
  <c r="K5" i="8"/>
  <c r="K13" i="8"/>
  <c r="K14" i="8" s="1"/>
  <c r="L10" i="8"/>
  <c r="L5" i="32" s="1"/>
  <c r="J25" i="31" l="1"/>
  <c r="J26" i="31" s="1"/>
  <c r="L27" i="31" s="1"/>
  <c r="J25" i="27"/>
  <c r="J26" i="27" s="1"/>
  <c r="L27" i="27" s="1"/>
  <c r="L29" i="27" s="1"/>
  <c r="L34" i="27" s="1"/>
  <c r="L36" i="27" s="1"/>
  <c r="J25" i="25"/>
  <c r="J26" i="25" s="1"/>
  <c r="L27" i="25" s="1"/>
  <c r="L29" i="25" s="1"/>
  <c r="L34" i="25" s="1"/>
  <c r="L36" i="25" s="1"/>
  <c r="J25" i="26"/>
  <c r="J26" i="26" s="1"/>
  <c r="L27" i="26" s="1"/>
  <c r="L29" i="26" s="1"/>
  <c r="L34" i="26" s="1"/>
  <c r="L36" i="26" s="1"/>
  <c r="J25" i="30"/>
  <c r="J26" i="30" s="1"/>
  <c r="L27" i="30" s="1"/>
  <c r="J25" i="17"/>
  <c r="J26" i="17" s="1"/>
  <c r="L27" i="17" s="1"/>
  <c r="J25" i="29"/>
  <c r="J26" i="29" s="1"/>
  <c r="L27" i="29" s="1"/>
  <c r="J62" i="30"/>
  <c r="K63" i="30" s="1"/>
  <c r="K68" i="30" s="1"/>
  <c r="J62" i="29"/>
  <c r="K63" i="29" s="1"/>
  <c r="K68" i="29" s="1"/>
  <c r="J62" i="17"/>
  <c r="K63" i="17" s="1"/>
  <c r="K68" i="17" s="1"/>
  <c r="J4" i="19"/>
  <c r="J4" i="32"/>
  <c r="L5" i="19"/>
  <c r="L5" i="31"/>
  <c r="L5" i="16"/>
  <c r="L5" i="27"/>
  <c r="L5" i="25"/>
  <c r="L5" i="26"/>
  <c r="L5" i="29"/>
  <c r="L5" i="17"/>
  <c r="J4" i="16"/>
  <c r="J4" i="29"/>
  <c r="J4" i="31"/>
  <c r="J4" i="27"/>
  <c r="J4" i="25"/>
  <c r="J4" i="26"/>
  <c r="J4" i="17"/>
  <c r="L5" i="30"/>
  <c r="J4" i="30"/>
  <c r="J22" i="8"/>
  <c r="J2" i="32" s="1"/>
  <c r="M10" i="8"/>
  <c r="M5" i="32" s="1"/>
  <c r="L5" i="8"/>
  <c r="L13" i="8"/>
  <c r="L14" i="8" s="1"/>
  <c r="K20" i="8"/>
  <c r="K84" i="8"/>
  <c r="J25" i="8"/>
  <c r="L29" i="29" l="1"/>
  <c r="L41" i="29" s="1"/>
  <c r="L65" i="29"/>
  <c r="L66" i="29" s="1"/>
  <c r="L70" i="29" s="1"/>
  <c r="L71" i="29" s="1"/>
  <c r="L73" i="29" s="1"/>
  <c r="L29" i="17"/>
  <c r="L41" i="17" s="1"/>
  <c r="L43" i="17" s="1"/>
  <c r="L65" i="17"/>
  <c r="L66" i="17" s="1"/>
  <c r="L70" i="17" s="1"/>
  <c r="L71" i="17" s="1"/>
  <c r="L73" i="17" s="1"/>
  <c r="L74" i="17" s="1"/>
  <c r="L11" i="16" s="1"/>
  <c r="L29" i="30"/>
  <c r="L41" i="30" s="1"/>
  <c r="L43" i="30" s="1"/>
  <c r="L65" i="30"/>
  <c r="L66" i="30" s="1"/>
  <c r="L70" i="30" s="1"/>
  <c r="L71" i="30" s="1"/>
  <c r="L73" i="30" s="1"/>
  <c r="L74" i="30" s="1"/>
  <c r="L12" i="16" s="1"/>
  <c r="L46" i="26"/>
  <c r="L42" i="26"/>
  <c r="L44" i="26" s="1"/>
  <c r="L42" i="25"/>
  <c r="L44" i="25" s="1"/>
  <c r="L46" i="25"/>
  <c r="L46" i="27"/>
  <c r="L42" i="27"/>
  <c r="L44" i="27" s="1"/>
  <c r="L29" i="31"/>
  <c r="L41" i="31" s="1"/>
  <c r="L43" i="31" s="1"/>
  <c r="L65" i="31"/>
  <c r="L66" i="31" s="1"/>
  <c r="L70" i="31" s="1"/>
  <c r="L71" i="31" s="1"/>
  <c r="L73" i="31" s="1"/>
  <c r="L74" i="31" s="1"/>
  <c r="L13" i="16" s="1"/>
  <c r="M5" i="19"/>
  <c r="M5" i="31"/>
  <c r="M5" i="16"/>
  <c r="M5" i="27"/>
  <c r="M5" i="25"/>
  <c r="M5" i="26"/>
  <c r="M5" i="29"/>
  <c r="M5" i="17"/>
  <c r="J2" i="19"/>
  <c r="J2" i="26"/>
  <c r="J2" i="31"/>
  <c r="J2" i="27"/>
  <c r="J2" i="25"/>
  <c r="J2" i="16"/>
  <c r="J2" i="29"/>
  <c r="J2" i="17"/>
  <c r="M5" i="30"/>
  <c r="J2" i="30"/>
  <c r="J4" i="8"/>
  <c r="L20" i="8"/>
  <c r="L84" i="8"/>
  <c r="M13" i="8"/>
  <c r="M14" i="8" s="1"/>
  <c r="M5" i="8"/>
  <c r="N10" i="8"/>
  <c r="N5" i="32" s="1"/>
  <c r="J2" i="8"/>
  <c r="J24" i="8"/>
  <c r="J26" i="8" s="1"/>
  <c r="J32" i="8"/>
  <c r="J48" i="8"/>
  <c r="J38" i="8"/>
  <c r="J39" i="8" s="1"/>
  <c r="J83" i="8"/>
  <c r="K21" i="8"/>
  <c r="L53" i="31" l="1"/>
  <c r="L49" i="31"/>
  <c r="L51" i="31" s="1"/>
  <c r="L47" i="27"/>
  <c r="L48" i="27"/>
  <c r="L47" i="25"/>
  <c r="L48" i="25" s="1"/>
  <c r="L47" i="26"/>
  <c r="L48" i="26" s="1"/>
  <c r="L53" i="30"/>
  <c r="L49" i="30"/>
  <c r="L51" i="30" s="1"/>
  <c r="L53" i="17"/>
  <c r="L49" i="17"/>
  <c r="L51" i="17" s="1"/>
  <c r="N5" i="19"/>
  <c r="N5" i="31"/>
  <c r="N5" i="16"/>
  <c r="N5" i="27"/>
  <c r="N5" i="25"/>
  <c r="N5" i="26"/>
  <c r="N5" i="29"/>
  <c r="N5" i="17"/>
  <c r="N5" i="30"/>
  <c r="K22" i="8"/>
  <c r="K2" i="32" s="1"/>
  <c r="J49" i="8"/>
  <c r="O10" i="8"/>
  <c r="O5" i="32" s="1"/>
  <c r="N5" i="8"/>
  <c r="N13" i="8"/>
  <c r="N14" i="8" s="1"/>
  <c r="J33" i="8"/>
  <c r="J34" i="8"/>
  <c r="K25" i="8"/>
  <c r="M20" i="8"/>
  <c r="M84" i="8"/>
  <c r="L54" i="17" l="1"/>
  <c r="L55" i="17"/>
  <c r="L58" i="17" s="1"/>
  <c r="L54" i="30"/>
  <c r="L55" i="30"/>
  <c r="L58" i="30" s="1"/>
  <c r="L53" i="26"/>
  <c r="L19" i="16" s="1"/>
  <c r="L56" i="25"/>
  <c r="L54" i="31"/>
  <c r="L55" i="31"/>
  <c r="L58" i="31" s="1"/>
  <c r="L43" i="29"/>
  <c r="O5" i="19"/>
  <c r="O5" i="31"/>
  <c r="O5" i="16"/>
  <c r="O5" i="27"/>
  <c r="O5" i="25"/>
  <c r="O5" i="26"/>
  <c r="O5" i="29"/>
  <c r="O5" i="17"/>
  <c r="K2" i="19"/>
  <c r="K2" i="31"/>
  <c r="K2" i="17"/>
  <c r="K2" i="16"/>
  <c r="K2" i="27"/>
  <c r="K2" i="25"/>
  <c r="K2" i="26"/>
  <c r="K2" i="29"/>
  <c r="O5" i="30"/>
  <c r="K2" i="30"/>
  <c r="K24" i="8"/>
  <c r="K26" i="8" s="1"/>
  <c r="K32" i="8"/>
  <c r="K2" i="8"/>
  <c r="K38" i="8"/>
  <c r="K39" i="8" s="1"/>
  <c r="K48" i="8"/>
  <c r="K83" i="8"/>
  <c r="K85" i="8" s="1"/>
  <c r="O5" i="8"/>
  <c r="O13" i="8"/>
  <c r="O14" i="8" s="1"/>
  <c r="P10" i="8"/>
  <c r="P5" i="32" s="1"/>
  <c r="J44" i="8"/>
  <c r="K45" i="8" s="1"/>
  <c r="N20" i="8"/>
  <c r="N84" i="8"/>
  <c r="J56" i="8"/>
  <c r="J58" i="8" s="1"/>
  <c r="J3" i="32" s="1"/>
  <c r="L21" i="8"/>
  <c r="J52" i="8"/>
  <c r="J63" i="8"/>
  <c r="K64" i="8" s="1"/>
  <c r="K35" i="29" l="1"/>
  <c r="K35" i="30"/>
  <c r="K35" i="17"/>
  <c r="K25" i="31"/>
  <c r="K26" i="31" s="1"/>
  <c r="M27" i="31" s="1"/>
  <c r="K25" i="27"/>
  <c r="K26" i="27" s="1"/>
  <c r="M27" i="27" s="1"/>
  <c r="M29" i="27" s="1"/>
  <c r="M34" i="27" s="1"/>
  <c r="M36" i="27" s="1"/>
  <c r="K25" i="25"/>
  <c r="K26" i="25" s="1"/>
  <c r="M27" i="25" s="1"/>
  <c r="M29" i="25" s="1"/>
  <c r="M34" i="25" s="1"/>
  <c r="M36" i="25" s="1"/>
  <c r="K25" i="26"/>
  <c r="K26" i="26" s="1"/>
  <c r="M27" i="26" s="1"/>
  <c r="M29" i="26" s="1"/>
  <c r="M34" i="26" s="1"/>
  <c r="M36" i="26" s="1"/>
  <c r="K25" i="30"/>
  <c r="K26" i="30" s="1"/>
  <c r="M27" i="30" s="1"/>
  <c r="K25" i="17"/>
  <c r="K26" i="17" s="1"/>
  <c r="M27" i="17" s="1"/>
  <c r="K25" i="29"/>
  <c r="K26" i="29" s="1"/>
  <c r="M27" i="29" s="1"/>
  <c r="L60" i="25"/>
  <c r="L84" i="25" s="1"/>
  <c r="L62" i="25"/>
  <c r="L86" i="25" s="1"/>
  <c r="L59" i="25"/>
  <c r="L83" i="25" s="1"/>
  <c r="L61" i="25"/>
  <c r="L85" i="25" s="1"/>
  <c r="L58" i="25"/>
  <c r="L82" i="25" s="1"/>
  <c r="L53" i="29"/>
  <c r="L49" i="29"/>
  <c r="L51" i="29" s="1"/>
  <c r="L54" i="29" s="1"/>
  <c r="K4" i="19"/>
  <c r="K4" i="32"/>
  <c r="P5" i="19"/>
  <c r="P5" i="31"/>
  <c r="P5" i="16"/>
  <c r="P5" i="27"/>
  <c r="P5" i="25"/>
  <c r="P5" i="26"/>
  <c r="P5" i="29"/>
  <c r="P5" i="17"/>
  <c r="K4" i="31"/>
  <c r="K4" i="17"/>
  <c r="K4" i="16"/>
  <c r="K4" i="27"/>
  <c r="K4" i="25"/>
  <c r="K4" i="26"/>
  <c r="K4" i="29"/>
  <c r="J3" i="19"/>
  <c r="J3" i="29"/>
  <c r="J3" i="31"/>
  <c r="J3" i="16"/>
  <c r="J3" i="26"/>
  <c r="J3" i="27"/>
  <c r="J3" i="25"/>
  <c r="J3" i="17"/>
  <c r="P5" i="30"/>
  <c r="K4" i="30"/>
  <c r="J3" i="30"/>
  <c r="K35" i="31"/>
  <c r="K38" i="30"/>
  <c r="K38" i="29"/>
  <c r="L51" i="27"/>
  <c r="L53" i="27" s="1"/>
  <c r="L56" i="27" s="1"/>
  <c r="L58" i="27" s="1"/>
  <c r="L16" i="16" s="1"/>
  <c r="K38" i="17"/>
  <c r="L25" i="8"/>
  <c r="L22" i="8"/>
  <c r="L2" i="32" s="1"/>
  <c r="Q10" i="8"/>
  <c r="Q5" i="32" s="1"/>
  <c r="P13" i="8"/>
  <c r="P14" i="8" s="1"/>
  <c r="P5" i="8"/>
  <c r="K51" i="8"/>
  <c r="K53" i="8" s="1"/>
  <c r="O20" i="8"/>
  <c r="O84" i="8"/>
  <c r="K49" i="8"/>
  <c r="K66" i="8"/>
  <c r="K67" i="8" s="1"/>
  <c r="J3" i="8"/>
  <c r="K4" i="8"/>
  <c r="K33" i="8"/>
  <c r="K34" i="8"/>
  <c r="M29" i="29" l="1"/>
  <c r="M41" i="29" s="1"/>
  <c r="M65" i="29"/>
  <c r="M66" i="29" s="1"/>
  <c r="M70" i="29" s="1"/>
  <c r="M71" i="29" s="1"/>
  <c r="M73" i="29" s="1"/>
  <c r="M65" i="17"/>
  <c r="M66" i="17" s="1"/>
  <c r="M70" i="17" s="1"/>
  <c r="M71" i="17" s="1"/>
  <c r="M73" i="17" s="1"/>
  <c r="M74" i="17" s="1"/>
  <c r="M11" i="16" s="1"/>
  <c r="M29" i="17"/>
  <c r="M41" i="17" s="1"/>
  <c r="M43" i="17" s="1"/>
  <c r="M29" i="30"/>
  <c r="M41" i="30" s="1"/>
  <c r="M43" i="30" s="1"/>
  <c r="M65" i="30"/>
  <c r="M66" i="30" s="1"/>
  <c r="M70" i="30" s="1"/>
  <c r="M71" i="30" s="1"/>
  <c r="M73" i="30" s="1"/>
  <c r="M74" i="30" s="1"/>
  <c r="M12" i="16" s="1"/>
  <c r="M42" i="26"/>
  <c r="M44" i="26" s="1"/>
  <c r="M46" i="26"/>
  <c r="M46" i="25"/>
  <c r="M42" i="25"/>
  <c r="M44" i="25" s="1"/>
  <c r="M46" i="27"/>
  <c r="M42" i="27"/>
  <c r="M44" i="27" s="1"/>
  <c r="M29" i="31"/>
  <c r="M41" i="31" s="1"/>
  <c r="M43" i="31" s="1"/>
  <c r="M65" i="31"/>
  <c r="M66" i="31" s="1"/>
  <c r="M70" i="31" s="1"/>
  <c r="M71" i="31" s="1"/>
  <c r="M73" i="31" s="1"/>
  <c r="M74" i="31" s="1"/>
  <c r="M13" i="16" s="1"/>
  <c r="K57" i="30"/>
  <c r="K59" i="30" s="1"/>
  <c r="K57" i="17"/>
  <c r="K59" i="17" s="1"/>
  <c r="K57" i="29"/>
  <c r="K59" i="29" s="1"/>
  <c r="L55" i="29"/>
  <c r="L58" i="29" s="1"/>
  <c r="K74" i="29"/>
  <c r="K10" i="16" s="1"/>
  <c r="K38" i="31"/>
  <c r="K57" i="31" s="1"/>
  <c r="K59" i="31" s="1"/>
  <c r="Q5" i="19"/>
  <c r="Q5" i="31"/>
  <c r="Q5" i="16"/>
  <c r="Q5" i="27"/>
  <c r="Q5" i="25"/>
  <c r="Q5" i="26"/>
  <c r="Q5" i="29"/>
  <c r="Q5" i="17"/>
  <c r="L2" i="19"/>
  <c r="L2" i="17"/>
  <c r="L2" i="31"/>
  <c r="L2" i="16"/>
  <c r="L2" i="27"/>
  <c r="L2" i="25"/>
  <c r="L2" i="26"/>
  <c r="L2" i="29"/>
  <c r="Q5" i="30"/>
  <c r="L2" i="30"/>
  <c r="P20" i="8"/>
  <c r="P84" i="8"/>
  <c r="K57" i="8"/>
  <c r="Q13" i="8"/>
  <c r="Q14" i="8" s="1"/>
  <c r="Q5" i="8"/>
  <c r="R10" i="8"/>
  <c r="R5" i="32" s="1"/>
  <c r="K44" i="8"/>
  <c r="L45" i="8" s="1"/>
  <c r="K56" i="8"/>
  <c r="K52" i="8"/>
  <c r="K63" i="8"/>
  <c r="L64" i="8" s="1"/>
  <c r="L2" i="8"/>
  <c r="L24" i="8"/>
  <c r="L26" i="8" s="1"/>
  <c r="L48" i="8"/>
  <c r="L38" i="8"/>
  <c r="L39" i="8" s="1"/>
  <c r="L32" i="8"/>
  <c r="L83" i="8"/>
  <c r="L85" i="8" s="1"/>
  <c r="M21" i="8"/>
  <c r="L25" i="31" l="1"/>
  <c r="L26" i="31" s="1"/>
  <c r="N27" i="31" s="1"/>
  <c r="L25" i="27"/>
  <c r="L26" i="27" s="1"/>
  <c r="N27" i="27" s="1"/>
  <c r="N29" i="27" s="1"/>
  <c r="N34" i="27" s="1"/>
  <c r="N36" i="27" s="1"/>
  <c r="L25" i="25"/>
  <c r="L26" i="25" s="1"/>
  <c r="N27" i="25" s="1"/>
  <c r="N29" i="25" s="1"/>
  <c r="N34" i="25" s="1"/>
  <c r="N36" i="25" s="1"/>
  <c r="L25" i="26"/>
  <c r="L26" i="26" s="1"/>
  <c r="N27" i="26" s="1"/>
  <c r="N29" i="26" s="1"/>
  <c r="N34" i="26" s="1"/>
  <c r="N36" i="26" s="1"/>
  <c r="L25" i="30"/>
  <c r="L26" i="30" s="1"/>
  <c r="N27" i="30" s="1"/>
  <c r="L25" i="17"/>
  <c r="L26" i="17" s="1"/>
  <c r="N27" i="17" s="1"/>
  <c r="L25" i="29"/>
  <c r="L26" i="29" s="1"/>
  <c r="N27" i="29" s="1"/>
  <c r="L35" i="29"/>
  <c r="L35" i="30"/>
  <c r="L35" i="17"/>
  <c r="M53" i="31"/>
  <c r="M49" i="31"/>
  <c r="M51" i="31" s="1"/>
  <c r="M47" i="27"/>
  <c r="M48" i="27"/>
  <c r="M47" i="25"/>
  <c r="M48" i="25"/>
  <c r="M47" i="26"/>
  <c r="M53" i="30"/>
  <c r="M49" i="30"/>
  <c r="M51" i="30" s="1"/>
  <c r="M53" i="17"/>
  <c r="M49" i="17"/>
  <c r="M51" i="17" s="1"/>
  <c r="K62" i="30"/>
  <c r="L63" i="30" s="1"/>
  <c r="L68" i="30" s="1"/>
  <c r="K62" i="29"/>
  <c r="L63" i="29" s="1"/>
  <c r="L68" i="29" s="1"/>
  <c r="K62" i="31"/>
  <c r="L63" i="31" s="1"/>
  <c r="L68" i="31" s="1"/>
  <c r="K62" i="17"/>
  <c r="L63" i="17" s="1"/>
  <c r="L68" i="17" s="1"/>
  <c r="L4" i="19"/>
  <c r="L4" i="32"/>
  <c r="M43" i="29"/>
  <c r="R5" i="19"/>
  <c r="R5" i="31"/>
  <c r="R5" i="16"/>
  <c r="R5" i="27"/>
  <c r="R5" i="25"/>
  <c r="R5" i="26"/>
  <c r="R5" i="29"/>
  <c r="R5" i="17"/>
  <c r="L4" i="31"/>
  <c r="L4" i="16"/>
  <c r="L4" i="27"/>
  <c r="L4" i="25"/>
  <c r="L4" i="26"/>
  <c r="L4" i="29"/>
  <c r="L4" i="17"/>
  <c r="R5" i="30"/>
  <c r="L38" i="30"/>
  <c r="L38" i="29"/>
  <c r="L35" i="31"/>
  <c r="L38" i="31" s="1"/>
  <c r="L4" i="30"/>
  <c r="L38" i="17"/>
  <c r="K58" i="8"/>
  <c r="K3" i="32" s="1"/>
  <c r="L4" i="8"/>
  <c r="L49" i="8"/>
  <c r="L66" i="8"/>
  <c r="L67" i="8" s="1"/>
  <c r="Q20" i="8"/>
  <c r="Q84" i="8"/>
  <c r="L33" i="8"/>
  <c r="L34" i="8"/>
  <c r="S10" i="8"/>
  <c r="S5" i="32" s="1"/>
  <c r="R13" i="8"/>
  <c r="R14" i="8" s="1"/>
  <c r="R5" i="8"/>
  <c r="M25" i="8"/>
  <c r="M22" i="8"/>
  <c r="M2" i="32" s="1"/>
  <c r="L51" i="8"/>
  <c r="L53" i="8" s="1"/>
  <c r="M54" i="17" l="1"/>
  <c r="M55" i="17" s="1"/>
  <c r="M58" i="17" s="1"/>
  <c r="M54" i="30"/>
  <c r="M55" i="30" s="1"/>
  <c r="M58" i="30" s="1"/>
  <c r="M48" i="26"/>
  <c r="M56" i="25"/>
  <c r="M54" i="31"/>
  <c r="M55" i="31" s="1"/>
  <c r="M58" i="31" s="1"/>
  <c r="N29" i="29"/>
  <c r="N41" i="29" s="1"/>
  <c r="N65" i="29"/>
  <c r="N66" i="29" s="1"/>
  <c r="N70" i="29" s="1"/>
  <c r="N71" i="29" s="1"/>
  <c r="N73" i="29" s="1"/>
  <c r="N65" i="17"/>
  <c r="N66" i="17" s="1"/>
  <c r="N70" i="17" s="1"/>
  <c r="N71" i="17" s="1"/>
  <c r="N73" i="17" s="1"/>
  <c r="N74" i="17" s="1"/>
  <c r="N11" i="16" s="1"/>
  <c r="N29" i="17"/>
  <c r="N41" i="17" s="1"/>
  <c r="N43" i="17" s="1"/>
  <c r="N29" i="30"/>
  <c r="N41" i="30" s="1"/>
  <c r="N43" i="30" s="1"/>
  <c r="N65" i="30"/>
  <c r="N66" i="30" s="1"/>
  <c r="N70" i="30" s="1"/>
  <c r="N71" i="30" s="1"/>
  <c r="N73" i="30" s="1"/>
  <c r="N74" i="30" s="1"/>
  <c r="N12" i="16" s="1"/>
  <c r="N46" i="26"/>
  <c r="N42" i="26"/>
  <c r="N44" i="26" s="1"/>
  <c r="N46" i="25"/>
  <c r="N42" i="25"/>
  <c r="N44" i="25" s="1"/>
  <c r="N42" i="27"/>
  <c r="N44" i="27" s="1"/>
  <c r="N46" i="27"/>
  <c r="N29" i="31"/>
  <c r="N41" i="31" s="1"/>
  <c r="N43" i="31" s="1"/>
  <c r="N65" i="31"/>
  <c r="N66" i="31" s="1"/>
  <c r="N70" i="31" s="1"/>
  <c r="N71" i="31" s="1"/>
  <c r="N73" i="31" s="1"/>
  <c r="N74" i="31" s="1"/>
  <c r="N13" i="16" s="1"/>
  <c r="L57" i="30"/>
  <c r="L59" i="30" s="1"/>
  <c r="L57" i="31"/>
  <c r="L59" i="31" s="1"/>
  <c r="L57" i="17"/>
  <c r="L59" i="17" s="1"/>
  <c r="M49" i="29"/>
  <c r="M51" i="29" s="1"/>
  <c r="M53" i="29"/>
  <c r="L57" i="29"/>
  <c r="L59" i="29" s="1"/>
  <c r="S5" i="19"/>
  <c r="S5" i="31"/>
  <c r="S5" i="16"/>
  <c r="S5" i="27"/>
  <c r="S5" i="25"/>
  <c r="S5" i="26"/>
  <c r="S5" i="29"/>
  <c r="S5" i="17"/>
  <c r="M2" i="19"/>
  <c r="M2" i="16"/>
  <c r="M2" i="27"/>
  <c r="M2" i="25"/>
  <c r="M2" i="26"/>
  <c r="M2" i="29"/>
  <c r="M2" i="17"/>
  <c r="M2" i="31"/>
  <c r="K3" i="19"/>
  <c r="K3" i="31"/>
  <c r="K3" i="17"/>
  <c r="K3" i="16"/>
  <c r="K3" i="27"/>
  <c r="K3" i="25"/>
  <c r="K3" i="26"/>
  <c r="K3" i="29"/>
  <c r="S5" i="30"/>
  <c r="K3" i="30"/>
  <c r="M2" i="30"/>
  <c r="M51" i="27"/>
  <c r="M53" i="27" s="1"/>
  <c r="M56" i="27" s="1"/>
  <c r="M58" i="27" s="1"/>
  <c r="M16" i="16" s="1"/>
  <c r="K3" i="8"/>
  <c r="T10" i="8"/>
  <c r="T5" i="32" s="1"/>
  <c r="L56" i="8"/>
  <c r="L63" i="8"/>
  <c r="M64" i="8" s="1"/>
  <c r="L52" i="8"/>
  <c r="L44" i="8"/>
  <c r="M45" i="8" s="1"/>
  <c r="R20" i="8"/>
  <c r="R84" i="8"/>
  <c r="L57" i="8"/>
  <c r="M2" i="8"/>
  <c r="M24" i="8"/>
  <c r="M26" i="8" s="1"/>
  <c r="M32" i="8"/>
  <c r="M48" i="8"/>
  <c r="M38" i="8"/>
  <c r="M39" i="8" s="1"/>
  <c r="M83" i="8"/>
  <c r="M85" i="8" s="1"/>
  <c r="N21" i="8"/>
  <c r="S5" i="8"/>
  <c r="S13" i="8"/>
  <c r="S14" i="8" s="1"/>
  <c r="M25" i="31" l="1"/>
  <c r="M26" i="31" s="1"/>
  <c r="O27" i="31" s="1"/>
  <c r="M25" i="27"/>
  <c r="M26" i="27" s="1"/>
  <c r="O27" i="27" s="1"/>
  <c r="O29" i="27" s="1"/>
  <c r="O34" i="27" s="1"/>
  <c r="O36" i="27" s="1"/>
  <c r="M25" i="25"/>
  <c r="M26" i="25" s="1"/>
  <c r="O27" i="25" s="1"/>
  <c r="O29" i="25" s="1"/>
  <c r="O34" i="25" s="1"/>
  <c r="O36" i="25" s="1"/>
  <c r="M25" i="26"/>
  <c r="M26" i="26" s="1"/>
  <c r="O27" i="26" s="1"/>
  <c r="O29" i="26" s="1"/>
  <c r="O34" i="26" s="1"/>
  <c r="O36" i="26" s="1"/>
  <c r="M25" i="30"/>
  <c r="M26" i="30" s="1"/>
  <c r="O27" i="30" s="1"/>
  <c r="M25" i="17"/>
  <c r="M26" i="17" s="1"/>
  <c r="O27" i="17" s="1"/>
  <c r="M25" i="29"/>
  <c r="M26" i="29" s="1"/>
  <c r="O27" i="29" s="1"/>
  <c r="M35" i="29"/>
  <c r="M35" i="30"/>
  <c r="M35" i="17"/>
  <c r="N53" i="31"/>
  <c r="N49" i="31"/>
  <c r="N51" i="31" s="1"/>
  <c r="N47" i="27"/>
  <c r="N48" i="27" s="1"/>
  <c r="N47" i="25"/>
  <c r="N48" i="25" s="1"/>
  <c r="N47" i="26"/>
  <c r="N48" i="26" s="1"/>
  <c r="N49" i="30"/>
  <c r="N51" i="30" s="1"/>
  <c r="N53" i="30"/>
  <c r="N53" i="17"/>
  <c r="N49" i="17"/>
  <c r="N51" i="17" s="1"/>
  <c r="M62" i="25"/>
  <c r="M86" i="25" s="1"/>
  <c r="M59" i="25"/>
  <c r="M83" i="25" s="1"/>
  <c r="M60" i="25"/>
  <c r="M84" i="25" s="1"/>
  <c r="M61" i="25"/>
  <c r="M85" i="25" s="1"/>
  <c r="M58" i="25"/>
  <c r="M82" i="25" s="1"/>
  <c r="M53" i="26"/>
  <c r="M19" i="16" s="1"/>
  <c r="L62" i="30"/>
  <c r="M63" i="30" s="1"/>
  <c r="M68" i="30" s="1"/>
  <c r="L62" i="29"/>
  <c r="M63" i="29" s="1"/>
  <c r="M68" i="29" s="1"/>
  <c r="L62" i="31"/>
  <c r="M63" i="31" s="1"/>
  <c r="M68" i="31" s="1"/>
  <c r="L62" i="17"/>
  <c r="M63" i="17" s="1"/>
  <c r="M68" i="17" s="1"/>
  <c r="M54" i="29"/>
  <c r="M55" i="29" s="1"/>
  <c r="M58" i="29" s="1"/>
  <c r="M4" i="19"/>
  <c r="M4" i="32"/>
  <c r="N43" i="29"/>
  <c r="L74" i="29"/>
  <c r="L10" i="16" s="1"/>
  <c r="T5" i="19"/>
  <c r="T5" i="31"/>
  <c r="T5" i="16"/>
  <c r="T5" i="27"/>
  <c r="T5" i="25"/>
  <c r="T5" i="26"/>
  <c r="T5" i="29"/>
  <c r="T5" i="17"/>
  <c r="M4" i="16"/>
  <c r="M4" i="27"/>
  <c r="M4" i="25"/>
  <c r="M4" i="26"/>
  <c r="M4" i="29"/>
  <c r="M4" i="17"/>
  <c r="M4" i="31"/>
  <c r="T5" i="30"/>
  <c r="M4" i="30"/>
  <c r="M35" i="31"/>
  <c r="M38" i="31" s="1"/>
  <c r="M38" i="30"/>
  <c r="M38" i="29"/>
  <c r="M38" i="17"/>
  <c r="T13" i="8"/>
  <c r="T14" i="8" s="1"/>
  <c r="T5" i="8"/>
  <c r="L58" i="8"/>
  <c r="L3" i="32" s="1"/>
  <c r="M4" i="8"/>
  <c r="M51" i="8"/>
  <c r="M53" i="8" s="1"/>
  <c r="S20" i="8"/>
  <c r="S84" i="8"/>
  <c r="M33" i="8"/>
  <c r="M34" i="8"/>
  <c r="M66" i="8"/>
  <c r="M67" i="8" s="1"/>
  <c r="N22" i="8"/>
  <c r="N2" i="32" s="1"/>
  <c r="N25" i="8"/>
  <c r="M49" i="8"/>
  <c r="N54" i="17" l="1"/>
  <c r="N55" i="17" s="1"/>
  <c r="N58" i="17" s="1"/>
  <c r="N54" i="30"/>
  <c r="N55" i="30" s="1"/>
  <c r="N58" i="30" s="1"/>
  <c r="N53" i="26"/>
  <c r="N19" i="16" s="1"/>
  <c r="N56" i="25"/>
  <c r="N54" i="31"/>
  <c r="N55" i="31" s="1"/>
  <c r="N58" i="31" s="1"/>
  <c r="O29" i="29"/>
  <c r="O41" i="29" s="1"/>
  <c r="O65" i="29"/>
  <c r="O66" i="29" s="1"/>
  <c r="O70" i="29" s="1"/>
  <c r="O71" i="29" s="1"/>
  <c r="O73" i="29" s="1"/>
  <c r="O29" i="17"/>
  <c r="O41" i="17" s="1"/>
  <c r="O43" i="17" s="1"/>
  <c r="O65" i="17"/>
  <c r="O66" i="17" s="1"/>
  <c r="O70" i="17" s="1"/>
  <c r="O71" i="17" s="1"/>
  <c r="O73" i="17" s="1"/>
  <c r="O74" i="17" s="1"/>
  <c r="O11" i="16" s="1"/>
  <c r="O29" i="30"/>
  <c r="O41" i="30" s="1"/>
  <c r="O43" i="30" s="1"/>
  <c r="O65" i="30"/>
  <c r="O66" i="30" s="1"/>
  <c r="O70" i="30" s="1"/>
  <c r="O71" i="30" s="1"/>
  <c r="O73" i="30" s="1"/>
  <c r="O74" i="30" s="1"/>
  <c r="O12" i="16" s="1"/>
  <c r="O46" i="26"/>
  <c r="O42" i="26"/>
  <c r="O44" i="26" s="1"/>
  <c r="O46" i="25"/>
  <c r="O42" i="25"/>
  <c r="O44" i="25" s="1"/>
  <c r="O46" i="27"/>
  <c r="O42" i="27"/>
  <c r="O44" i="27" s="1"/>
  <c r="O29" i="31"/>
  <c r="O41" i="31" s="1"/>
  <c r="O43" i="31" s="1"/>
  <c r="O65" i="31"/>
  <c r="O66" i="31" s="1"/>
  <c r="O70" i="31" s="1"/>
  <c r="O71" i="31" s="1"/>
  <c r="O73" i="31" s="1"/>
  <c r="O74" i="31" s="1"/>
  <c r="O13" i="16" s="1"/>
  <c r="M57" i="30"/>
  <c r="M59" i="30" s="1"/>
  <c r="M57" i="31"/>
  <c r="M59" i="31" s="1"/>
  <c r="M57" i="17"/>
  <c r="M59" i="17" s="1"/>
  <c r="N49" i="29"/>
  <c r="N51" i="29" s="1"/>
  <c r="N54" i="29" s="1"/>
  <c r="N53" i="29"/>
  <c r="M57" i="29"/>
  <c r="M59" i="29" s="1"/>
  <c r="N2" i="19"/>
  <c r="N2" i="27"/>
  <c r="N2" i="25"/>
  <c r="N2" i="31"/>
  <c r="N2" i="16"/>
  <c r="N2" i="26"/>
  <c r="N2" i="29"/>
  <c r="N2" i="17"/>
  <c r="L3" i="19"/>
  <c r="L3" i="31"/>
  <c r="L3" i="16"/>
  <c r="L3" i="27"/>
  <c r="L3" i="25"/>
  <c r="L3" i="26"/>
  <c r="L3" i="29"/>
  <c r="L3" i="17"/>
  <c r="N2" i="30"/>
  <c r="L3" i="30"/>
  <c r="N51" i="27"/>
  <c r="N53" i="27" s="1"/>
  <c r="N56" i="27" s="1"/>
  <c r="N58" i="27" s="1"/>
  <c r="N16" i="16" s="1"/>
  <c r="T20" i="8"/>
  <c r="T84" i="8"/>
  <c r="L3" i="8"/>
  <c r="M56" i="8"/>
  <c r="M44" i="8"/>
  <c r="N45" i="8" s="1"/>
  <c r="M57" i="8"/>
  <c r="M52" i="8"/>
  <c r="M63" i="8"/>
  <c r="N64" i="8" s="1"/>
  <c r="N66" i="8" s="1"/>
  <c r="N67" i="8" s="1"/>
  <c r="N2" i="8"/>
  <c r="N32" i="8"/>
  <c r="N24" i="8"/>
  <c r="N26" i="8" s="1"/>
  <c r="N48" i="8"/>
  <c r="N38" i="8"/>
  <c r="N39" i="8" s="1"/>
  <c r="N83" i="8"/>
  <c r="N85" i="8" s="1"/>
  <c r="O21" i="8"/>
  <c r="N25" i="31" l="1"/>
  <c r="N26" i="31" s="1"/>
  <c r="P27" i="31" s="1"/>
  <c r="N25" i="27"/>
  <c r="N26" i="27" s="1"/>
  <c r="P27" i="27" s="1"/>
  <c r="P29" i="27" s="1"/>
  <c r="P34" i="27" s="1"/>
  <c r="P36" i="27" s="1"/>
  <c r="N25" i="25"/>
  <c r="N26" i="25" s="1"/>
  <c r="P27" i="25" s="1"/>
  <c r="P29" i="25" s="1"/>
  <c r="P34" i="25" s="1"/>
  <c r="P36" i="25" s="1"/>
  <c r="N25" i="26"/>
  <c r="N26" i="26" s="1"/>
  <c r="P27" i="26" s="1"/>
  <c r="P29" i="26" s="1"/>
  <c r="P34" i="26" s="1"/>
  <c r="P36" i="26" s="1"/>
  <c r="N25" i="30"/>
  <c r="N26" i="30" s="1"/>
  <c r="P27" i="30" s="1"/>
  <c r="N25" i="17"/>
  <c r="N26" i="17" s="1"/>
  <c r="P27" i="17" s="1"/>
  <c r="N25" i="29"/>
  <c r="N26" i="29" s="1"/>
  <c r="P27" i="29" s="1"/>
  <c r="N35" i="29"/>
  <c r="N35" i="30"/>
  <c r="N35" i="17"/>
  <c r="O53" i="31"/>
  <c r="O49" i="31"/>
  <c r="O51" i="31" s="1"/>
  <c r="O47" i="27"/>
  <c r="O48" i="27"/>
  <c r="O47" i="25"/>
  <c r="O48" i="25"/>
  <c r="O47" i="26"/>
  <c r="O48" i="26" s="1"/>
  <c r="O53" i="30"/>
  <c r="O49" i="30"/>
  <c r="O51" i="30" s="1"/>
  <c r="O53" i="17"/>
  <c r="O49" i="17"/>
  <c r="O51" i="17" s="1"/>
  <c r="N62" i="25"/>
  <c r="N86" i="25" s="1"/>
  <c r="N61" i="25"/>
  <c r="N85" i="25" s="1"/>
  <c r="N59" i="25"/>
  <c r="N83" i="25" s="1"/>
  <c r="N60" i="25"/>
  <c r="N84" i="25" s="1"/>
  <c r="N58" i="25"/>
  <c r="N82" i="25" s="1"/>
  <c r="M62" i="30"/>
  <c r="N63" i="30" s="1"/>
  <c r="N68" i="30" s="1"/>
  <c r="N55" i="29"/>
  <c r="N58" i="29" s="1"/>
  <c r="M62" i="29"/>
  <c r="N63" i="29" s="1"/>
  <c r="N68" i="29" s="1"/>
  <c r="M62" i="31"/>
  <c r="N63" i="31" s="1"/>
  <c r="N68" i="31" s="1"/>
  <c r="M62" i="17"/>
  <c r="N63" i="17" s="1"/>
  <c r="N68" i="17" s="1"/>
  <c r="N4" i="19"/>
  <c r="N4" i="32"/>
  <c r="O43" i="29"/>
  <c r="M74" i="29"/>
  <c r="M10" i="16" s="1"/>
  <c r="N4" i="27"/>
  <c r="N4" i="25"/>
  <c r="N4" i="31"/>
  <c r="N4" i="16"/>
  <c r="N4" i="26"/>
  <c r="N4" i="29"/>
  <c r="N4" i="17"/>
  <c r="N4" i="30"/>
  <c r="N35" i="31"/>
  <c r="N38" i="31" s="1"/>
  <c r="N38" i="30"/>
  <c r="N38" i="29"/>
  <c r="N38" i="17"/>
  <c r="N33" i="8"/>
  <c r="N34" i="8"/>
  <c r="N4" i="8"/>
  <c r="O22" i="8"/>
  <c r="O2" i="32" s="1"/>
  <c r="O25" i="8"/>
  <c r="N49" i="8"/>
  <c r="M58" i="8"/>
  <c r="M3" i="32" s="1"/>
  <c r="N51" i="8"/>
  <c r="N53" i="8" s="1"/>
  <c r="O54" i="17" l="1"/>
  <c r="O55" i="17" s="1"/>
  <c r="O58" i="17" s="1"/>
  <c r="O54" i="30"/>
  <c r="O55" i="30"/>
  <c r="O58" i="30" s="1"/>
  <c r="O53" i="26"/>
  <c r="O19" i="16" s="1"/>
  <c r="O56" i="25"/>
  <c r="O54" i="31"/>
  <c r="O55" i="31"/>
  <c r="O58" i="31" s="1"/>
  <c r="P29" i="29"/>
  <c r="P41" i="29" s="1"/>
  <c r="P65" i="29"/>
  <c r="P66" i="29" s="1"/>
  <c r="P70" i="29" s="1"/>
  <c r="P71" i="29" s="1"/>
  <c r="P73" i="29" s="1"/>
  <c r="P29" i="17"/>
  <c r="P41" i="17" s="1"/>
  <c r="P43" i="17" s="1"/>
  <c r="P65" i="17"/>
  <c r="P66" i="17" s="1"/>
  <c r="P70" i="17" s="1"/>
  <c r="P71" i="17" s="1"/>
  <c r="P73" i="17" s="1"/>
  <c r="P74" i="17" s="1"/>
  <c r="P11" i="16" s="1"/>
  <c r="P29" i="30"/>
  <c r="P41" i="30" s="1"/>
  <c r="P43" i="30" s="1"/>
  <c r="P65" i="30"/>
  <c r="P66" i="30" s="1"/>
  <c r="P70" i="30" s="1"/>
  <c r="P71" i="30" s="1"/>
  <c r="P73" i="30" s="1"/>
  <c r="P74" i="30" s="1"/>
  <c r="P12" i="16" s="1"/>
  <c r="P46" i="26"/>
  <c r="P42" i="26"/>
  <c r="P44" i="26" s="1"/>
  <c r="P42" i="25"/>
  <c r="P44" i="25" s="1"/>
  <c r="P46" i="25"/>
  <c r="P46" i="27"/>
  <c r="P42" i="27"/>
  <c r="P44" i="27" s="1"/>
  <c r="P29" i="31"/>
  <c r="P41" i="31" s="1"/>
  <c r="P43" i="31" s="1"/>
  <c r="P65" i="31"/>
  <c r="P66" i="31" s="1"/>
  <c r="P70" i="31" s="1"/>
  <c r="P71" i="31" s="1"/>
  <c r="P73" i="31" s="1"/>
  <c r="P74" i="31" s="1"/>
  <c r="P13" i="16" s="1"/>
  <c r="N57" i="30"/>
  <c r="N59" i="30" s="1"/>
  <c r="N57" i="31"/>
  <c r="N59" i="31" s="1"/>
  <c r="N57" i="17"/>
  <c r="N59" i="17" s="1"/>
  <c r="O53" i="29"/>
  <c r="O49" i="29"/>
  <c r="O51" i="29" s="1"/>
  <c r="O54" i="29" s="1"/>
  <c r="N57" i="29"/>
  <c r="N59" i="29" s="1"/>
  <c r="M3" i="19"/>
  <c r="M3" i="16"/>
  <c r="M3" i="27"/>
  <c r="M3" i="25"/>
  <c r="M3" i="26"/>
  <c r="M3" i="29"/>
  <c r="M3" i="17"/>
  <c r="M3" i="31"/>
  <c r="O2" i="19"/>
  <c r="O2" i="31"/>
  <c r="O2" i="17"/>
  <c r="O2" i="16"/>
  <c r="O2" i="27"/>
  <c r="O2" i="25"/>
  <c r="O2" i="26"/>
  <c r="O2" i="29"/>
  <c r="O51" i="27"/>
  <c r="O53" i="27" s="1"/>
  <c r="O56" i="27" s="1"/>
  <c r="O58" i="27" s="1"/>
  <c r="O16" i="16" s="1"/>
  <c r="M3" i="30"/>
  <c r="O2" i="30"/>
  <c r="N63" i="8"/>
  <c r="O64" i="8" s="1"/>
  <c r="O66" i="8" s="1"/>
  <c r="O67" i="8" s="1"/>
  <c r="N52" i="8"/>
  <c r="O24" i="8"/>
  <c r="O26" i="8" s="1"/>
  <c r="O32" i="8"/>
  <c r="O2" i="8"/>
  <c r="O38" i="8"/>
  <c r="O39" i="8" s="1"/>
  <c r="O48" i="8"/>
  <c r="O83" i="8"/>
  <c r="O85" i="8" s="1"/>
  <c r="P21" i="8"/>
  <c r="N44" i="8"/>
  <c r="O45" i="8" s="1"/>
  <c r="N57" i="8"/>
  <c r="M3" i="8"/>
  <c r="N56" i="8"/>
  <c r="O35" i="29" l="1"/>
  <c r="O35" i="30"/>
  <c r="O35" i="17"/>
  <c r="O25" i="31"/>
  <c r="O26" i="31" s="1"/>
  <c r="Q27" i="31" s="1"/>
  <c r="O25" i="27"/>
  <c r="O26" i="27" s="1"/>
  <c r="Q27" i="27" s="1"/>
  <c r="Q29" i="27" s="1"/>
  <c r="Q34" i="27" s="1"/>
  <c r="Q36" i="27" s="1"/>
  <c r="O25" i="25"/>
  <c r="O26" i="25" s="1"/>
  <c r="Q27" i="25" s="1"/>
  <c r="Q29" i="25" s="1"/>
  <c r="Q34" i="25" s="1"/>
  <c r="Q36" i="25" s="1"/>
  <c r="O25" i="26"/>
  <c r="O26" i="26" s="1"/>
  <c r="Q27" i="26" s="1"/>
  <c r="Q29" i="26" s="1"/>
  <c r="Q34" i="26" s="1"/>
  <c r="Q36" i="26" s="1"/>
  <c r="O25" i="30"/>
  <c r="O26" i="30" s="1"/>
  <c r="Q27" i="30" s="1"/>
  <c r="O25" i="17"/>
  <c r="O26" i="17" s="1"/>
  <c r="Q27" i="17" s="1"/>
  <c r="O25" i="29"/>
  <c r="O26" i="29" s="1"/>
  <c r="Q27" i="29" s="1"/>
  <c r="P53" i="31"/>
  <c r="P49" i="31"/>
  <c r="P51" i="31" s="1"/>
  <c r="P47" i="27"/>
  <c r="P48" i="27"/>
  <c r="P47" i="25"/>
  <c r="P48" i="25" s="1"/>
  <c r="P47" i="26"/>
  <c r="P48" i="26" s="1"/>
  <c r="P53" i="30"/>
  <c r="P49" i="30"/>
  <c r="P51" i="30" s="1"/>
  <c r="P53" i="17"/>
  <c r="P49" i="17"/>
  <c r="P51" i="17" s="1"/>
  <c r="O61" i="25"/>
  <c r="O85" i="25" s="1"/>
  <c r="O59" i="25"/>
  <c r="O83" i="25" s="1"/>
  <c r="O62" i="25"/>
  <c r="O86" i="25" s="1"/>
  <c r="O60" i="25"/>
  <c r="O84" i="25" s="1"/>
  <c r="O58" i="25"/>
  <c r="O82" i="25" s="1"/>
  <c r="N62" i="30"/>
  <c r="O63" i="30" s="1"/>
  <c r="O68" i="30" s="1"/>
  <c r="N62" i="29"/>
  <c r="O63" i="29" s="1"/>
  <c r="O68" i="29" s="1"/>
  <c r="N62" i="31"/>
  <c r="O63" i="31" s="1"/>
  <c r="O68" i="31" s="1"/>
  <c r="N62" i="17"/>
  <c r="O63" i="17" s="1"/>
  <c r="O68" i="17" s="1"/>
  <c r="O55" i="29"/>
  <c r="O58" i="29" s="1"/>
  <c r="O4" i="19"/>
  <c r="O4" i="32"/>
  <c r="P43" i="29"/>
  <c r="N74" i="29"/>
  <c r="N10" i="16" s="1"/>
  <c r="O4" i="31"/>
  <c r="O4" i="17"/>
  <c r="O4" i="16"/>
  <c r="O4" i="27"/>
  <c r="O4" i="25"/>
  <c r="O4" i="26"/>
  <c r="O4" i="29"/>
  <c r="O4" i="30"/>
  <c r="O35" i="31"/>
  <c r="O38" i="31" s="1"/>
  <c r="O38" i="29"/>
  <c r="O57" i="29" s="1"/>
  <c r="O38" i="17"/>
  <c r="O57" i="17" s="1"/>
  <c r="O59" i="17" s="1"/>
  <c r="O51" i="8"/>
  <c r="O53" i="8" s="1"/>
  <c r="O57" i="8" s="1"/>
  <c r="O4" i="8"/>
  <c r="N58" i="8"/>
  <c r="N3" i="32" s="1"/>
  <c r="P25" i="8"/>
  <c r="P22" i="8"/>
  <c r="P2" i="32" s="1"/>
  <c r="O49" i="8"/>
  <c r="O33" i="8"/>
  <c r="O44" i="8" s="1"/>
  <c r="P45" i="8" s="1"/>
  <c r="O34" i="8"/>
  <c r="O56" i="8" s="1"/>
  <c r="P35" i="29" l="1"/>
  <c r="P35" i="30"/>
  <c r="P35" i="17"/>
  <c r="P54" i="17"/>
  <c r="P55" i="17" s="1"/>
  <c r="P58" i="17" s="1"/>
  <c r="P54" i="30"/>
  <c r="P55" i="30"/>
  <c r="P58" i="30" s="1"/>
  <c r="P53" i="26"/>
  <c r="P19" i="16" s="1"/>
  <c r="P56" i="25"/>
  <c r="P54" i="31"/>
  <c r="P55" i="31"/>
  <c r="P58" i="31" s="1"/>
  <c r="Q65" i="29"/>
  <c r="Q66" i="29" s="1"/>
  <c r="Q70" i="29" s="1"/>
  <c r="Q29" i="29"/>
  <c r="Q41" i="29" s="1"/>
  <c r="Q65" i="17"/>
  <c r="Q66" i="17" s="1"/>
  <c r="Q70" i="17" s="1"/>
  <c r="Q29" i="17"/>
  <c r="Q41" i="17" s="1"/>
  <c r="Q43" i="17" s="1"/>
  <c r="Q65" i="30"/>
  <c r="Q66" i="30" s="1"/>
  <c r="Q70" i="30" s="1"/>
  <c r="Q29" i="30"/>
  <c r="Q41" i="30" s="1"/>
  <c r="Q43" i="30" s="1"/>
  <c r="Q46" i="26"/>
  <c r="Q42" i="26"/>
  <c r="Q44" i="26" s="1"/>
  <c r="Q46" i="25"/>
  <c r="Q42" i="25"/>
  <c r="Q44" i="25" s="1"/>
  <c r="Q46" i="27"/>
  <c r="Q42" i="27"/>
  <c r="Q44" i="27" s="1"/>
  <c r="Q65" i="31"/>
  <c r="Q66" i="31" s="1"/>
  <c r="Q70" i="31" s="1"/>
  <c r="Q29" i="31"/>
  <c r="Q41" i="31" s="1"/>
  <c r="Q43" i="31" s="1"/>
  <c r="O62" i="17"/>
  <c r="O57" i="31"/>
  <c r="O59" i="31" s="1"/>
  <c r="O62" i="31" s="1"/>
  <c r="P63" i="31" s="1"/>
  <c r="P68" i="31" s="1"/>
  <c r="P53" i="29"/>
  <c r="P49" i="29"/>
  <c r="P51" i="29" s="1"/>
  <c r="O59" i="29"/>
  <c r="O74" i="29"/>
  <c r="O10" i="16" s="1"/>
  <c r="O38" i="30"/>
  <c r="O57" i="30" s="1"/>
  <c r="O59" i="30" s="1"/>
  <c r="O62" i="30" s="1"/>
  <c r="N3" i="19"/>
  <c r="N3" i="16"/>
  <c r="N3" i="27"/>
  <c r="N3" i="25"/>
  <c r="N3" i="31"/>
  <c r="N3" i="26"/>
  <c r="N3" i="29"/>
  <c r="N3" i="17"/>
  <c r="P2" i="19"/>
  <c r="P2" i="16"/>
  <c r="P2" i="27"/>
  <c r="P2" i="25"/>
  <c r="P2" i="26"/>
  <c r="P2" i="29"/>
  <c r="P2" i="17"/>
  <c r="P2" i="31"/>
  <c r="N3" i="30"/>
  <c r="P2" i="30"/>
  <c r="P38" i="29"/>
  <c r="P57" i="29" s="1"/>
  <c r="P35" i="31"/>
  <c r="P38" i="31" s="1"/>
  <c r="P57" i="31" s="1"/>
  <c r="P51" i="27"/>
  <c r="P53" i="27" s="1"/>
  <c r="P56" i="27" s="1"/>
  <c r="P58" i="27" s="1"/>
  <c r="P16" i="16" s="1"/>
  <c r="P38" i="17"/>
  <c r="P57" i="17" s="1"/>
  <c r="P51" i="8"/>
  <c r="O58" i="8"/>
  <c r="O3" i="32" s="1"/>
  <c r="O52" i="8"/>
  <c r="O63" i="8"/>
  <c r="P64" i="8" s="1"/>
  <c r="P66" i="8" s="1"/>
  <c r="P67" i="8" s="1"/>
  <c r="N3" i="8"/>
  <c r="P2" i="8"/>
  <c r="P24" i="8"/>
  <c r="P26" i="8" s="1"/>
  <c r="P48" i="8"/>
  <c r="P38" i="8"/>
  <c r="P39" i="8" s="1"/>
  <c r="P32" i="8"/>
  <c r="P83" i="8"/>
  <c r="P85" i="8" s="1"/>
  <c r="Q21" i="8"/>
  <c r="P59" i="31" l="1"/>
  <c r="P62" i="31" s="1"/>
  <c r="Q63" i="31" s="1"/>
  <c r="Q68" i="31" s="1"/>
  <c r="Q71" i="31" s="1"/>
  <c r="Q73" i="31" s="1"/>
  <c r="Q74" i="31" s="1"/>
  <c r="Q13" i="16" s="1"/>
  <c r="P59" i="17"/>
  <c r="P25" i="31"/>
  <c r="P26" i="31" s="1"/>
  <c r="R27" i="31" s="1"/>
  <c r="P25" i="27"/>
  <c r="P26" i="27" s="1"/>
  <c r="R27" i="27" s="1"/>
  <c r="R29" i="27" s="1"/>
  <c r="R34" i="27" s="1"/>
  <c r="R36" i="27" s="1"/>
  <c r="P25" i="25"/>
  <c r="P26" i="25" s="1"/>
  <c r="R27" i="25" s="1"/>
  <c r="R29" i="25" s="1"/>
  <c r="R34" i="25" s="1"/>
  <c r="R36" i="25" s="1"/>
  <c r="P25" i="26"/>
  <c r="P26" i="26" s="1"/>
  <c r="R27" i="26" s="1"/>
  <c r="R29" i="26" s="1"/>
  <c r="R34" i="26" s="1"/>
  <c r="R36" i="26" s="1"/>
  <c r="P25" i="30"/>
  <c r="P26" i="30" s="1"/>
  <c r="R27" i="30" s="1"/>
  <c r="P25" i="17"/>
  <c r="P26" i="17" s="1"/>
  <c r="R27" i="17" s="1"/>
  <c r="P25" i="29"/>
  <c r="P26" i="29" s="1"/>
  <c r="R27" i="29" s="1"/>
  <c r="Q53" i="31"/>
  <c r="Q49" i="31"/>
  <c r="Q51" i="31" s="1"/>
  <c r="Q47" i="27"/>
  <c r="Q48" i="27" s="1"/>
  <c r="Q47" i="25"/>
  <c r="Q48" i="25" s="1"/>
  <c r="Q47" i="26"/>
  <c r="Q48" i="26" s="1"/>
  <c r="Q53" i="30"/>
  <c r="Q49" i="30"/>
  <c r="Q51" i="30" s="1"/>
  <c r="Q53" i="17"/>
  <c r="Q49" i="17"/>
  <c r="Q51" i="17" s="1"/>
  <c r="P60" i="25"/>
  <c r="P84" i="25" s="1"/>
  <c r="P58" i="25"/>
  <c r="P82" i="25" s="1"/>
  <c r="P62" i="25"/>
  <c r="P86" i="25" s="1"/>
  <c r="P59" i="25"/>
  <c r="P83" i="25" s="1"/>
  <c r="P61" i="25"/>
  <c r="P85" i="25" s="1"/>
  <c r="P62" i="17"/>
  <c r="P63" i="17" s="1"/>
  <c r="P68" i="17" s="1"/>
  <c r="O62" i="29"/>
  <c r="P54" i="29"/>
  <c r="P55" i="29" s="1"/>
  <c r="P58" i="29" s="1"/>
  <c r="P59" i="29" s="1"/>
  <c r="P4" i="19"/>
  <c r="P4" i="32"/>
  <c r="Q43" i="29"/>
  <c r="Q53" i="29" s="1"/>
  <c r="P38" i="30"/>
  <c r="P57" i="30" s="1"/>
  <c r="P59" i="30" s="1"/>
  <c r="P62" i="30" s="1"/>
  <c r="P4" i="16"/>
  <c r="P4" i="27"/>
  <c r="P4" i="25"/>
  <c r="P4" i="26"/>
  <c r="P4" i="29"/>
  <c r="P4" i="17"/>
  <c r="P4" i="31"/>
  <c r="O3" i="19"/>
  <c r="O3" i="31"/>
  <c r="O3" i="17"/>
  <c r="O3" i="16"/>
  <c r="O3" i="27"/>
  <c r="O3" i="25"/>
  <c r="O3" i="26"/>
  <c r="O3" i="29"/>
  <c r="O3" i="30"/>
  <c r="P4" i="30"/>
  <c r="P53" i="8"/>
  <c r="P57" i="8" s="1"/>
  <c r="O3" i="8"/>
  <c r="P49" i="8"/>
  <c r="P4" i="8"/>
  <c r="P33" i="8"/>
  <c r="P44" i="8" s="1"/>
  <c r="Q45" i="8" s="1"/>
  <c r="P34" i="8"/>
  <c r="P56" i="8" s="1"/>
  <c r="Q22" i="8"/>
  <c r="Q2" i="32" s="1"/>
  <c r="Q25" i="8"/>
  <c r="Q35" i="29" l="1"/>
  <c r="Q35" i="30"/>
  <c r="Q35" i="17"/>
  <c r="Q54" i="17"/>
  <c r="Q55" i="17" s="1"/>
  <c r="Q58" i="17" s="1"/>
  <c r="Q54" i="30"/>
  <c r="Q55" i="30" s="1"/>
  <c r="Q58" i="30" s="1"/>
  <c r="Q53" i="26"/>
  <c r="Q19" i="16" s="1"/>
  <c r="Q56" i="25"/>
  <c r="Q54" i="31"/>
  <c r="Q55" i="31" s="1"/>
  <c r="Q58" i="31" s="1"/>
  <c r="R29" i="29"/>
  <c r="R41" i="29" s="1"/>
  <c r="R65" i="29"/>
  <c r="R66" i="29" s="1"/>
  <c r="R70" i="29" s="1"/>
  <c r="R65" i="17"/>
  <c r="R66" i="17" s="1"/>
  <c r="R70" i="17" s="1"/>
  <c r="R29" i="17"/>
  <c r="R41" i="17" s="1"/>
  <c r="R43" i="17" s="1"/>
  <c r="R29" i="30"/>
  <c r="R41" i="30" s="1"/>
  <c r="R43" i="30" s="1"/>
  <c r="R65" i="30"/>
  <c r="R66" i="30" s="1"/>
  <c r="R70" i="30" s="1"/>
  <c r="R46" i="26"/>
  <c r="R42" i="26"/>
  <c r="R44" i="26" s="1"/>
  <c r="R46" i="25"/>
  <c r="R42" i="25"/>
  <c r="R44" i="25" s="1"/>
  <c r="R46" i="27"/>
  <c r="R42" i="27"/>
  <c r="R44" i="27" s="1"/>
  <c r="R29" i="31"/>
  <c r="R41" i="31" s="1"/>
  <c r="R43" i="31" s="1"/>
  <c r="R65" i="31"/>
  <c r="R66" i="31" s="1"/>
  <c r="R70" i="31" s="1"/>
  <c r="P63" i="30"/>
  <c r="P68" i="30" s="1"/>
  <c r="P62" i="29"/>
  <c r="P63" i="29" s="1"/>
  <c r="P68" i="29" s="1"/>
  <c r="Q49" i="29"/>
  <c r="Q51" i="29" s="1"/>
  <c r="Q54" i="29" s="1"/>
  <c r="Q2" i="19"/>
  <c r="Q2" i="16"/>
  <c r="Q2" i="27"/>
  <c r="Q2" i="25"/>
  <c r="Q2" i="26"/>
  <c r="Q2" i="29"/>
  <c r="Q2" i="17"/>
  <c r="Q2" i="31"/>
  <c r="Q2" i="30"/>
  <c r="Q35" i="31"/>
  <c r="Q38" i="31" s="1"/>
  <c r="Q57" i="31" s="1"/>
  <c r="Q51" i="27"/>
  <c r="Q38" i="17"/>
  <c r="Q57" i="17" s="1"/>
  <c r="P58" i="8"/>
  <c r="P3" i="32" s="1"/>
  <c r="Q51" i="8"/>
  <c r="P63" i="8"/>
  <c r="Q64" i="8" s="1"/>
  <c r="Q66" i="8" s="1"/>
  <c r="Q67" i="8" s="1"/>
  <c r="P52" i="8"/>
  <c r="Q2" i="8"/>
  <c r="Q24" i="8"/>
  <c r="Q26" i="8" s="1"/>
  <c r="Q48" i="8"/>
  <c r="Q38" i="8"/>
  <c r="Q39" i="8" s="1"/>
  <c r="Q83" i="8"/>
  <c r="Q85" i="8" s="1"/>
  <c r="Q32" i="8"/>
  <c r="R21" i="8"/>
  <c r="Q59" i="31" l="1"/>
  <c r="Q62" i="31" s="1"/>
  <c r="R63" i="31" s="1"/>
  <c r="R68" i="31" s="1"/>
  <c r="R71" i="31" s="1"/>
  <c r="R73" i="31" s="1"/>
  <c r="R74" i="31" s="1"/>
  <c r="R13" i="16" s="1"/>
  <c r="Q59" i="17"/>
  <c r="Q62" i="17" s="1"/>
  <c r="Q63" i="17" s="1"/>
  <c r="Q68" i="17" s="1"/>
  <c r="Q71" i="17" s="1"/>
  <c r="Q25" i="31"/>
  <c r="Q26" i="31" s="1"/>
  <c r="S27" i="31" s="1"/>
  <c r="Q25" i="27"/>
  <c r="Q26" i="27" s="1"/>
  <c r="S27" i="27" s="1"/>
  <c r="S29" i="27" s="1"/>
  <c r="S34" i="27" s="1"/>
  <c r="S36" i="27" s="1"/>
  <c r="Q25" i="25"/>
  <c r="Q26" i="25" s="1"/>
  <c r="S27" i="25" s="1"/>
  <c r="S29" i="25" s="1"/>
  <c r="S34" i="25" s="1"/>
  <c r="S36" i="25" s="1"/>
  <c r="Q25" i="26"/>
  <c r="Q26" i="26" s="1"/>
  <c r="S27" i="26" s="1"/>
  <c r="S29" i="26" s="1"/>
  <c r="S34" i="26" s="1"/>
  <c r="S36" i="26" s="1"/>
  <c r="Q25" i="30"/>
  <c r="Q26" i="30" s="1"/>
  <c r="S27" i="30" s="1"/>
  <c r="Q25" i="17"/>
  <c r="Q26" i="17" s="1"/>
  <c r="S27" i="17" s="1"/>
  <c r="Q25" i="29"/>
  <c r="Q26" i="29" s="1"/>
  <c r="S27" i="29" s="1"/>
  <c r="R49" i="31"/>
  <c r="R51" i="31" s="1"/>
  <c r="R53" i="31"/>
  <c r="R47" i="27"/>
  <c r="R48" i="27" s="1"/>
  <c r="R47" i="25"/>
  <c r="R48" i="25" s="1"/>
  <c r="R47" i="26"/>
  <c r="R48" i="26" s="1"/>
  <c r="R53" i="30"/>
  <c r="R49" i="30"/>
  <c r="R51" i="30" s="1"/>
  <c r="R53" i="17"/>
  <c r="R49" i="17"/>
  <c r="R51" i="17" s="1"/>
  <c r="Q62" i="25"/>
  <c r="Q86" i="25" s="1"/>
  <c r="Q92" i="25" s="1"/>
  <c r="Q99" i="25" s="1"/>
  <c r="Q26" i="16" s="1"/>
  <c r="Q60" i="25"/>
  <c r="Q84" i="25" s="1"/>
  <c r="Q90" i="25" s="1"/>
  <c r="Q97" i="25" s="1"/>
  <c r="Q24" i="16" s="1"/>
  <c r="Q58" i="25"/>
  <c r="Q82" i="25" s="1"/>
  <c r="Q88" i="25" s="1"/>
  <c r="Q95" i="25" s="1"/>
  <c r="Q22" i="16" s="1"/>
  <c r="Q61" i="25"/>
  <c r="Q85" i="25" s="1"/>
  <c r="Q91" i="25" s="1"/>
  <c r="Q98" i="25" s="1"/>
  <c r="Q25" i="16" s="1"/>
  <c r="Q59" i="25"/>
  <c r="Q83" i="25" s="1"/>
  <c r="Q89" i="25" s="1"/>
  <c r="Q96" i="25" s="1"/>
  <c r="Q23" i="16" s="1"/>
  <c r="Q55" i="29"/>
  <c r="Q58" i="29" s="1"/>
  <c r="Q4" i="19"/>
  <c r="Q4" i="32"/>
  <c r="R43" i="29"/>
  <c r="P74" i="29"/>
  <c r="P10" i="16" s="1"/>
  <c r="Q53" i="27"/>
  <c r="Q38" i="29"/>
  <c r="Q57" i="29" s="1"/>
  <c r="Q38" i="30"/>
  <c r="Q57" i="30" s="1"/>
  <c r="Q59" i="30" s="1"/>
  <c r="Q62" i="30" s="1"/>
  <c r="Q4" i="16"/>
  <c r="Q4" i="27"/>
  <c r="Q4" i="25"/>
  <c r="Q4" i="26"/>
  <c r="Q4" i="29"/>
  <c r="Q4" i="17"/>
  <c r="Q4" i="31"/>
  <c r="P3" i="19"/>
  <c r="P3" i="17"/>
  <c r="P3" i="16"/>
  <c r="P3" i="27"/>
  <c r="P3" i="25"/>
  <c r="P3" i="26"/>
  <c r="P3" i="29"/>
  <c r="P3" i="31"/>
  <c r="Q4" i="30"/>
  <c r="P3" i="8"/>
  <c r="P3" i="30"/>
  <c r="Q53" i="8"/>
  <c r="Q57" i="8" s="1"/>
  <c r="R22" i="8"/>
  <c r="R2" i="32" s="1"/>
  <c r="R25" i="8"/>
  <c r="Q4" i="8"/>
  <c r="Q33" i="8"/>
  <c r="Q44" i="8" s="1"/>
  <c r="R45" i="8" s="1"/>
  <c r="Q34" i="8"/>
  <c r="Q56" i="8" s="1"/>
  <c r="Q49" i="8"/>
  <c r="R35" i="29" l="1"/>
  <c r="R35" i="30"/>
  <c r="R35" i="17"/>
  <c r="R54" i="17"/>
  <c r="R55" i="17" s="1"/>
  <c r="R58" i="17" s="1"/>
  <c r="R54" i="30"/>
  <c r="R55" i="30" s="1"/>
  <c r="R58" i="30" s="1"/>
  <c r="R53" i="26"/>
  <c r="R19" i="16" s="1"/>
  <c r="R56" i="25"/>
  <c r="R54" i="31"/>
  <c r="R55" i="31" s="1"/>
  <c r="R58" i="31" s="1"/>
  <c r="S29" i="29"/>
  <c r="S41" i="29" s="1"/>
  <c r="S65" i="29"/>
  <c r="S66" i="29" s="1"/>
  <c r="S70" i="29" s="1"/>
  <c r="S29" i="17"/>
  <c r="S41" i="17" s="1"/>
  <c r="S43" i="17" s="1"/>
  <c r="S65" i="17"/>
  <c r="S66" i="17" s="1"/>
  <c r="S70" i="17" s="1"/>
  <c r="S29" i="30"/>
  <c r="S41" i="30" s="1"/>
  <c r="S43" i="30" s="1"/>
  <c r="S65" i="30"/>
  <c r="S66" i="30" s="1"/>
  <c r="S70" i="30" s="1"/>
  <c r="S42" i="26"/>
  <c r="S44" i="26" s="1"/>
  <c r="S46" i="26"/>
  <c r="S46" i="25"/>
  <c r="S42" i="25"/>
  <c r="S44" i="25" s="1"/>
  <c r="S42" i="27"/>
  <c r="S44" i="27" s="1"/>
  <c r="S46" i="27"/>
  <c r="S29" i="31"/>
  <c r="S41" i="31" s="1"/>
  <c r="S43" i="31" s="1"/>
  <c r="S65" i="31"/>
  <c r="S66" i="31" s="1"/>
  <c r="S70" i="31" s="1"/>
  <c r="Q63" i="30"/>
  <c r="Q68" i="30" s="1"/>
  <c r="Q71" i="30" s="1"/>
  <c r="Q73" i="30" s="1"/>
  <c r="Q74" i="30" s="1"/>
  <c r="Q12" i="16" s="1"/>
  <c r="Q73" i="17"/>
  <c r="Q74" i="17" s="1"/>
  <c r="Q11" i="16" s="1"/>
  <c r="R49" i="29"/>
  <c r="R51" i="29" s="1"/>
  <c r="R53" i="29"/>
  <c r="Q59" i="29"/>
  <c r="Q56" i="27"/>
  <c r="Q58" i="27" s="1"/>
  <c r="Q16" i="16" s="1"/>
  <c r="R2" i="19"/>
  <c r="R2" i="16"/>
  <c r="R2" i="26"/>
  <c r="R2" i="31"/>
  <c r="R2" i="27"/>
  <c r="R2" i="29"/>
  <c r="R2" i="25"/>
  <c r="R2" i="17"/>
  <c r="R2" i="30"/>
  <c r="R35" i="31"/>
  <c r="R38" i="31" s="1"/>
  <c r="R57" i="31" s="1"/>
  <c r="R38" i="30"/>
  <c r="R57" i="30" s="1"/>
  <c r="R38" i="29"/>
  <c r="R57" i="29" s="1"/>
  <c r="R51" i="27"/>
  <c r="R53" i="27" s="1"/>
  <c r="R56" i="27" s="1"/>
  <c r="R58" i="27" s="1"/>
  <c r="R16" i="16" s="1"/>
  <c r="R38" i="17"/>
  <c r="R57" i="17" s="1"/>
  <c r="Q58" i="8"/>
  <c r="Q3" i="32" s="1"/>
  <c r="R51" i="8"/>
  <c r="R2" i="8"/>
  <c r="R32" i="8"/>
  <c r="R48" i="8"/>
  <c r="R83" i="8"/>
  <c r="R85" i="8" s="1"/>
  <c r="R38" i="8"/>
  <c r="R39" i="8" s="1"/>
  <c r="R24" i="8"/>
  <c r="R26" i="8" s="1"/>
  <c r="S21" i="8"/>
  <c r="Q52" i="8"/>
  <c r="Q63" i="8"/>
  <c r="R64" i="8" s="1"/>
  <c r="R66" i="8" s="1"/>
  <c r="R67" i="8" s="1"/>
  <c r="R59" i="17" l="1"/>
  <c r="R62" i="17" s="1"/>
  <c r="R59" i="30"/>
  <c r="R62" i="30" s="1"/>
  <c r="R63" i="30" s="1"/>
  <c r="R68" i="30" s="1"/>
  <c r="R71" i="30" s="1"/>
  <c r="R73" i="30" s="1"/>
  <c r="R74" i="30" s="1"/>
  <c r="R12" i="16" s="1"/>
  <c r="R59" i="31"/>
  <c r="R62" i="31" s="1"/>
  <c r="S63" i="31" s="1"/>
  <c r="S68" i="31" s="1"/>
  <c r="S71" i="31" s="1"/>
  <c r="S73" i="31" s="1"/>
  <c r="S74" i="31" s="1"/>
  <c r="S13" i="16" s="1"/>
  <c r="R25" i="31"/>
  <c r="R26" i="31" s="1"/>
  <c r="T27" i="31" s="1"/>
  <c r="R25" i="27"/>
  <c r="R26" i="27" s="1"/>
  <c r="T27" i="27" s="1"/>
  <c r="T29" i="27" s="1"/>
  <c r="T34" i="27" s="1"/>
  <c r="T36" i="27" s="1"/>
  <c r="R25" i="25"/>
  <c r="R26" i="25" s="1"/>
  <c r="T27" i="25" s="1"/>
  <c r="T29" i="25" s="1"/>
  <c r="T34" i="25" s="1"/>
  <c r="T36" i="25" s="1"/>
  <c r="R25" i="26"/>
  <c r="R26" i="26" s="1"/>
  <c r="T27" i="26" s="1"/>
  <c r="T29" i="26" s="1"/>
  <c r="T34" i="26" s="1"/>
  <c r="T36" i="26" s="1"/>
  <c r="R25" i="30"/>
  <c r="R26" i="30" s="1"/>
  <c r="T27" i="30" s="1"/>
  <c r="R25" i="17"/>
  <c r="R26" i="17" s="1"/>
  <c r="T27" i="17" s="1"/>
  <c r="R25" i="29"/>
  <c r="R26" i="29" s="1"/>
  <c r="T27" i="29" s="1"/>
  <c r="S53" i="31"/>
  <c r="S49" i="31"/>
  <c r="S51" i="31" s="1"/>
  <c r="S47" i="27"/>
  <c r="S48" i="27" s="1"/>
  <c r="S47" i="25"/>
  <c r="S48" i="25" s="1"/>
  <c r="S47" i="26"/>
  <c r="S53" i="30"/>
  <c r="S49" i="30"/>
  <c r="S51" i="30" s="1"/>
  <c r="S53" i="17"/>
  <c r="S49" i="17"/>
  <c r="S51" i="17" s="1"/>
  <c r="R59" i="25"/>
  <c r="R83" i="25" s="1"/>
  <c r="R61" i="25"/>
  <c r="R85" i="25" s="1"/>
  <c r="R60" i="25"/>
  <c r="R84" i="25" s="1"/>
  <c r="R58" i="25"/>
  <c r="R82" i="25" s="1"/>
  <c r="R62" i="25"/>
  <c r="R86" i="25" s="1"/>
  <c r="R63" i="17"/>
  <c r="R68" i="17" s="1"/>
  <c r="R71" i="17" s="1"/>
  <c r="R54" i="29"/>
  <c r="R55" i="29" s="1"/>
  <c r="R58" i="29" s="1"/>
  <c r="R59" i="29" s="1"/>
  <c r="R62" i="29" s="1"/>
  <c r="Q62" i="29"/>
  <c r="Q63" i="29" s="1"/>
  <c r="R4" i="19"/>
  <c r="R4" i="32"/>
  <c r="S43" i="29"/>
  <c r="R4" i="16"/>
  <c r="R4" i="26"/>
  <c r="R4" i="31"/>
  <c r="R4" i="27"/>
  <c r="R4" i="25"/>
  <c r="R4" i="29"/>
  <c r="R4" i="17"/>
  <c r="Q3" i="19"/>
  <c r="Q3" i="16"/>
  <c r="Q3" i="27"/>
  <c r="Q3" i="25"/>
  <c r="Q3" i="26"/>
  <c r="Q3" i="29"/>
  <c r="Q3" i="17"/>
  <c r="Q3" i="31"/>
  <c r="R4" i="30"/>
  <c r="Q3" i="30"/>
  <c r="Q3" i="8"/>
  <c r="R53" i="8"/>
  <c r="R57" i="8" s="1"/>
  <c r="R4" i="8"/>
  <c r="R49" i="8"/>
  <c r="R33" i="8"/>
  <c r="R44" i="8" s="1"/>
  <c r="S45" i="8" s="1"/>
  <c r="R34" i="8"/>
  <c r="R56" i="8" s="1"/>
  <c r="S22" i="8"/>
  <c r="S2" i="32" s="1"/>
  <c r="S25" i="8"/>
  <c r="S35" i="29" l="1"/>
  <c r="S35" i="30"/>
  <c r="S35" i="17"/>
  <c r="S54" i="17"/>
  <c r="S55" i="17" s="1"/>
  <c r="S58" i="17" s="1"/>
  <c r="S54" i="30"/>
  <c r="S55" i="30" s="1"/>
  <c r="S58" i="30" s="1"/>
  <c r="S48" i="26"/>
  <c r="S56" i="25"/>
  <c r="S54" i="31"/>
  <c r="S55" i="31" s="1"/>
  <c r="S58" i="31" s="1"/>
  <c r="T29" i="29"/>
  <c r="T41" i="29" s="1"/>
  <c r="T65" i="29"/>
  <c r="T66" i="29" s="1"/>
  <c r="T70" i="29" s="1"/>
  <c r="T29" i="17"/>
  <c r="T41" i="17" s="1"/>
  <c r="T43" i="17" s="1"/>
  <c r="T65" i="17"/>
  <c r="T66" i="17" s="1"/>
  <c r="T70" i="17" s="1"/>
  <c r="T29" i="30"/>
  <c r="T41" i="30" s="1"/>
  <c r="T43" i="30" s="1"/>
  <c r="T65" i="30"/>
  <c r="T66" i="30" s="1"/>
  <c r="T70" i="30" s="1"/>
  <c r="T46" i="26"/>
  <c r="T42" i="26"/>
  <c r="T44" i="26" s="1"/>
  <c r="T42" i="25"/>
  <c r="T44" i="25" s="1"/>
  <c r="T46" i="25"/>
  <c r="T46" i="27"/>
  <c r="T42" i="27"/>
  <c r="T44" i="27" s="1"/>
  <c r="T29" i="31"/>
  <c r="T41" i="31" s="1"/>
  <c r="T43" i="31" s="1"/>
  <c r="T65" i="31"/>
  <c r="T66" i="31" s="1"/>
  <c r="T70" i="31" s="1"/>
  <c r="R73" i="17"/>
  <c r="R74" i="17" s="1"/>
  <c r="R11" i="16" s="1"/>
  <c r="S49" i="29"/>
  <c r="S51" i="29" s="1"/>
  <c r="S53" i="29"/>
  <c r="Q68" i="29"/>
  <c r="S2" i="19"/>
  <c r="S2" i="31"/>
  <c r="S2" i="16"/>
  <c r="S2" i="27"/>
  <c r="S2" i="25"/>
  <c r="S2" i="26"/>
  <c r="S2" i="29"/>
  <c r="S2" i="17"/>
  <c r="S2" i="30"/>
  <c r="S35" i="31"/>
  <c r="S38" i="31" s="1"/>
  <c r="S57" i="31" s="1"/>
  <c r="S38" i="30"/>
  <c r="S57" i="30" s="1"/>
  <c r="S38" i="29"/>
  <c r="S57" i="29" s="1"/>
  <c r="S51" i="27"/>
  <c r="S53" i="27" s="1"/>
  <c r="S56" i="27" s="1"/>
  <c r="S58" i="27" s="1"/>
  <c r="S16" i="16" s="1"/>
  <c r="R58" i="8"/>
  <c r="R3" i="32" s="1"/>
  <c r="S38" i="17"/>
  <c r="S57" i="17" s="1"/>
  <c r="T21" i="8"/>
  <c r="S51" i="8"/>
  <c r="R52" i="8"/>
  <c r="R63" i="8"/>
  <c r="S64" i="8" s="1"/>
  <c r="S66" i="8" s="1"/>
  <c r="S67" i="8" s="1"/>
  <c r="S24" i="8"/>
  <c r="S26" i="8" s="1"/>
  <c r="S32" i="8"/>
  <c r="S38" i="8"/>
  <c r="S39" i="8" s="1"/>
  <c r="S2" i="8"/>
  <c r="S83" i="8"/>
  <c r="S85" i="8" s="1"/>
  <c r="S48" i="8"/>
  <c r="S59" i="31" l="1"/>
  <c r="S62" i="31" s="1"/>
  <c r="T63" i="31" s="1"/>
  <c r="T68" i="31" s="1"/>
  <c r="T71" i="31" s="1"/>
  <c r="T73" i="31" s="1"/>
  <c r="T74" i="31" s="1"/>
  <c r="T13" i="16" s="1"/>
  <c r="S59" i="30"/>
  <c r="S62" i="30" s="1"/>
  <c r="S63" i="30" s="1"/>
  <c r="S68" i="30" s="1"/>
  <c r="S71" i="30" s="1"/>
  <c r="S73" i="30" s="1"/>
  <c r="S74" i="30" s="1"/>
  <c r="S12" i="16" s="1"/>
  <c r="S59" i="17"/>
  <c r="S62" i="17" s="1"/>
  <c r="S63" i="17" s="1"/>
  <c r="S68" i="17" s="1"/>
  <c r="S71" i="17" s="1"/>
  <c r="S25" i="31"/>
  <c r="S26" i="31" s="1"/>
  <c r="S25" i="27"/>
  <c r="S26" i="27" s="1"/>
  <c r="S25" i="25"/>
  <c r="S26" i="25" s="1"/>
  <c r="S25" i="26"/>
  <c r="S26" i="26" s="1"/>
  <c r="S25" i="30"/>
  <c r="S26" i="30" s="1"/>
  <c r="S25" i="17"/>
  <c r="S26" i="17" s="1"/>
  <c r="S25" i="29"/>
  <c r="S26" i="29" s="1"/>
  <c r="T53" i="31"/>
  <c r="T49" i="31"/>
  <c r="T51" i="31" s="1"/>
  <c r="H43" i="31"/>
  <c r="T47" i="27"/>
  <c r="T48" i="27" s="1"/>
  <c r="H48" i="27" s="1"/>
  <c r="H44" i="27"/>
  <c r="H47" i="27" s="1"/>
  <c r="T47" i="25"/>
  <c r="T48" i="25" s="1"/>
  <c r="H44" i="25"/>
  <c r="H47" i="25" s="1"/>
  <c r="T47" i="26"/>
  <c r="T48" i="26" s="1"/>
  <c r="H44" i="26"/>
  <c r="H47" i="26" s="1"/>
  <c r="T53" i="30"/>
  <c r="T49" i="30"/>
  <c r="T51" i="30" s="1"/>
  <c r="H43" i="30"/>
  <c r="T53" i="17"/>
  <c r="T49" i="17"/>
  <c r="T51" i="17" s="1"/>
  <c r="H43" i="17"/>
  <c r="S59" i="25"/>
  <c r="S83" i="25" s="1"/>
  <c r="S58" i="25"/>
  <c r="S82" i="25" s="1"/>
  <c r="S62" i="25"/>
  <c r="S86" i="25" s="1"/>
  <c r="S61" i="25"/>
  <c r="S85" i="25" s="1"/>
  <c r="S60" i="25"/>
  <c r="S84" i="25" s="1"/>
  <c r="S53" i="26"/>
  <c r="S19" i="16" s="1"/>
  <c r="S54" i="29"/>
  <c r="S55" i="29" s="1"/>
  <c r="S58" i="29" s="1"/>
  <c r="S59" i="29" s="1"/>
  <c r="R63" i="29"/>
  <c r="R68" i="29" s="1"/>
  <c r="R71" i="29" s="1"/>
  <c r="Q71" i="29"/>
  <c r="S4" i="19"/>
  <c r="S4" i="32"/>
  <c r="T43" i="29"/>
  <c r="R3" i="19"/>
  <c r="R3" i="26"/>
  <c r="R3" i="31"/>
  <c r="R3" i="16"/>
  <c r="R3" i="27"/>
  <c r="R3" i="25"/>
  <c r="R3" i="29"/>
  <c r="R3" i="17"/>
  <c r="S4" i="31"/>
  <c r="S4" i="16"/>
  <c r="S4" i="27"/>
  <c r="S4" i="25"/>
  <c r="S4" i="26"/>
  <c r="S4" i="29"/>
  <c r="S4" i="17"/>
  <c r="S4" i="30"/>
  <c r="R3" i="30"/>
  <c r="R3" i="8"/>
  <c r="S53" i="8"/>
  <c r="S57" i="8" s="1"/>
  <c r="T25" i="8"/>
  <c r="T22" i="8"/>
  <c r="T2" i="32" s="1"/>
  <c r="S49" i="8"/>
  <c r="S33" i="8"/>
  <c r="S44" i="8" s="1"/>
  <c r="T45" i="8" s="1"/>
  <c r="S34" i="8"/>
  <c r="S56" i="8" s="1"/>
  <c r="S4" i="8"/>
  <c r="T53" i="26" l="1"/>
  <c r="T19" i="16" s="1"/>
  <c r="H48" i="26"/>
  <c r="T35" i="29"/>
  <c r="T35" i="30"/>
  <c r="T35" i="17"/>
  <c r="H53" i="17"/>
  <c r="H49" i="17"/>
  <c r="T54" i="17"/>
  <c r="T55" i="17" s="1"/>
  <c r="T58" i="17" s="1"/>
  <c r="H51" i="17"/>
  <c r="H54" i="17" s="1"/>
  <c r="H53" i="30"/>
  <c r="H49" i="30"/>
  <c r="T54" i="30"/>
  <c r="T55" i="30" s="1"/>
  <c r="T58" i="30" s="1"/>
  <c r="H51" i="30"/>
  <c r="H54" i="30" s="1"/>
  <c r="T56" i="25"/>
  <c r="H48" i="25"/>
  <c r="H56" i="25" s="1"/>
  <c r="H53" i="31"/>
  <c r="H49" i="31"/>
  <c r="T54" i="31"/>
  <c r="T55" i="31" s="1"/>
  <c r="T58" i="31" s="1"/>
  <c r="H51" i="31"/>
  <c r="H54" i="31" s="1"/>
  <c r="S73" i="17"/>
  <c r="S74" i="17" s="1"/>
  <c r="S11" i="16" s="1"/>
  <c r="Q73" i="29"/>
  <c r="Q74" i="29" s="1"/>
  <c r="S62" i="29"/>
  <c r="S63" i="29" s="1"/>
  <c r="S68" i="29" s="1"/>
  <c r="S71" i="29" s="1"/>
  <c r="T53" i="29"/>
  <c r="T49" i="29"/>
  <c r="T51" i="29" s="1"/>
  <c r="H43" i="29"/>
  <c r="R73" i="29"/>
  <c r="R74" i="29" s="1"/>
  <c r="T2" i="19"/>
  <c r="T2" i="17"/>
  <c r="T2" i="16"/>
  <c r="T2" i="27"/>
  <c r="T2" i="25"/>
  <c r="T2" i="26"/>
  <c r="T2" i="29"/>
  <c r="T2" i="31"/>
  <c r="T38" i="30"/>
  <c r="T38" i="29"/>
  <c r="T35" i="31"/>
  <c r="T38" i="31" s="1"/>
  <c r="T57" i="31" s="1"/>
  <c r="T2" i="30"/>
  <c r="T51" i="27"/>
  <c r="T53" i="27" s="1"/>
  <c r="T56" i="27" s="1"/>
  <c r="T58" i="27" s="1"/>
  <c r="T16" i="16" s="1"/>
  <c r="S58" i="8"/>
  <c r="S3" i="32" s="1"/>
  <c r="T38" i="17"/>
  <c r="T51" i="8"/>
  <c r="T48" i="8"/>
  <c r="T49" i="8" s="1"/>
  <c r="T83" i="8"/>
  <c r="T85" i="8" s="1"/>
  <c r="T38" i="8"/>
  <c r="T39" i="8" s="1"/>
  <c r="T24" i="8"/>
  <c r="T26" i="8" s="1"/>
  <c r="T32" i="8"/>
  <c r="T2" i="8"/>
  <c r="S52" i="8"/>
  <c r="S63" i="8"/>
  <c r="T64" i="8" s="1"/>
  <c r="T66" i="8" s="1"/>
  <c r="T67" i="8" s="1"/>
  <c r="T59" i="31" l="1"/>
  <c r="H59" i="31" s="1"/>
  <c r="H62" i="31" s="1"/>
  <c r="T25" i="31"/>
  <c r="T26" i="31" s="1"/>
  <c r="T25" i="27"/>
  <c r="T26" i="27" s="1"/>
  <c r="T25" i="25"/>
  <c r="T26" i="25" s="1"/>
  <c r="T25" i="26"/>
  <c r="T26" i="26" s="1"/>
  <c r="T25" i="30"/>
  <c r="T26" i="30" s="1"/>
  <c r="T25" i="17"/>
  <c r="T26" i="17" s="1"/>
  <c r="T25" i="29"/>
  <c r="T26" i="29" s="1"/>
  <c r="H55" i="31"/>
  <c r="H58" i="31" s="1"/>
  <c r="T62" i="25"/>
  <c r="T86" i="25" s="1"/>
  <c r="T60" i="25"/>
  <c r="T84" i="25" s="1"/>
  <c r="T59" i="25"/>
  <c r="T83" i="25" s="1"/>
  <c r="T58" i="25"/>
  <c r="T82" i="25" s="1"/>
  <c r="T61" i="25"/>
  <c r="T85" i="25" s="1"/>
  <c r="H55" i="30"/>
  <c r="H58" i="30" s="1"/>
  <c r="H55" i="17"/>
  <c r="H58" i="17" s="1"/>
  <c r="S73" i="29"/>
  <c r="T57" i="30"/>
  <c r="T59" i="30" s="1"/>
  <c r="H38" i="30"/>
  <c r="H57" i="30" s="1"/>
  <c r="Q10" i="16"/>
  <c r="R10" i="16"/>
  <c r="T62" i="31"/>
  <c r="T57" i="17"/>
  <c r="T59" i="17" s="1"/>
  <c r="H38" i="17"/>
  <c r="H57" i="17" s="1"/>
  <c r="T57" i="29"/>
  <c r="H38" i="29"/>
  <c r="H57" i="29" s="1"/>
  <c r="T54" i="29"/>
  <c r="H51" i="29"/>
  <c r="H54" i="29" s="1"/>
  <c r="H49" i="29"/>
  <c r="H53" i="29"/>
  <c r="T55" i="29"/>
  <c r="T4" i="19"/>
  <c r="T4" i="32"/>
  <c r="S74" i="29"/>
  <c r="S3" i="19"/>
  <c r="S3" i="31"/>
  <c r="S3" i="16"/>
  <c r="S3" i="27"/>
  <c r="S3" i="25"/>
  <c r="S3" i="26"/>
  <c r="S3" i="29"/>
  <c r="S3" i="17"/>
  <c r="T4" i="16"/>
  <c r="T4" i="27"/>
  <c r="T4" i="25"/>
  <c r="T4" i="26"/>
  <c r="T4" i="29"/>
  <c r="T4" i="17"/>
  <c r="T4" i="31"/>
  <c r="T4" i="30"/>
  <c r="S3" i="30"/>
  <c r="S3" i="8"/>
  <c r="T33" i="8"/>
  <c r="T44" i="8" s="1"/>
  <c r="T34" i="8"/>
  <c r="T56" i="8" s="1"/>
  <c r="T53" i="8"/>
  <c r="T57" i="8" s="1"/>
  <c r="T63" i="8"/>
  <c r="T52" i="8"/>
  <c r="T4" i="8"/>
  <c r="F11" i="8"/>
  <c r="F73" i="8" s="1"/>
  <c r="T62" i="30" l="1"/>
  <c r="T63" i="30" s="1"/>
  <c r="T68" i="30" s="1"/>
  <c r="T71" i="30" s="1"/>
  <c r="T73" i="30" s="1"/>
  <c r="T74" i="30" s="1"/>
  <c r="T12" i="16" s="1"/>
  <c r="H59" i="30"/>
  <c r="H62" i="30" s="1"/>
  <c r="S10" i="16"/>
  <c r="T62" i="17"/>
  <c r="T63" i="17" s="1"/>
  <c r="T68" i="17" s="1"/>
  <c r="T71" i="17" s="1"/>
  <c r="H59" i="17"/>
  <c r="H62" i="17" s="1"/>
  <c r="H55" i="29"/>
  <c r="H58" i="29" s="1"/>
  <c r="T58" i="29"/>
  <c r="T59" i="29" s="1"/>
  <c r="T58" i="8"/>
  <c r="T3" i="32" s="1"/>
  <c r="H14" i="8"/>
  <c r="T73" i="17" l="1"/>
  <c r="T74" i="17" s="1"/>
  <c r="T11" i="16" s="1"/>
  <c r="T62" i="29"/>
  <c r="T63" i="29" s="1"/>
  <c r="T68" i="29" s="1"/>
  <c r="T71" i="29" s="1"/>
  <c r="H59" i="29"/>
  <c r="H62" i="29" s="1"/>
  <c r="T3" i="19"/>
  <c r="T3" i="16"/>
  <c r="T3" i="27"/>
  <c r="T3" i="25"/>
  <c r="T3" i="26"/>
  <c r="T3" i="29"/>
  <c r="T3" i="17"/>
  <c r="T3" i="31"/>
  <c r="T3" i="30"/>
  <c r="T3" i="8"/>
  <c r="H20" i="8"/>
  <c r="H84" i="8"/>
  <c r="T73" i="29" l="1"/>
  <c r="H45" i="8"/>
  <c r="H35" i="29" l="1"/>
  <c r="H35" i="30"/>
  <c r="H35" i="17"/>
  <c r="T74" i="29"/>
  <c r="H51" i="8"/>
  <c r="H49" i="8"/>
  <c r="H26" i="8"/>
  <c r="H39" i="8"/>
  <c r="H64" i="8"/>
  <c r="H66" i="8" s="1"/>
  <c r="T10" i="16" l="1"/>
  <c r="H34" i="8"/>
  <c r="H56" i="8" s="1"/>
  <c r="F35" i="8"/>
  <c r="F74" i="8" s="1"/>
  <c r="H63" i="8"/>
  <c r="H52" i="8"/>
  <c r="H33" i="8"/>
  <c r="H44" i="8" s="1"/>
  <c r="F54" i="8"/>
  <c r="F75" i="8" s="1"/>
  <c r="H53" i="8"/>
  <c r="H57" i="8" s="1"/>
  <c r="F68" i="8"/>
  <c r="F76" i="8" s="1"/>
  <c r="H67" i="8"/>
  <c r="F77" i="8" l="1"/>
</calcChain>
</file>

<file path=xl/sharedStrings.xml><?xml version="1.0" encoding="utf-8"?>
<sst xmlns="http://schemas.openxmlformats.org/spreadsheetml/2006/main" count="686" uniqueCount="295">
  <si>
    <t>Workbook title:</t>
  </si>
  <si>
    <t>PR19 in-period adjustments model</t>
  </si>
  <si>
    <t>Version:</t>
  </si>
  <si>
    <t>v1.0</t>
  </si>
  <si>
    <t>Filename:</t>
  </si>
  <si>
    <t>Date:</t>
  </si>
  <si>
    <t>Author:</t>
  </si>
  <si>
    <t>Ofwat</t>
  </si>
  <si>
    <t>Author contact information:</t>
  </si>
  <si>
    <t>PR19Reconciliationrulebook@ofwat.gov.uk</t>
  </si>
  <si>
    <t>Summary of workbook:</t>
  </si>
  <si>
    <t>In the PR19 final determinations, all companies have performance commitments with in-period outcome delivery incentives (ODIs) which require the revenue allowances for their price controls to be adjusted during the 2020-25 period to account for outperformance or underperformance payments earned or incurred from each company’s performance during the period. This model adjusts price controls to reflect in-period ODIs.</t>
  </si>
  <si>
    <t>Known limitations:</t>
  </si>
  <si>
    <t xml:space="preserve">
This model is subject to consultation and consequently may be subject to further changes.
</t>
  </si>
  <si>
    <t>Instructions:</t>
  </si>
  <si>
    <t>Companies should submit a completed copy of this model as part of their request for an in-period determination. They should use outputs from the ODI performance model for the reporting year, the C-MeX and D-MeX payments earned or incurred during the reporting year and any deferrals from previous reporting years.
Companies can choose to propose abatements or deferrals, which we will make a decision on as part of the in-period determinations process.</t>
  </si>
  <si>
    <t>Amendments:</t>
  </si>
  <si>
    <t>NA</t>
  </si>
  <si>
    <t>References:</t>
  </si>
  <si>
    <t>PR19 ODI performance model</t>
  </si>
  <si>
    <t>Error Checks:</t>
  </si>
  <si>
    <t>Feedback:</t>
  </si>
  <si>
    <t>We would welcome feedback on this workbook. Please send any feedback to the following email address:</t>
  </si>
  <si>
    <t>END OF SHEET</t>
  </si>
  <si>
    <t>CELL / ROW / COLUMN COLOUR</t>
  </si>
  <si>
    <t>Font colour</t>
  </si>
  <si>
    <t>Blue text (no shade)</t>
  </si>
  <si>
    <t>Imported from another sheet/section</t>
  </si>
  <si>
    <t>Red text (no shade)</t>
  </si>
  <si>
    <t>Exported to another sheet/section *</t>
  </si>
  <si>
    <t>Black text (no shade)</t>
  </si>
  <si>
    <t>Neither imported nor exported</t>
  </si>
  <si>
    <t>* Except from input sheets (sheets with 'Inp' prefix)</t>
  </si>
  <si>
    <t>* Except to track sheet</t>
  </si>
  <si>
    <t>Green (no shade)</t>
  </si>
  <si>
    <t>Documentation</t>
  </si>
  <si>
    <t>Font and shade combinations</t>
  </si>
  <si>
    <t>Black text + light yellow shade</t>
  </si>
  <si>
    <t>Inputs</t>
  </si>
  <si>
    <t>Black text + pink shade</t>
  </si>
  <si>
    <t>Pre-populated inputs</t>
  </si>
  <si>
    <t>Other</t>
  </si>
  <si>
    <t>Entire row/column with blue text + light blue shade</t>
  </si>
  <si>
    <t>Section separator</t>
  </si>
  <si>
    <t>Entire row with white text + blue shade</t>
  </si>
  <si>
    <t>End of sheet</t>
  </si>
  <si>
    <t>WORKSHEET TAB COLOUR CODING</t>
  </si>
  <si>
    <t>Input sheets</t>
  </si>
  <si>
    <t>Documentation and calculation sheets</t>
  </si>
  <si>
    <t>Quality control</t>
  </si>
  <si>
    <t>Outputs</t>
  </si>
  <si>
    <t>DOCUMENTATION</t>
  </si>
  <si>
    <t>INPUTS</t>
  </si>
  <si>
    <t>CALCULATIONS</t>
  </si>
  <si>
    <t>OUTPUTS</t>
  </si>
  <si>
    <t>Cover</t>
  </si>
  <si>
    <t>Abatements and deferrals</t>
  </si>
  <si>
    <t>Model documentation sheet</t>
  </si>
  <si>
    <t>Inputs from the company and Ofwat which are used in calculating in-period ODI payments.</t>
  </si>
  <si>
    <t>Outperformance payments which the company has chosen to not receive or defer until a later reporting year.</t>
  </si>
  <si>
    <t>The application of ODI payments taken this year and deferred.</t>
  </si>
  <si>
    <t>Style Guide</t>
  </si>
  <si>
    <t>Time</t>
  </si>
  <si>
    <t>Water resources</t>
  </si>
  <si>
    <t>Explanation of different formatting types</t>
  </si>
  <si>
    <t>Various time inputs used in calculations.</t>
  </si>
  <si>
    <t>Revised K factors for water resources as a result of the company's performance.</t>
  </si>
  <si>
    <t>ToC</t>
  </si>
  <si>
    <t>Index</t>
  </si>
  <si>
    <t>Water network plus</t>
  </si>
  <si>
    <t>Table of contents</t>
  </si>
  <si>
    <t>Inflation index inputs used in calculations.</t>
  </si>
  <si>
    <t>Revised K factors for water network plus as a result of the company's performance.</t>
  </si>
  <si>
    <t>Wastewater network plus</t>
  </si>
  <si>
    <t>Revised K factors for wastewater network plus as a result of the company's performance.</t>
  </si>
  <si>
    <t>Residential retail</t>
  </si>
  <si>
    <t>Revised total revenue for residential retail as a result of the company's performance.</t>
  </si>
  <si>
    <t>Business retail</t>
  </si>
  <si>
    <t>Revised allowed average retail cost components for business retail as a result of the company's performance.</t>
  </si>
  <si>
    <t>Bioresources (sludge)</t>
  </si>
  <si>
    <t>Revised total revenue for bioresources as a result of the company's performance.</t>
  </si>
  <si>
    <t>Dummy control</t>
  </si>
  <si>
    <t>Revised K factors for the dummy control as a result of the company's performance.</t>
  </si>
  <si>
    <t>END</t>
  </si>
  <si>
    <t>Constant</t>
  </si>
  <si>
    <t>Unit</t>
  </si>
  <si>
    <t>Total</t>
  </si>
  <si>
    <t>Company name</t>
  </si>
  <si>
    <t>Ofwat company acronym</t>
  </si>
  <si>
    <t>Reporting year</t>
  </si>
  <si>
    <t>Financial year</t>
  </si>
  <si>
    <t>Price base for ODI rates</t>
  </si>
  <si>
    <t>2017-18</t>
  </si>
  <si>
    <t>Units and price base for ODI payments</t>
  </si>
  <si>
    <t>Text</t>
  </si>
  <si>
    <t>ODI payments</t>
  </si>
  <si>
    <t>ODI payments (by price control)</t>
  </si>
  <si>
    <t>Other in-period adjustments</t>
  </si>
  <si>
    <t>C-MeX payments</t>
  </si>
  <si>
    <t>D-MeX payments (water network plus)</t>
  </si>
  <si>
    <t>D-MeX payments (wastewater network plus)</t>
  </si>
  <si>
    <t>ODI payments deferred from previous reporting year</t>
  </si>
  <si>
    <t>Voluntary abatements or deferrals</t>
  </si>
  <si>
    <t>Companies can forego outperformance payments entirely (an abatement) or defer when they are collected (a deferral).</t>
  </si>
  <si>
    <t>Voluntary abatements</t>
  </si>
  <si>
    <t>Voluntary deferrals</t>
  </si>
  <si>
    <t>Reconciliation adjustments</t>
  </si>
  <si>
    <t>Company-wide adjustments</t>
  </si>
  <si>
    <t>Discount rate (wholesale weighted average cost of capital - real CPIH)</t>
  </si>
  <si>
    <t>Percentage</t>
  </si>
  <si>
    <t>Discount rate (appointee weighted average cost of capital - real CPIH)</t>
  </si>
  <si>
    <t>Years of delay for deferrals</t>
  </si>
  <si>
    <t>Number</t>
  </si>
  <si>
    <t>Marginal tax rate</t>
  </si>
  <si>
    <t>November CPIH Index</t>
  </si>
  <si>
    <t>Price control variables</t>
  </si>
  <si>
    <t>Allowed revenue starting point in FD</t>
  </si>
  <si>
    <t>£m (nominal)</t>
  </si>
  <si>
    <t>K factors (last determined)</t>
  </si>
  <si>
    <t>Total revenue (URt in last determination)</t>
  </si>
  <si>
    <t>£m (2017-18 prices)</t>
  </si>
  <si>
    <t>Total revenue (TRt in last determination)</t>
  </si>
  <si>
    <t>Customer type 1 - allowed average retail cost component (rct in last determination)</t>
  </si>
  <si>
    <t>£ (nominal)</t>
  </si>
  <si>
    <t>Customer type 2 - allowed average retail cost component (rct in last determination)</t>
  </si>
  <si>
    <t>Customer type 3 - allowed average retail cost component (rct in last determination)</t>
  </si>
  <si>
    <t>Customer type 4 - allowed average retail cost component (rct in last determination)</t>
  </si>
  <si>
    <t>Customer type 5 - allowed average retail cost component (rct in last determination)</t>
  </si>
  <si>
    <t>Customer type 1 - number of customers (cnt in last determination)</t>
  </si>
  <si>
    <t>Customer type 2 - number of customers (cnt in last determination)</t>
  </si>
  <si>
    <t>Customer type 3 - number of customers (cnt in last determination)</t>
  </si>
  <si>
    <t>Customer type 4 - number of customers (cnt in last determination)</t>
  </si>
  <si>
    <t>Customer type 5 - number of customers (cnt in last determination)</t>
  </si>
  <si>
    <t>Customer type 1 - proportion of revenue expected to be collected from these customers in year adjustment to be made</t>
  </si>
  <si>
    <t>Customer type 2 - proportion of revenue expected to be collected from these customers in year adjustment to be made</t>
  </si>
  <si>
    <t>Customer type 3 - proportion of revenue expected to be collected from these customers in year adjustment to be made</t>
  </si>
  <si>
    <t>Customer type 4 - proportion of revenue expected to be collected from these customers in year adjustment to be made</t>
  </si>
  <si>
    <t>Customer type 5 - proportion of revenue expected to be collected from these customers in year adjustment to be made</t>
  </si>
  <si>
    <t>First date of time ruler</t>
  </si>
  <si>
    <t>date</t>
  </si>
  <si>
    <t>Last Pre Forecast Date</t>
  </si>
  <si>
    <t>Acquisition date (midnight)</t>
  </si>
  <si>
    <t>Length of forecast period</t>
  </si>
  <si>
    <t>years</t>
  </si>
  <si>
    <t>Last forecast date</t>
  </si>
  <si>
    <t>Operation Start Date (midnight)</t>
  </si>
  <si>
    <t>Operation Finish Date (midnight)</t>
  </si>
  <si>
    <t>First Modelling Column Financial Year Number</t>
  </si>
  <si>
    <t>year</t>
  </si>
  <si>
    <t>Financial Year End Month Number</t>
  </si>
  <si>
    <t>month #</t>
  </si>
  <si>
    <t>Model period</t>
  </si>
  <si>
    <t xml:space="preserve">Model Column Counter </t>
  </si>
  <si>
    <t>Model column counter</t>
  </si>
  <si>
    <t>counter</t>
  </si>
  <si>
    <t>Model Column Total</t>
  </si>
  <si>
    <t>column</t>
  </si>
  <si>
    <t>First model column flag</t>
  </si>
  <si>
    <t>flag</t>
  </si>
  <si>
    <t>First model period BEG</t>
  </si>
  <si>
    <t>month</t>
  </si>
  <si>
    <t>Model Period BEG</t>
  </si>
  <si>
    <t>Model Period END</t>
  </si>
  <si>
    <t>less</t>
  </si>
  <si>
    <t>Days in Model Period</t>
  </si>
  <si>
    <t>days</t>
  </si>
  <si>
    <t>Pre forecast period</t>
  </si>
  <si>
    <t>Last Pre Forecast Flag</t>
  </si>
  <si>
    <t>Pre Forecast Period Flag</t>
  </si>
  <si>
    <t>Pre Forecast Period Total</t>
  </si>
  <si>
    <t>columns</t>
  </si>
  <si>
    <t>Acquisition / initial balance date flag</t>
  </si>
  <si>
    <t>Forecast period</t>
  </si>
  <si>
    <t>1st Forecast Period Flag</t>
  </si>
  <si>
    <t>Last Forecast Period Flag</t>
  </si>
  <si>
    <t>Forecast Period Flag</t>
  </si>
  <si>
    <t xml:space="preserve">Forecast Period Total </t>
  </si>
  <si>
    <t>Pre Forecast vs Forecast</t>
  </si>
  <si>
    <t>Post forecast period</t>
  </si>
  <si>
    <t>1st Post Last Forecast Period Flag</t>
  </si>
  <si>
    <t>Post Forecast Period Flag</t>
  </si>
  <si>
    <t>Post Forecast Period Total</t>
  </si>
  <si>
    <t>Modelling period check</t>
  </si>
  <si>
    <t>Modelling Period Check</t>
  </si>
  <si>
    <t>check</t>
  </si>
  <si>
    <t>FINANCIAL YEAR</t>
  </si>
  <si>
    <t>Financial Year Ending</t>
  </si>
  <si>
    <t>year #</t>
  </si>
  <si>
    <t>Indexation</t>
  </si>
  <si>
    <t>Annual inflation figures</t>
  </si>
  <si>
    <t>Cumulative inflation factor</t>
  </si>
  <si>
    <t>Abatements</t>
  </si>
  <si>
    <t>Sum of all payments to be applied this reporting year</t>
  </si>
  <si>
    <t>Net payments by price control</t>
  </si>
  <si>
    <t>Payments after abatements</t>
  </si>
  <si>
    <t>Deferrals</t>
  </si>
  <si>
    <t>Payments after abatements and deferrals</t>
  </si>
  <si>
    <t>Time value of money adjustment</t>
  </si>
  <si>
    <t>Variables</t>
  </si>
  <si>
    <t>Deferred payments for next reporting year (wholesale controls)</t>
  </si>
  <si>
    <t>Deferred payments for next reporting year (retail controls)</t>
  </si>
  <si>
    <t>Payments to be applied this reporting year after abatements and deferrals</t>
  </si>
  <si>
    <t>ODI payments after abatements and deferrals</t>
  </si>
  <si>
    <t>Price control</t>
  </si>
  <si>
    <t>ODI payments for this price control</t>
  </si>
  <si>
    <t>Timing</t>
  </si>
  <si>
    <t>Reporting year as financial year ending</t>
  </si>
  <si>
    <t>Year of performance</t>
  </si>
  <si>
    <t>Year of adjustment to be applied</t>
  </si>
  <si>
    <t>Revenue adjustments</t>
  </si>
  <si>
    <t>Allowed revenue</t>
  </si>
  <si>
    <t>Inflation adjustment</t>
  </si>
  <si>
    <t>ODI value nominal prices</t>
  </si>
  <si>
    <t>Tax adjustment</t>
  </si>
  <si>
    <t>Tax on Tax geometric uplift</t>
  </si>
  <si>
    <t>Tax on nominal ODI</t>
  </si>
  <si>
    <t xml:space="preserve">Total value of ODI </t>
  </si>
  <si>
    <t>Revised total nominal revenue</t>
  </si>
  <si>
    <t>Revised K</t>
  </si>
  <si>
    <t>Allowed revenue percentage movement</t>
  </si>
  <si>
    <t>Year that price limits should be recalculated</t>
  </si>
  <si>
    <t>Allowed revenue percentage movement (Nov-Nov CPIH deflated)</t>
  </si>
  <si>
    <t>Revised total revenue</t>
  </si>
  <si>
    <t>Revised total revenue (TRt)</t>
  </si>
  <si>
    <t>Customer type 1 - ODI payment</t>
  </si>
  <si>
    <t>Customer type 2 - ODI payment</t>
  </si>
  <si>
    <t>Customer type 3 - ODI payment</t>
  </si>
  <si>
    <t>Customer type 4 - ODI payment</t>
  </si>
  <si>
    <t>Customer type 5 - ODI payment</t>
  </si>
  <si>
    <t>Customer type 1 - allowed retail cost component in £m</t>
  </si>
  <si>
    <t>Customer type 2 - allowed retail cost component in £m</t>
  </si>
  <si>
    <t>Customer type 3 - allowed retail cost component in £m</t>
  </si>
  <si>
    <t>Customer type 4 - allowed retail cost component in £m</t>
  </si>
  <si>
    <t>Customer type 5 - allowed retail cost component in £m</t>
  </si>
  <si>
    <t>Customer type 1 - revised allowed retail cost component in £m</t>
  </si>
  <si>
    <t>Customer type 2 - revised allowed retail cost component in £m</t>
  </si>
  <si>
    <t>Customer type 3 - revised allowed retail cost component in £m</t>
  </si>
  <si>
    <t>Customer type 4 - revised allowed retail cost component in £m</t>
  </si>
  <si>
    <t>Customer type 5 - revised allowed retail cost component in £m</t>
  </si>
  <si>
    <t>Customer type 1 - revised allowed average retail cost component (rct)</t>
  </si>
  <si>
    <t>Customer type 2 - revised allowed average retail cost component (rct)</t>
  </si>
  <si>
    <t>Customer type 3 - revised allowed average retail cost component (rct)</t>
  </si>
  <si>
    <t>Customer type 4 - revised allowed average retail cost component (rct)</t>
  </si>
  <si>
    <t>Customer type 5 - revised allowed average retail cost component (rct)</t>
  </si>
  <si>
    <t>Revised retail cost component</t>
  </si>
  <si>
    <t>Deflating</t>
  </si>
  <si>
    <t>ODI value in original prices</t>
  </si>
  <si>
    <t>Revised total revenue (URt)</t>
  </si>
  <si>
    <t>Acronym</t>
  </si>
  <si>
    <t>True False</t>
  </si>
  <si>
    <t>Up Down</t>
  </si>
  <si>
    <t>2020-21</t>
  </si>
  <si>
    <t>Anglian Water</t>
  </si>
  <si>
    <t>ANH</t>
  </si>
  <si>
    <t>Up</t>
  </si>
  <si>
    <t>2021-22</t>
  </si>
  <si>
    <t>Dŵr Cymru</t>
  </si>
  <si>
    <t>WSH</t>
  </si>
  <si>
    <t>Down</t>
  </si>
  <si>
    <t>2022-23</t>
  </si>
  <si>
    <t>Hafren Dyfrdwy</t>
  </si>
  <si>
    <t>HDD</t>
  </si>
  <si>
    <t>2023-24</t>
  </si>
  <si>
    <t>Northumbrian Water</t>
  </si>
  <si>
    <t>NES</t>
  </si>
  <si>
    <t>2024-25</t>
  </si>
  <si>
    <t>Severn Trent Water</t>
  </si>
  <si>
    <t>SVE</t>
  </si>
  <si>
    <t>Southern Water</t>
  </si>
  <si>
    <t>SRN</t>
  </si>
  <si>
    <t>South West Water</t>
  </si>
  <si>
    <t>SWB</t>
  </si>
  <si>
    <t>Thames Water</t>
  </si>
  <si>
    <t>TMS</t>
  </si>
  <si>
    <t>United Utilities</t>
  </si>
  <si>
    <t>UUW</t>
  </si>
  <si>
    <t>Wessex Water</t>
  </si>
  <si>
    <t>WSX</t>
  </si>
  <si>
    <t>Yorkshire Water</t>
  </si>
  <si>
    <t>YKY</t>
  </si>
  <si>
    <t>Affinity Water</t>
  </si>
  <si>
    <t>AFW</t>
  </si>
  <si>
    <t>Bristol Water</t>
  </si>
  <si>
    <t>BRL</t>
  </si>
  <si>
    <t>Portsmouth Water</t>
  </si>
  <si>
    <t>PRT</t>
  </si>
  <si>
    <t>SES Water</t>
  </si>
  <si>
    <t>SES</t>
  </si>
  <si>
    <t>South East Water</t>
  </si>
  <si>
    <t>SEW</t>
  </si>
  <si>
    <t>South Staffs Water</t>
  </si>
  <si>
    <t>SSC</t>
  </si>
  <si>
    <t>Application of ODI payments</t>
  </si>
  <si>
    <t>K-based controls</t>
  </si>
  <si>
    <t>ODI payments deferred until next reporting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</si>
</sst>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#,##0_);\(#,##0\);&quot;-  &quot;;&quot; &quot;@&quot; &quot;"/>
    <numFmt numFmtId="165" formatCode="_(* #,##0.0_);_(* \(#,##0.0\);_(* &quot;-&quot;??_);_(@_)"/>
    <numFmt numFmtId="166" formatCode="#,##0_);\(#,##0\);&quot;-  &quot;;&quot; &quot;@"/>
    <numFmt numFmtId="167" formatCode="dd\ mmm\ yyyy_);;&quot;-  &quot;;&quot; &quot;@&quot; &quot;"/>
    <numFmt numFmtId="168" formatCode="dd\ mmm\ yy_);;&quot;-  &quot;;&quot; &quot;@&quot; &quot;"/>
    <numFmt numFmtId="169" formatCode="#,##0.0000_);\(#,##0.0000\);&quot;-  &quot;;&quot; &quot;@&quot; &quot;"/>
    <numFmt numFmtId="170" formatCode="_(* #,##0_);_(* \(#,##0\);_(* &quot;-&quot;??_);_(@_)"/>
    <numFmt numFmtId="171" formatCode="_(* #,##0.0000_);_(* \(#,##0.0000\);_(* &quot;-&quot;??_);_(@_)"/>
    <numFmt numFmtId="172" formatCode="#,##0.0_);\(#,##0.0\);&quot;-  &quot;;&quot; &quot;@"/>
    <numFmt numFmtId="173" formatCode="#,##0.0_);\(#,##0.0\);&quot;-  &quot;;&quot; &quot;@&quot; &quot;"/>
    <numFmt numFmtId="174" formatCode="0.000"/>
    <numFmt numFmtId="175" formatCode="0.00%_);\-0.00%_);&quot;-  &quot;;&quot; &quot;@&quot; &quot;"/>
    <numFmt numFmtId="176" formatCode="dd\ mmm\ yyyy_);\(###0\);&quot;-  &quot;;&quot; &quot;@&quot; &quot;"/>
    <numFmt numFmtId="177" formatCode="dd\ mmm\ yy_);\(###0\);&quot;-  &quot;;&quot; &quot;@&quot; &quot;"/>
    <numFmt numFmtId="178" formatCode="###0_);\(###0\);&quot;-  &quot;;&quot; &quot;@&quot; &quot;"/>
    <numFmt numFmtId="179" formatCode="#,##0.00_);\(#,##0.00\);&quot;-  &quot;;&quot; &quot;@&quot; &quot;"/>
  </numFmts>
  <fonts count="7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Franklin Gothic Demi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b/>
      <sz val="10"/>
      <color indexed="10"/>
      <name val="Arial"/>
      <family val="2"/>
    </font>
    <font>
      <i/>
      <sz val="10"/>
      <color rgb="FF00B050"/>
      <name val="Arial"/>
      <family val="2"/>
    </font>
    <font>
      <u/>
      <sz val="10"/>
      <color indexed="10"/>
      <name val="Arial"/>
      <family val="2"/>
    </font>
    <font>
      <i/>
      <sz val="10"/>
      <color indexed="10"/>
      <name val="Arial"/>
      <family val="2"/>
    </font>
    <font>
      <u/>
      <sz val="10"/>
      <color rgb="FF0000FF"/>
      <name val="Arial"/>
      <family val="2"/>
    </font>
    <font>
      <u/>
      <sz val="10"/>
      <color indexed="53"/>
      <name val="Arial"/>
      <family val="2"/>
    </font>
    <font>
      <sz val="10"/>
      <color indexed="53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22"/>
      <color theme="0"/>
      <name val="Franklin Gothic Demi"/>
      <family val="2"/>
      <scheme val="major"/>
    </font>
    <font>
      <sz val="22"/>
      <name val="Franklin Gothic Demi"/>
      <family val="2"/>
      <scheme val="major"/>
    </font>
    <font>
      <sz val="10"/>
      <color rgb="FF0078C9"/>
      <name val="Arial"/>
      <family val="2"/>
      <scheme val="minor"/>
    </font>
    <font>
      <sz val="10"/>
      <name val="Arial"/>
      <family val="2"/>
      <scheme val="minor"/>
    </font>
    <font>
      <i/>
      <sz val="10"/>
      <color theme="1"/>
      <name val="Arial"/>
      <family val="2"/>
    </font>
    <font>
      <sz val="22"/>
      <color theme="1"/>
      <name val="Franklin Gothic Demi"/>
      <family val="2"/>
    </font>
    <font>
      <sz val="22"/>
      <color theme="0"/>
      <name val="Franklin Gothic Demi"/>
      <family val="2"/>
    </font>
    <font>
      <u/>
      <sz val="22"/>
      <name val="Franklin Gothic Demi"/>
      <family val="2"/>
    </font>
    <font>
      <sz val="22"/>
      <name val="Franklin Gothic Demi"/>
      <family val="2"/>
    </font>
    <font>
      <u/>
      <sz val="10"/>
      <color rgb="FFFF0000"/>
      <name val="Arial"/>
      <family val="2"/>
    </font>
    <font>
      <b/>
      <u/>
      <sz val="10"/>
      <color rgb="FF0000FF"/>
      <name val="Arial"/>
      <family val="2"/>
    </font>
    <font>
      <i/>
      <sz val="22"/>
      <color rgb="FF00B050"/>
      <name val="Franklin Gothic Demi"/>
      <family val="2"/>
      <scheme val="major"/>
    </font>
    <font>
      <sz val="22"/>
      <color theme="1"/>
      <name val="Franklin Gothic Demi"/>
      <family val="2"/>
      <scheme val="major"/>
    </font>
    <font>
      <u/>
      <sz val="22"/>
      <name val="Franklin Gothic Demi"/>
      <family val="2"/>
      <scheme val="major"/>
    </font>
    <font>
      <b/>
      <u/>
      <sz val="10"/>
      <color rgb="FFFF0000"/>
      <name val="Arial"/>
      <family val="2"/>
    </font>
    <font>
      <b/>
      <u/>
      <sz val="22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24"/>
      <color theme="0"/>
      <name val="Franklin Gothic Demi"/>
      <family val="2"/>
    </font>
    <font>
      <sz val="12"/>
      <color theme="0"/>
      <name val="Franklin Gothic Demi"/>
      <family val="2"/>
    </font>
    <font>
      <u/>
      <sz val="10"/>
      <color theme="10"/>
      <name val="Arial"/>
      <family val="2"/>
    </font>
    <font>
      <b/>
      <u/>
      <sz val="10"/>
      <color theme="0"/>
      <name val="Arial"/>
      <family val="2"/>
    </font>
    <font>
      <sz val="11"/>
      <color theme="1"/>
      <name val="Franklin Gothic Demi"/>
      <family val="2"/>
    </font>
    <font>
      <sz val="10"/>
      <color theme="0"/>
      <name val="Franklin Gothic Demi"/>
      <family val="2"/>
    </font>
    <font>
      <sz val="10"/>
      <color theme="1"/>
      <name val="Franklin Gothic Demi"/>
      <family val="2"/>
    </font>
    <font>
      <sz val="10"/>
      <color rgb="FF0078C9"/>
      <name val="Arial"/>
      <family val="2"/>
    </font>
    <font>
      <sz val="10"/>
      <color rgb="FFFE4819"/>
      <name val="Arial"/>
      <family val="2"/>
    </font>
    <font>
      <sz val="10"/>
      <color rgb="FF719500"/>
      <name val="Arial"/>
      <family val="2"/>
    </font>
    <font>
      <sz val="10"/>
      <color rgb="FF0078C9"/>
      <name val="Franklin Gothic Demi"/>
      <family val="2"/>
    </font>
    <font>
      <b/>
      <sz val="20"/>
      <color theme="0"/>
      <name val="Arial"/>
      <family val="2"/>
    </font>
    <font>
      <sz val="20"/>
      <color theme="1"/>
      <name val="Arial"/>
      <family val="2"/>
    </font>
    <font>
      <sz val="10"/>
      <color theme="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0EEE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7FBB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5B0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573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/>
      <right/>
      <top style="thin">
        <color rgb="FF857362"/>
      </top>
      <bottom/>
      <diagonal/>
    </border>
    <border>
      <left/>
      <right style="thin">
        <color rgb="FF857362"/>
      </right>
      <top style="thin">
        <color rgb="FF857362"/>
      </top>
      <bottom/>
      <diagonal/>
    </border>
    <border>
      <left/>
      <right style="thin">
        <color rgb="FF857362"/>
      </right>
      <top/>
      <bottom/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164" fontId="0" fillId="0" borderId="0" applyFont="0" applyFill="0" applyBorder="0" applyProtection="0">
      <alignment vertical="top"/>
    </xf>
    <xf numFmtId="43" fontId="1" fillId="0" borderId="0" applyFont="0" applyFill="0" applyBorder="0" applyAlignment="0" applyProtection="0"/>
    <xf numFmtId="175" fontId="1" fillId="0" borderId="0" applyFont="0" applyFill="0" applyBorder="0" applyProtection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3" fillId="45" borderId="0" applyNumberFormat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165" fontId="1" fillId="42" borderId="0" applyNumberFormat="0" applyFont="0" applyBorder="0" applyAlignment="0" applyProtection="0"/>
    <xf numFmtId="0" fontId="1" fillId="43" borderId="0" applyNumberFormat="0" applyFont="0" applyBorder="0" applyAlignment="0" applyProtection="0"/>
    <xf numFmtId="166" fontId="24" fillId="0" borderId="0" applyNumberFormat="0" applyProtection="0">
      <alignment vertical="top"/>
    </xf>
    <xf numFmtId="166" fontId="25" fillId="0" borderId="0" applyNumberFormat="0" applyProtection="0">
      <alignment vertical="top"/>
    </xf>
    <xf numFmtId="166" fontId="18" fillId="44" borderId="0" applyNumberFormat="0" applyProtection="0">
      <alignment vertical="top"/>
    </xf>
    <xf numFmtId="9" fontId="1" fillId="0" borderId="0" applyFont="0" applyFill="0" applyBorder="0" applyAlignment="0" applyProtection="0"/>
    <xf numFmtId="0" fontId="29" fillId="0" borderId="0" applyNumberFormat="0" applyFill="0" applyBorder="0" applyProtection="0">
      <alignment vertical="top"/>
    </xf>
    <xf numFmtId="176" fontId="18" fillId="0" borderId="0" applyFont="0" applyFill="0" applyBorder="0" applyProtection="0">
      <alignment vertical="top"/>
    </xf>
    <xf numFmtId="177" fontId="18" fillId="0" borderId="0" applyFont="0" applyFill="0" applyBorder="0" applyProtection="0">
      <alignment vertical="top"/>
    </xf>
    <xf numFmtId="169" fontId="18" fillId="0" borderId="0" applyFont="0" applyFill="0" applyBorder="0" applyProtection="0">
      <alignment vertical="top"/>
    </xf>
    <xf numFmtId="0" fontId="19" fillId="0" borderId="0"/>
    <xf numFmtId="0" fontId="20" fillId="0" borderId="0"/>
    <xf numFmtId="0" fontId="21" fillId="0" borderId="0"/>
    <xf numFmtId="168" fontId="22" fillId="0" borderId="0" applyNumberFormat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horizontal="right" vertical="top"/>
    </xf>
    <xf numFmtId="0" fontId="35" fillId="0" borderId="0"/>
    <xf numFmtId="0" fontId="1" fillId="0" borderId="0"/>
    <xf numFmtId="0" fontId="56" fillId="0" borderId="0" applyNumberFormat="0" applyFill="0" applyBorder="0" applyAlignment="0" applyProtection="0"/>
    <xf numFmtId="178" fontId="57" fillId="0" borderId="0" applyFont="0" applyFill="0" applyBorder="0" applyProtection="0">
      <alignment vertical="top"/>
    </xf>
    <xf numFmtId="0" fontId="59" fillId="54" borderId="0" applyNumberFormat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Alignment="0" applyProtection="0"/>
    <xf numFmtId="0" fontId="64" fillId="55" borderId="0" applyNumberFormat="0" applyBorder="0" applyAlignment="0" applyProtection="0"/>
    <xf numFmtId="0" fontId="64" fillId="54" borderId="0" applyNumberFormat="0" applyAlignment="0" applyProtection="0"/>
    <xf numFmtId="0" fontId="67" fillId="0" borderId="0" applyNumberFormat="0" applyBorder="0" applyAlignment="0" applyProtection="0"/>
    <xf numFmtId="0" fontId="1" fillId="46" borderId="0" applyNumberFormat="0" applyBorder="0" applyAlignment="0" applyProtection="0"/>
    <xf numFmtId="0" fontId="66" fillId="46" borderId="0" applyNumberFormat="0" applyBorder="0" applyAlignment="0" applyProtection="0"/>
    <xf numFmtId="0" fontId="1" fillId="56" borderId="0" applyNumberFormat="0" applyBorder="0" applyAlignment="0" applyProtection="0"/>
    <xf numFmtId="0" fontId="1" fillId="46" borderId="0" applyNumberFormat="0" applyFont="0" applyBorder="0" applyAlignment="0" applyProtection="0"/>
    <xf numFmtId="0" fontId="69" fillId="50" borderId="0" applyNumberFormat="0" applyAlignment="0" applyProtection="0"/>
    <xf numFmtId="0" fontId="1" fillId="57" borderId="0" applyNumberFormat="0" applyBorder="0" applyAlignment="0" applyProtection="0"/>
    <xf numFmtId="164" fontId="1" fillId="0" borderId="0" applyFont="0" applyFill="0" applyBorder="0" applyProtection="0">
      <alignment vertical="top"/>
    </xf>
    <xf numFmtId="0" fontId="59" fillId="54" borderId="0" applyNumberFormat="0" applyBorder="0" applyAlignment="0" applyProtection="0"/>
    <xf numFmtId="0" fontId="63" fillId="0" borderId="0" applyNumberFormat="0" applyFill="0" applyAlignment="0" applyProtection="0"/>
    <xf numFmtId="0" fontId="65" fillId="0" borderId="0" applyNumberFormat="0" applyFill="0" applyAlignment="0" applyProtection="0"/>
    <xf numFmtId="0" fontId="66" fillId="0" borderId="0" applyNumberFormat="0" applyBorder="0" applyAlignment="0" applyProtection="0"/>
    <xf numFmtId="0" fontId="1" fillId="0" borderId="0" applyNumberFormat="0" applyBorder="0" applyAlignment="0" applyProtection="0"/>
    <xf numFmtId="0" fontId="68" fillId="0" borderId="0" applyNumberFormat="0" applyBorder="0" applyAlignment="0" applyProtection="0"/>
    <xf numFmtId="0" fontId="1" fillId="47" borderId="0" applyNumberFormat="0" applyAlignment="0" applyProtection="0"/>
  </cellStyleXfs>
  <cellXfs count="350">
    <xf numFmtId="164" fontId="0" fillId="0" borderId="0" xfId="0">
      <alignment vertical="top"/>
    </xf>
    <xf numFmtId="177" fontId="18" fillId="0" borderId="0" xfId="61" applyFont="1" applyBorder="1" applyAlignment="1">
      <alignment vertical="top"/>
    </xf>
    <xf numFmtId="0" fontId="22" fillId="46" borderId="0" xfId="66" applyNumberFormat="1" applyFill="1">
      <alignment vertical="top"/>
    </xf>
    <xf numFmtId="164" fontId="18" fillId="46" borderId="0" xfId="0" applyFont="1" applyFill="1" applyAlignment="1">
      <alignment vertical="top"/>
    </xf>
    <xf numFmtId="164" fontId="1" fillId="49" borderId="0" xfId="0" applyFont="1" applyFill="1" applyAlignment="1">
      <alignment vertical="center"/>
    </xf>
    <xf numFmtId="164" fontId="16" fillId="49" borderId="0" xfId="0" applyFont="1" applyFill="1" applyAlignment="1">
      <alignment vertical="center"/>
    </xf>
    <xf numFmtId="164" fontId="1" fillId="49" borderId="0" xfId="0" applyFont="1" applyFill="1">
      <alignment vertical="top"/>
    </xf>
    <xf numFmtId="164" fontId="41" fillId="46" borderId="10" xfId="0" applyFont="1" applyFill="1" applyBorder="1" applyAlignment="1">
      <alignment horizontal="left" vertical="center" wrapText="1"/>
    </xf>
    <xf numFmtId="164" fontId="42" fillId="52" borderId="10" xfId="0" applyFont="1" applyFill="1" applyBorder="1" applyAlignment="1">
      <alignment horizontal="left" vertical="center" wrapText="1"/>
    </xf>
    <xf numFmtId="164" fontId="18" fillId="49" borderId="0" xfId="0" applyFont="1" applyFill="1" applyAlignment="1">
      <alignment horizontal="left" vertical="center"/>
    </xf>
    <xf numFmtId="43" fontId="18" fillId="49" borderId="0" xfId="1" applyFont="1" applyFill="1" applyAlignment="1">
      <alignment vertical="top"/>
    </xf>
    <xf numFmtId="175" fontId="1" fillId="51" borderId="0" xfId="2" applyFont="1" applyFill="1">
      <alignment vertical="top"/>
    </xf>
    <xf numFmtId="168" fontId="22" fillId="49" borderId="0" xfId="66" applyFont="1" applyFill="1" applyBorder="1">
      <alignment vertical="top"/>
    </xf>
    <xf numFmtId="168" fontId="23" fillId="49" borderId="0" xfId="67" applyNumberFormat="1" applyFont="1" applyFill="1" applyBorder="1">
      <alignment vertical="top"/>
    </xf>
    <xf numFmtId="168" fontId="29" fillId="49" borderId="0" xfId="67" applyNumberFormat="1" applyFont="1" applyFill="1" applyBorder="1">
      <alignment vertical="top"/>
    </xf>
    <xf numFmtId="168" fontId="18" fillId="49" borderId="0" xfId="68" applyNumberFormat="1" applyFont="1" applyFill="1" applyBorder="1">
      <alignment horizontal="right" vertical="top"/>
    </xf>
    <xf numFmtId="43" fontId="18" fillId="49" borderId="0" xfId="1" applyFont="1" applyFill="1" applyBorder="1" applyAlignment="1">
      <alignment vertical="top"/>
    </xf>
    <xf numFmtId="177" fontId="18" fillId="49" borderId="0" xfId="61" applyFont="1" applyFill="1" applyBorder="1" applyAlignment="1">
      <alignment vertical="top"/>
    </xf>
    <xf numFmtId="177" fontId="22" fillId="49" borderId="0" xfId="61" applyFont="1" applyFill="1" applyBorder="1" applyAlignment="1">
      <alignment vertical="top"/>
    </xf>
    <xf numFmtId="0" fontId="22" fillId="49" borderId="0" xfId="66" applyNumberFormat="1" applyFont="1" applyFill="1" applyBorder="1">
      <alignment vertical="top"/>
    </xf>
    <xf numFmtId="0" fontId="23" fillId="49" borderId="0" xfId="67" applyFont="1" applyFill="1" applyBorder="1">
      <alignment vertical="top"/>
    </xf>
    <xf numFmtId="0" fontId="29" fillId="49" borderId="0" xfId="67" applyFont="1" applyFill="1" applyBorder="1">
      <alignment vertical="top"/>
    </xf>
    <xf numFmtId="0" fontId="18" fillId="49" borderId="0" xfId="68" applyFont="1" applyFill="1" applyBorder="1">
      <alignment horizontal="right" vertical="top"/>
    </xf>
    <xf numFmtId="164" fontId="22" fillId="49" borderId="0" xfId="0" applyFont="1" applyFill="1" applyBorder="1" applyAlignment="1">
      <alignment vertical="top"/>
    </xf>
    <xf numFmtId="0" fontId="22" fillId="49" borderId="0" xfId="66" applyNumberFormat="1" applyFont="1" applyFill="1">
      <alignment vertical="top"/>
    </xf>
    <xf numFmtId="0" fontId="23" fillId="49" borderId="0" xfId="67" applyFont="1" applyFill="1">
      <alignment vertical="top"/>
    </xf>
    <xf numFmtId="0" fontId="29" fillId="49" borderId="0" xfId="67" applyFont="1" applyFill="1">
      <alignment vertical="top"/>
    </xf>
    <xf numFmtId="0" fontId="18" fillId="49" borderId="0" xfId="68" applyFont="1" applyFill="1">
      <alignment horizontal="right" vertical="top"/>
    </xf>
    <xf numFmtId="170" fontId="18" fillId="49" borderId="0" xfId="0" applyNumberFormat="1" applyFont="1" applyFill="1" applyBorder="1" applyAlignment="1">
      <alignment vertical="top"/>
    </xf>
    <xf numFmtId="170" fontId="22" fillId="49" borderId="0" xfId="66" applyNumberFormat="1" applyFont="1" applyFill="1" applyBorder="1">
      <alignment vertical="top"/>
    </xf>
    <xf numFmtId="170" fontId="23" fillId="49" borderId="0" xfId="67" applyNumberFormat="1" applyFont="1" applyFill="1" applyBorder="1">
      <alignment vertical="top"/>
    </xf>
    <xf numFmtId="170" fontId="29" fillId="49" borderId="0" xfId="67" applyNumberFormat="1" applyFont="1" applyFill="1" applyBorder="1">
      <alignment vertical="top"/>
    </xf>
    <xf numFmtId="170" fontId="18" fillId="49" borderId="0" xfId="68" applyNumberFormat="1" applyFont="1" applyFill="1" applyBorder="1">
      <alignment horizontal="right" vertical="top"/>
    </xf>
    <xf numFmtId="170" fontId="22" fillId="49" borderId="0" xfId="0" applyNumberFormat="1" applyFont="1" applyFill="1" applyBorder="1" applyAlignment="1">
      <alignment vertical="top"/>
    </xf>
    <xf numFmtId="164" fontId="18" fillId="49" borderId="0" xfId="0" applyFont="1" applyFill="1" applyAlignment="1">
      <alignment vertical="top"/>
    </xf>
    <xf numFmtId="43" fontId="1" fillId="49" borderId="0" xfId="1" applyFont="1" applyFill="1" applyBorder="1" applyAlignment="1">
      <alignment vertical="top"/>
    </xf>
    <xf numFmtId="164" fontId="1" fillId="49" borderId="0" xfId="0" applyFont="1" applyFill="1" applyBorder="1" applyAlignment="1">
      <alignment vertical="top"/>
    </xf>
    <xf numFmtId="164" fontId="24" fillId="49" borderId="0" xfId="0" applyFont="1" applyFill="1" applyBorder="1" applyAlignment="1">
      <alignment vertical="top"/>
    </xf>
    <xf numFmtId="173" fontId="22" fillId="49" borderId="0" xfId="66" applyNumberFormat="1" applyFont="1" applyFill="1">
      <alignment vertical="top"/>
    </xf>
    <xf numFmtId="173" fontId="23" fillId="49" borderId="0" xfId="67" applyNumberFormat="1" applyFont="1" applyFill="1">
      <alignment vertical="top"/>
    </xf>
    <xf numFmtId="173" fontId="29" fillId="49" borderId="0" xfId="67" applyNumberFormat="1" applyFont="1" applyFill="1">
      <alignment vertical="top"/>
    </xf>
    <xf numFmtId="173" fontId="18" fillId="49" borderId="0" xfId="68" applyNumberFormat="1" applyFont="1" applyFill="1">
      <alignment horizontal="right" vertical="top"/>
    </xf>
    <xf numFmtId="173" fontId="18" fillId="49" borderId="0" xfId="62" applyNumberFormat="1" applyFont="1" applyFill="1" applyAlignment="1">
      <alignment vertical="top"/>
    </xf>
    <xf numFmtId="172" fontId="22" fillId="49" borderId="0" xfId="66" applyNumberFormat="1" applyFont="1" applyFill="1">
      <alignment vertical="top"/>
    </xf>
    <xf numFmtId="172" fontId="23" fillId="49" borderId="0" xfId="67" applyNumberFormat="1" applyFont="1" applyFill="1">
      <alignment vertical="top"/>
    </xf>
    <xf numFmtId="172" fontId="29" fillId="49" borderId="0" xfId="67" applyNumberFormat="1" applyFont="1" applyFill="1">
      <alignment vertical="top"/>
    </xf>
    <xf numFmtId="172" fontId="18" fillId="49" borderId="0" xfId="68" applyNumberFormat="1" applyFont="1" applyFill="1">
      <alignment horizontal="right" vertical="top"/>
    </xf>
    <xf numFmtId="172" fontId="18" fillId="49" borderId="0" xfId="0" applyNumberFormat="1" applyFont="1" applyFill="1" applyAlignment="1">
      <alignment vertical="top"/>
    </xf>
    <xf numFmtId="167" fontId="22" fillId="49" borderId="0" xfId="66" applyNumberFormat="1" applyFont="1" applyFill="1">
      <alignment vertical="top"/>
    </xf>
    <xf numFmtId="167" fontId="23" fillId="49" borderId="0" xfId="67" applyNumberFormat="1" applyFont="1" applyFill="1">
      <alignment vertical="top"/>
    </xf>
    <xf numFmtId="167" fontId="29" fillId="49" borderId="0" xfId="67" applyNumberFormat="1" applyFont="1" applyFill="1">
      <alignment vertical="top"/>
    </xf>
    <xf numFmtId="167" fontId="18" fillId="49" borderId="0" xfId="68" applyNumberFormat="1" applyFont="1" applyFill="1">
      <alignment horizontal="right" vertical="top"/>
    </xf>
    <xf numFmtId="43" fontId="24" fillId="49" borderId="0" xfId="1" applyFont="1" applyFill="1" applyAlignment="1">
      <alignment vertical="top"/>
    </xf>
    <xf numFmtId="176" fontId="24" fillId="49" borderId="0" xfId="60" applyFont="1" applyFill="1" applyAlignment="1">
      <alignment vertical="top"/>
    </xf>
    <xf numFmtId="176" fontId="18" fillId="49" borderId="0" xfId="60" applyFont="1" applyFill="1" applyAlignment="1">
      <alignment vertical="top"/>
    </xf>
    <xf numFmtId="168" fontId="22" fillId="49" borderId="0" xfId="66" applyFont="1" applyFill="1">
      <alignment vertical="top"/>
    </xf>
    <xf numFmtId="168" fontId="23" fillId="49" borderId="0" xfId="67" applyNumberFormat="1" applyFont="1" applyFill="1">
      <alignment vertical="top"/>
    </xf>
    <xf numFmtId="168" fontId="29" fillId="49" borderId="0" xfId="67" applyNumberFormat="1" applyFont="1" applyFill="1">
      <alignment vertical="top"/>
    </xf>
    <xf numFmtId="168" fontId="18" fillId="49" borderId="0" xfId="68" applyNumberFormat="1" applyFont="1" applyFill="1">
      <alignment horizontal="right" vertical="top"/>
    </xf>
    <xf numFmtId="177" fontId="18" fillId="49" borderId="0" xfId="61" applyFont="1" applyFill="1" applyAlignment="1">
      <alignment vertical="top"/>
    </xf>
    <xf numFmtId="43" fontId="14" fillId="49" borderId="0" xfId="1" applyFont="1" applyFill="1" applyAlignment="1">
      <alignment vertical="top"/>
    </xf>
    <xf numFmtId="164" fontId="14" fillId="49" borderId="0" xfId="0" applyFont="1" applyFill="1" applyAlignment="1">
      <alignment vertical="top"/>
    </xf>
    <xf numFmtId="177" fontId="14" fillId="49" borderId="0" xfId="61" applyFont="1" applyFill="1" applyAlignment="1">
      <alignment vertical="top"/>
    </xf>
    <xf numFmtId="171" fontId="22" fillId="49" borderId="0" xfId="66" applyNumberFormat="1" applyFont="1" applyFill="1">
      <alignment vertical="top"/>
    </xf>
    <xf numFmtId="171" fontId="23" fillId="49" borderId="0" xfId="67" applyNumberFormat="1" applyFont="1" applyFill="1">
      <alignment vertical="top"/>
    </xf>
    <xf numFmtId="171" fontId="29" fillId="49" borderId="0" xfId="67" applyNumberFormat="1" applyFont="1" applyFill="1">
      <alignment vertical="top"/>
    </xf>
    <xf numFmtId="171" fontId="18" fillId="49" borderId="0" xfId="68" applyNumberFormat="1" applyFont="1" applyFill="1">
      <alignment horizontal="right" vertical="top"/>
    </xf>
    <xf numFmtId="171" fontId="18" fillId="49" borderId="0" xfId="0" applyNumberFormat="1" applyFont="1" applyFill="1" applyAlignment="1">
      <alignment vertical="top"/>
    </xf>
    <xf numFmtId="170" fontId="18" fillId="49" borderId="0" xfId="0" applyNumberFormat="1" applyFont="1" applyFill="1" applyAlignment="1">
      <alignment vertical="top"/>
    </xf>
    <xf numFmtId="43" fontId="1" fillId="49" borderId="0" xfId="1" applyFont="1" applyFill="1" applyAlignment="1">
      <alignment vertical="top"/>
    </xf>
    <xf numFmtId="177" fontId="1" fillId="49" borderId="0" xfId="61" applyFont="1" applyFill="1" applyAlignment="1">
      <alignment vertical="top"/>
    </xf>
    <xf numFmtId="43" fontId="25" fillId="49" borderId="0" xfId="1" applyFont="1" applyFill="1" applyAlignment="1">
      <alignment vertical="top"/>
    </xf>
    <xf numFmtId="164" fontId="25" fillId="49" borderId="0" xfId="0" applyFont="1" applyFill="1" applyAlignment="1">
      <alignment vertical="top"/>
    </xf>
    <xf numFmtId="0" fontId="28" fillId="49" borderId="0" xfId="66" applyNumberFormat="1" applyFont="1" applyFill="1">
      <alignment vertical="top"/>
    </xf>
    <xf numFmtId="0" fontId="30" fillId="49" borderId="0" xfId="67" applyFont="1" applyFill="1">
      <alignment vertical="top"/>
    </xf>
    <xf numFmtId="0" fontId="31" fillId="49" borderId="0" xfId="67" applyFont="1" applyFill="1">
      <alignment vertical="top"/>
    </xf>
    <xf numFmtId="0" fontId="25" fillId="49" borderId="0" xfId="68" applyFont="1" applyFill="1">
      <alignment horizontal="right" vertical="top"/>
    </xf>
    <xf numFmtId="164" fontId="18" fillId="49" borderId="0" xfId="0" applyNumberFormat="1" applyFont="1" applyFill="1" applyAlignment="1">
      <alignment horizontal="right" vertical="top"/>
    </xf>
    <xf numFmtId="164" fontId="22" fillId="49" borderId="0" xfId="66" applyNumberFormat="1" applyFont="1" applyFill="1">
      <alignment vertical="top"/>
    </xf>
    <xf numFmtId="0" fontId="24" fillId="49" borderId="0" xfId="55" applyNumberFormat="1" applyFill="1">
      <alignment vertical="top"/>
    </xf>
    <xf numFmtId="43" fontId="24" fillId="49" borderId="0" xfId="0" applyNumberFormat="1" applyFont="1" applyFill="1" applyAlignment="1">
      <alignment vertical="top"/>
    </xf>
    <xf numFmtId="0" fontId="22" fillId="49" borderId="0" xfId="66" applyNumberFormat="1" applyFill="1">
      <alignment vertical="top"/>
    </xf>
    <xf numFmtId="0" fontId="23" fillId="49" borderId="0" xfId="67" applyFill="1">
      <alignment vertical="top"/>
    </xf>
    <xf numFmtId="0" fontId="18" fillId="49" borderId="0" xfId="68" applyFill="1">
      <alignment horizontal="right" vertical="top"/>
    </xf>
    <xf numFmtId="0" fontId="22" fillId="46" borderId="0" xfId="66" applyNumberFormat="1" applyFont="1" applyFill="1" applyAlignment="1">
      <alignment horizontal="left" vertical="center"/>
    </xf>
    <xf numFmtId="0" fontId="23" fillId="46" borderId="0" xfId="67" applyFont="1" applyFill="1" applyAlignment="1">
      <alignment horizontal="left" vertical="center"/>
    </xf>
    <xf numFmtId="0" fontId="18" fillId="46" borderId="0" xfId="68" applyFont="1" applyFill="1" applyAlignment="1">
      <alignment horizontal="left" vertical="center"/>
    </xf>
    <xf numFmtId="0" fontId="18" fillId="46" borderId="0" xfId="0" applyNumberFormat="1" applyFont="1" applyFill="1" applyAlignment="1">
      <alignment horizontal="left" vertical="center"/>
    </xf>
    <xf numFmtId="164" fontId="18" fillId="46" borderId="0" xfId="0" applyFont="1" applyFill="1" applyAlignment="1">
      <alignment horizontal="left" vertical="center"/>
    </xf>
    <xf numFmtId="174" fontId="18" fillId="46" borderId="0" xfId="0" applyNumberFormat="1" applyFont="1" applyFill="1" applyAlignment="1">
      <alignment horizontal="left" vertical="center"/>
    </xf>
    <xf numFmtId="175" fontId="1" fillId="47" borderId="0" xfId="2" applyFont="1" applyFill="1">
      <alignment vertical="top"/>
    </xf>
    <xf numFmtId="0" fontId="27" fillId="49" borderId="0" xfId="0" applyNumberFormat="1" applyFont="1" applyFill="1" applyAlignment="1">
      <alignment vertical="top"/>
    </xf>
    <xf numFmtId="164" fontId="45" fillId="48" borderId="0" xfId="0" applyNumberFormat="1" applyFont="1" applyFill="1" applyAlignment="1">
      <alignment horizontal="right" vertical="center"/>
    </xf>
    <xf numFmtId="0" fontId="47" fillId="48" borderId="0" xfId="68" applyFont="1" applyFill="1" applyAlignment="1">
      <alignment horizontal="left" vertical="center"/>
    </xf>
    <xf numFmtId="164" fontId="1" fillId="49" borderId="0" xfId="0" applyFont="1" applyFill="1" applyAlignment="1">
      <alignment horizontal="left" vertical="center"/>
    </xf>
    <xf numFmtId="164" fontId="16" fillId="49" borderId="0" xfId="0" applyFont="1" applyFill="1" applyAlignment="1">
      <alignment horizontal="left" vertical="center"/>
    </xf>
    <xf numFmtId="0" fontId="18" fillId="46" borderId="0" xfId="0" applyNumberFormat="1" applyFont="1" applyFill="1" applyAlignment="1">
      <alignment horizontal="right" vertical="center"/>
    </xf>
    <xf numFmtId="164" fontId="18" fillId="46" borderId="0" xfId="0" applyFont="1" applyFill="1" applyAlignment="1">
      <alignment horizontal="right" vertical="center"/>
    </xf>
    <xf numFmtId="0" fontId="18" fillId="49" borderId="0" xfId="66" applyNumberFormat="1" applyFont="1" applyFill="1" applyAlignment="1">
      <alignment vertical="center"/>
    </xf>
    <xf numFmtId="0" fontId="18" fillId="49" borderId="0" xfId="0" applyNumberFormat="1" applyFont="1" applyFill="1" applyAlignment="1">
      <alignment vertical="center"/>
    </xf>
    <xf numFmtId="0" fontId="18" fillId="49" borderId="0" xfId="0" applyNumberFormat="1" applyFont="1" applyFill="1" applyAlignment="1">
      <alignment horizontal="right" vertical="center"/>
    </xf>
    <xf numFmtId="164" fontId="18" fillId="49" borderId="0" xfId="0" applyFont="1" applyFill="1" applyAlignment="1">
      <alignment vertical="center"/>
    </xf>
    <xf numFmtId="174" fontId="18" fillId="49" borderId="0" xfId="0" applyNumberFormat="1" applyFont="1" applyFill="1" applyAlignment="1">
      <alignment vertical="center"/>
    </xf>
    <xf numFmtId="164" fontId="27" fillId="49" borderId="0" xfId="0" applyFont="1" applyFill="1" applyAlignment="1">
      <alignment vertical="center"/>
    </xf>
    <xf numFmtId="174" fontId="27" fillId="49" borderId="0" xfId="0" applyNumberFormat="1" applyFont="1" applyFill="1" applyAlignment="1">
      <alignment horizontal="right" vertical="center"/>
    </xf>
    <xf numFmtId="174" fontId="27" fillId="49" borderId="0" xfId="0" applyNumberFormat="1" applyFont="1" applyFill="1" applyAlignment="1">
      <alignment vertical="center"/>
    </xf>
    <xf numFmtId="164" fontId="14" fillId="49" borderId="0" xfId="0" applyFont="1" applyFill="1" applyAlignment="1">
      <alignment vertical="center"/>
    </xf>
    <xf numFmtId="0" fontId="27" fillId="49" borderId="0" xfId="0" applyNumberFormat="1" applyFont="1" applyFill="1" applyAlignment="1">
      <alignment vertical="center"/>
    </xf>
    <xf numFmtId="0" fontId="44" fillId="49" borderId="0" xfId="0" applyNumberFormat="1" applyFont="1" applyFill="1" applyAlignment="1">
      <alignment horizontal="left" vertical="center"/>
    </xf>
    <xf numFmtId="164" fontId="44" fillId="49" borderId="0" xfId="0" applyFont="1" applyFill="1" applyAlignment="1">
      <alignment horizontal="left" vertical="center"/>
    </xf>
    <xf numFmtId="174" fontId="44" fillId="49" borderId="0" xfId="0" applyNumberFormat="1" applyFont="1" applyFill="1" applyAlignment="1">
      <alignment horizontal="left" vertical="center"/>
    </xf>
    <xf numFmtId="174" fontId="1" fillId="49" borderId="0" xfId="0" applyNumberFormat="1" applyFont="1" applyFill="1" applyAlignment="1">
      <alignment vertical="center"/>
    </xf>
    <xf numFmtId="10" fontId="27" fillId="49" borderId="0" xfId="0" applyNumberFormat="1" applyFont="1" applyFill="1" applyAlignment="1">
      <alignment vertical="center"/>
    </xf>
    <xf numFmtId="0" fontId="27" fillId="49" borderId="0" xfId="1" applyNumberFormat="1" applyFont="1" applyFill="1" applyAlignment="1">
      <alignment vertical="top"/>
    </xf>
    <xf numFmtId="164" fontId="27" fillId="49" borderId="0" xfId="0" applyFont="1" applyFill="1" applyAlignment="1">
      <alignment vertical="top"/>
    </xf>
    <xf numFmtId="174" fontId="14" fillId="49" borderId="0" xfId="0" applyNumberFormat="1" applyFont="1" applyFill="1" applyAlignment="1">
      <alignment vertical="center"/>
    </xf>
    <xf numFmtId="175" fontId="1" fillId="49" borderId="0" xfId="2" applyFont="1" applyFill="1">
      <alignment vertical="top"/>
    </xf>
    <xf numFmtId="0" fontId="18" fillId="49" borderId="0" xfId="0" applyNumberFormat="1" applyFont="1" applyFill="1" applyAlignment="1">
      <alignment vertical="top"/>
    </xf>
    <xf numFmtId="0" fontId="26" fillId="46" borderId="0" xfId="67" applyFont="1" applyFill="1">
      <alignment vertical="top"/>
    </xf>
    <xf numFmtId="174" fontId="18" fillId="49" borderId="0" xfId="1" applyNumberFormat="1" applyFont="1" applyFill="1" applyAlignment="1">
      <alignment vertical="top"/>
    </xf>
    <xf numFmtId="174" fontId="18" fillId="49" borderId="0" xfId="1" applyNumberFormat="1" applyFont="1" applyFill="1" applyBorder="1" applyAlignment="1">
      <alignment vertical="top"/>
    </xf>
    <xf numFmtId="0" fontId="18" fillId="49" borderId="0" xfId="1" applyNumberFormat="1" applyFont="1" applyFill="1" applyAlignment="1">
      <alignment vertical="top"/>
    </xf>
    <xf numFmtId="0" fontId="32" fillId="49" borderId="0" xfId="67" applyNumberFormat="1" applyFont="1" applyFill="1">
      <alignment vertical="top"/>
    </xf>
    <xf numFmtId="0" fontId="49" fillId="49" borderId="0" xfId="67" applyNumberFormat="1" applyFont="1" applyFill="1">
      <alignment vertical="top"/>
    </xf>
    <xf numFmtId="0" fontId="27" fillId="49" borderId="0" xfId="68" applyNumberFormat="1" applyFont="1" applyFill="1">
      <alignment horizontal="right" vertical="top"/>
    </xf>
    <xf numFmtId="175" fontId="18" fillId="49" borderId="0" xfId="2" applyFont="1" applyFill="1" applyAlignment="1">
      <alignment vertical="top"/>
    </xf>
    <xf numFmtId="0" fontId="23" fillId="49" borderId="0" xfId="67" applyNumberFormat="1" applyFill="1">
      <alignment vertical="top"/>
    </xf>
    <xf numFmtId="0" fontId="26" fillId="49" borderId="0" xfId="67" applyNumberFormat="1" applyFont="1" applyFill="1">
      <alignment vertical="top"/>
    </xf>
    <xf numFmtId="0" fontId="18" fillId="49" borderId="0" xfId="68" applyNumberFormat="1" applyFill="1">
      <alignment horizontal="right" vertical="top"/>
    </xf>
    <xf numFmtId="0" fontId="23" fillId="49" borderId="0" xfId="1" applyNumberFormat="1" applyFont="1" applyFill="1" applyAlignment="1">
      <alignment vertical="top"/>
    </xf>
    <xf numFmtId="0" fontId="26" fillId="49" borderId="0" xfId="1" applyNumberFormat="1" applyFont="1" applyFill="1" applyAlignment="1">
      <alignment vertical="top"/>
    </xf>
    <xf numFmtId="0" fontId="18" fillId="49" borderId="0" xfId="1" applyNumberFormat="1" applyFont="1" applyFill="1" applyAlignment="1">
      <alignment horizontal="right" vertical="top"/>
    </xf>
    <xf numFmtId="0" fontId="23" fillId="49" borderId="0" xfId="67" applyNumberFormat="1" applyFont="1" applyFill="1">
      <alignment vertical="top"/>
    </xf>
    <xf numFmtId="0" fontId="18" fillId="49" borderId="0" xfId="68" applyNumberFormat="1" applyFont="1" applyFill="1">
      <alignment horizontal="right" vertical="top"/>
    </xf>
    <xf numFmtId="164" fontId="51" fillId="48" borderId="0" xfId="0" applyFont="1" applyFill="1">
      <alignment vertical="top"/>
    </xf>
    <xf numFmtId="164" fontId="51" fillId="49" borderId="0" xfId="0" applyFont="1" applyFill="1">
      <alignment vertical="top"/>
    </xf>
    <xf numFmtId="164" fontId="39" fillId="48" borderId="0" xfId="0" applyNumberFormat="1" applyFont="1" applyFill="1" applyAlignment="1">
      <alignment vertical="top"/>
    </xf>
    <xf numFmtId="10" fontId="18" fillId="49" borderId="0" xfId="0" applyNumberFormat="1" applyFont="1" applyFill="1" applyAlignment="1">
      <alignment horizontal="right" vertical="center"/>
    </xf>
    <xf numFmtId="174" fontId="18" fillId="49" borderId="0" xfId="0" applyNumberFormat="1" applyFont="1" applyFill="1" applyAlignment="1">
      <alignment horizontal="right" vertical="center"/>
    </xf>
    <xf numFmtId="0" fontId="22" fillId="46" borderId="0" xfId="66" applyNumberFormat="1" applyFont="1" applyFill="1">
      <alignment vertical="top"/>
    </xf>
    <xf numFmtId="0" fontId="23" fillId="46" borderId="0" xfId="67" applyFont="1" applyFill="1">
      <alignment vertical="top"/>
    </xf>
    <xf numFmtId="164" fontId="42" fillId="49" borderId="0" xfId="0" applyFont="1" applyFill="1" applyAlignment="1">
      <alignment horizontal="left" vertical="center" wrapText="1"/>
    </xf>
    <xf numFmtId="164" fontId="40" fillId="49" borderId="0" xfId="0" applyFont="1" applyFill="1" applyAlignment="1">
      <alignment horizontal="left" vertical="center"/>
    </xf>
    <xf numFmtId="164" fontId="42" fillId="49" borderId="12" xfId="0" applyFont="1" applyFill="1" applyBorder="1" applyAlignment="1">
      <alignment horizontal="left" vertical="center" wrapText="1"/>
    </xf>
    <xf numFmtId="164" fontId="42" fillId="49" borderId="13" xfId="0" applyFont="1" applyFill="1" applyBorder="1" applyAlignment="1">
      <alignment horizontal="left" vertical="center" wrapText="1"/>
    </xf>
    <xf numFmtId="164" fontId="42" fillId="49" borderId="0" xfId="0" applyFont="1" applyFill="1" applyBorder="1" applyAlignment="1">
      <alignment horizontal="left" vertical="center" wrapText="1"/>
    </xf>
    <xf numFmtId="164" fontId="42" fillId="49" borderId="11" xfId="0" applyFont="1" applyFill="1" applyBorder="1" applyAlignment="1">
      <alignment horizontal="left" vertical="center" wrapText="1"/>
    </xf>
    <xf numFmtId="0" fontId="18" fillId="46" borderId="0" xfId="68" applyFont="1" applyFill="1" applyAlignment="1">
      <alignment horizontal="left" vertical="top"/>
    </xf>
    <xf numFmtId="0" fontId="14" fillId="49" borderId="0" xfId="0" applyNumberFormat="1" applyFont="1" applyFill="1" applyAlignment="1">
      <alignment vertical="top"/>
    </xf>
    <xf numFmtId="0" fontId="1" fillId="49" borderId="0" xfId="0" applyNumberFormat="1" applyFont="1" applyFill="1">
      <alignment vertical="top"/>
    </xf>
    <xf numFmtId="164" fontId="14" fillId="49" borderId="0" xfId="0" applyFont="1" applyFill="1">
      <alignment vertical="top"/>
    </xf>
    <xf numFmtId="174" fontId="14" fillId="49" borderId="0" xfId="0" applyNumberFormat="1" applyFont="1" applyFill="1">
      <alignment vertical="top"/>
    </xf>
    <xf numFmtId="164" fontId="39" fillId="48" borderId="0" xfId="0" applyFont="1" applyFill="1" applyAlignment="1">
      <alignment horizontal="left" vertical="center"/>
    </xf>
    <xf numFmtId="164" fontId="39" fillId="48" borderId="0" xfId="0" applyFont="1" applyFill="1" applyAlignment="1">
      <alignment horizontal="right" vertical="center"/>
    </xf>
    <xf numFmtId="164" fontId="50" fillId="48" borderId="0" xfId="0" applyFont="1" applyFill="1">
      <alignment vertical="top"/>
    </xf>
    <xf numFmtId="43" fontId="51" fillId="48" borderId="0" xfId="1" applyFont="1" applyFill="1"/>
    <xf numFmtId="0" fontId="45" fillId="48" borderId="0" xfId="70" applyFont="1" applyFill="1" applyAlignment="1">
      <alignment horizontal="left" vertical="center"/>
    </xf>
    <xf numFmtId="0" fontId="45" fillId="48" borderId="0" xfId="70" applyFont="1" applyFill="1" applyAlignment="1">
      <alignment horizontal="right" vertical="center"/>
    </xf>
    <xf numFmtId="174" fontId="18" fillId="0" borderId="0" xfId="0" applyNumberFormat="1" applyFont="1" applyFill="1" applyAlignment="1">
      <alignment horizontal="right" vertical="center"/>
    </xf>
    <xf numFmtId="1" fontId="22" fillId="49" borderId="0" xfId="66" applyNumberFormat="1" applyFont="1" applyFill="1">
      <alignment vertical="top"/>
    </xf>
    <xf numFmtId="1" fontId="23" fillId="49" borderId="0" xfId="67" applyNumberFormat="1" applyFont="1" applyFill="1">
      <alignment vertical="top"/>
    </xf>
    <xf numFmtId="1" fontId="29" fillId="49" borderId="0" xfId="67" applyNumberFormat="1" applyFont="1" applyFill="1">
      <alignment vertical="top"/>
    </xf>
    <xf numFmtId="1" fontId="18" fillId="49" borderId="0" xfId="68" applyNumberFormat="1" applyFont="1" applyFill="1">
      <alignment horizontal="right" vertical="top"/>
    </xf>
    <xf numFmtId="1" fontId="1" fillId="49" borderId="0" xfId="1" applyNumberFormat="1" applyFont="1" applyFill="1"/>
    <xf numFmtId="1" fontId="18" fillId="49" borderId="0" xfId="0" applyNumberFormat="1" applyFont="1" applyFill="1" applyBorder="1" applyAlignment="1">
      <alignment vertical="top"/>
    </xf>
    <xf numFmtId="1" fontId="1" fillId="49" borderId="0" xfId="0" applyNumberFormat="1" applyFont="1" applyFill="1">
      <alignment vertical="top"/>
    </xf>
    <xf numFmtId="1" fontId="22" fillId="49" borderId="0" xfId="0" applyNumberFormat="1" applyFont="1" applyFill="1" applyBorder="1" applyAlignment="1">
      <alignment vertical="top"/>
    </xf>
    <xf numFmtId="0" fontId="18" fillId="49" borderId="0" xfId="61" applyNumberFormat="1" applyFont="1" applyFill="1" applyBorder="1" applyAlignment="1">
      <alignment vertical="top"/>
    </xf>
    <xf numFmtId="0" fontId="18" fillId="49" borderId="0" xfId="0" applyNumberFormat="1" applyFont="1" applyFill="1" applyBorder="1" applyAlignment="1">
      <alignment vertical="top"/>
    </xf>
    <xf numFmtId="0" fontId="38" fillId="49" borderId="0" xfId="0" applyNumberFormat="1" applyFont="1" applyFill="1">
      <alignment vertical="top"/>
    </xf>
    <xf numFmtId="0" fontId="45" fillId="48" borderId="0" xfId="0" applyNumberFormat="1" applyFont="1" applyFill="1" applyAlignment="1">
      <alignment horizontal="left" vertical="center"/>
    </xf>
    <xf numFmtId="0" fontId="44" fillId="48" borderId="0" xfId="0" applyNumberFormat="1" applyFont="1" applyFill="1" applyAlignment="1">
      <alignment horizontal="left" vertical="center"/>
    </xf>
    <xf numFmtId="0" fontId="46" fillId="48" borderId="0" xfId="67" applyNumberFormat="1" applyFont="1" applyFill="1" applyAlignment="1">
      <alignment horizontal="left" vertical="center"/>
    </xf>
    <xf numFmtId="0" fontId="1" fillId="49" borderId="0" xfId="0" applyNumberFormat="1" applyFont="1" applyFill="1" applyAlignment="1">
      <alignment horizontal="left" vertical="center"/>
    </xf>
    <xf numFmtId="0" fontId="16" fillId="49" borderId="0" xfId="0" applyNumberFormat="1" applyFont="1" applyFill="1" applyAlignment="1">
      <alignment horizontal="left" vertical="center"/>
    </xf>
    <xf numFmtId="0" fontId="23" fillId="46" borderId="0" xfId="67" applyNumberFormat="1" applyFont="1" applyFill="1" applyAlignment="1">
      <alignment horizontal="left" vertical="center"/>
    </xf>
    <xf numFmtId="0" fontId="18" fillId="46" borderId="0" xfId="68" applyNumberFormat="1" applyFont="1" applyFill="1" applyAlignment="1">
      <alignment horizontal="left" vertical="center"/>
    </xf>
    <xf numFmtId="0" fontId="23" fillId="49" borderId="0" xfId="67" applyNumberFormat="1" applyFont="1" applyFill="1" applyAlignment="1">
      <alignment vertical="center"/>
    </xf>
    <xf numFmtId="0" fontId="18" fillId="49" borderId="0" xfId="68" applyNumberFormat="1" applyFont="1" applyFill="1" applyAlignment="1">
      <alignment horizontal="right" vertical="center"/>
    </xf>
    <xf numFmtId="0" fontId="26" fillId="49" borderId="0" xfId="67" applyNumberFormat="1" applyFont="1" applyFill="1" applyAlignment="1">
      <alignment vertical="center"/>
    </xf>
    <xf numFmtId="0" fontId="1" fillId="49" borderId="0" xfId="0" applyNumberFormat="1" applyFont="1" applyFill="1" applyAlignment="1">
      <alignment vertical="center"/>
    </xf>
    <xf numFmtId="0" fontId="38" fillId="49" borderId="0" xfId="0" applyNumberFormat="1" applyFont="1" applyFill="1" applyAlignment="1">
      <alignment vertical="center"/>
    </xf>
    <xf numFmtId="0" fontId="1" fillId="49" borderId="0" xfId="0" applyNumberFormat="1" applyFont="1" applyFill="1" applyAlignment="1">
      <alignment horizontal="right" vertical="center"/>
    </xf>
    <xf numFmtId="0" fontId="27" fillId="49" borderId="0" xfId="0" applyNumberFormat="1" applyFont="1" applyFill="1" applyAlignment="1">
      <alignment horizontal="right" vertical="center"/>
    </xf>
    <xf numFmtId="0" fontId="14" fillId="49" borderId="0" xfId="0" applyNumberFormat="1" applyFont="1" applyFill="1" applyAlignment="1">
      <alignment vertical="center"/>
    </xf>
    <xf numFmtId="0" fontId="37" fillId="49" borderId="0" xfId="0" applyNumberFormat="1" applyFont="1" applyFill="1" applyAlignment="1">
      <alignment vertical="center"/>
    </xf>
    <xf numFmtId="0" fontId="14" fillId="49" borderId="0" xfId="0" applyNumberFormat="1" applyFont="1" applyFill="1" applyAlignment="1">
      <alignment horizontal="right" vertical="center"/>
    </xf>
    <xf numFmtId="0" fontId="14" fillId="49" borderId="0" xfId="0" applyNumberFormat="1" applyFont="1" applyFill="1">
      <alignment vertical="top"/>
    </xf>
    <xf numFmtId="0" fontId="23" fillId="46" borderId="0" xfId="67" applyNumberFormat="1" applyFont="1" applyFill="1">
      <alignment vertical="top"/>
    </xf>
    <xf numFmtId="0" fontId="26" fillId="46" borderId="0" xfId="67" applyNumberFormat="1" applyFont="1" applyFill="1">
      <alignment vertical="top"/>
    </xf>
    <xf numFmtId="0" fontId="18" fillId="46" borderId="0" xfId="68" applyNumberFormat="1" applyFont="1" applyFill="1" applyAlignment="1">
      <alignment horizontal="left" vertical="top"/>
    </xf>
    <xf numFmtId="0" fontId="18" fillId="46" borderId="0" xfId="0" applyNumberFormat="1" applyFont="1" applyFill="1" applyAlignment="1">
      <alignment vertical="top"/>
    </xf>
    <xf numFmtId="0" fontId="51" fillId="48" borderId="0" xfId="0" applyNumberFormat="1" applyFont="1" applyFill="1">
      <alignment vertical="top"/>
    </xf>
    <xf numFmtId="0" fontId="22" fillId="49" borderId="0" xfId="0" applyNumberFormat="1" applyFont="1" applyFill="1" applyBorder="1" applyAlignment="1">
      <alignment vertical="top"/>
    </xf>
    <xf numFmtId="0" fontId="39" fillId="48" borderId="0" xfId="0" applyNumberFormat="1" applyFont="1" applyFill="1" applyAlignment="1">
      <alignment vertical="top"/>
    </xf>
    <xf numFmtId="0" fontId="50" fillId="48" borderId="0" xfId="67" applyNumberFormat="1" applyFont="1" applyFill="1">
      <alignment vertical="top"/>
    </xf>
    <xf numFmtId="0" fontId="40" fillId="48" borderId="0" xfId="68" applyNumberFormat="1" applyFont="1" applyFill="1">
      <alignment horizontal="right" vertical="top"/>
    </xf>
    <xf numFmtId="0" fontId="22" fillId="49" borderId="0" xfId="61" applyNumberFormat="1" applyFont="1" applyFill="1" applyBorder="1" applyAlignment="1">
      <alignment vertical="top"/>
    </xf>
    <xf numFmtId="0" fontId="23" fillId="49" borderId="0" xfId="67" applyNumberFormat="1" applyFill="1" applyBorder="1">
      <alignment vertical="top"/>
    </xf>
    <xf numFmtId="0" fontId="29" fillId="49" borderId="0" xfId="67" applyNumberFormat="1" applyFont="1" applyFill="1" applyBorder="1">
      <alignment vertical="top"/>
    </xf>
    <xf numFmtId="0" fontId="18" fillId="49" borderId="0" xfId="68" applyNumberFormat="1" applyFill="1" applyBorder="1">
      <alignment horizontal="right" vertical="top"/>
    </xf>
    <xf numFmtId="0" fontId="23" fillId="49" borderId="0" xfId="67" applyNumberFormat="1" applyFont="1" applyFill="1" applyBorder="1">
      <alignment vertical="top"/>
    </xf>
    <xf numFmtId="0" fontId="18" fillId="49" borderId="0" xfId="68" applyNumberFormat="1" applyFont="1" applyFill="1" applyBorder="1">
      <alignment horizontal="right" vertical="top"/>
    </xf>
    <xf numFmtId="0" fontId="23" fillId="46" borderId="0" xfId="67" applyNumberFormat="1" applyFill="1">
      <alignment vertical="top"/>
    </xf>
    <xf numFmtId="0" fontId="18" fillId="46" borderId="0" xfId="68" applyNumberFormat="1" applyFill="1">
      <alignment horizontal="right" vertical="top"/>
    </xf>
    <xf numFmtId="0" fontId="29" fillId="49" borderId="0" xfId="67" applyNumberFormat="1" applyFont="1" applyFill="1">
      <alignment vertical="top"/>
    </xf>
    <xf numFmtId="0" fontId="48" fillId="49" borderId="0" xfId="67" applyNumberFormat="1" applyFont="1" applyFill="1">
      <alignment vertical="top"/>
    </xf>
    <xf numFmtId="0" fontId="53" fillId="49" borderId="0" xfId="67" applyNumberFormat="1" applyFont="1" applyFill="1">
      <alignment vertical="top"/>
    </xf>
    <xf numFmtId="0" fontId="14" fillId="49" borderId="0" xfId="68" applyNumberFormat="1" applyFont="1" applyFill="1">
      <alignment horizontal="right" vertical="top"/>
    </xf>
    <xf numFmtId="0" fontId="52" fillId="48" borderId="0" xfId="67" applyNumberFormat="1" applyFont="1" applyFill="1">
      <alignment vertical="top"/>
    </xf>
    <xf numFmtId="0" fontId="54" fillId="48" borderId="0" xfId="67" applyNumberFormat="1" applyFont="1" applyFill="1">
      <alignment vertical="top"/>
    </xf>
    <xf numFmtId="0" fontId="40" fillId="48" borderId="0" xfId="68" applyNumberFormat="1" applyFont="1" applyFill="1" applyAlignment="1">
      <alignment horizontal="left" vertical="top"/>
    </xf>
    <xf numFmtId="0" fontId="18" fillId="49" borderId="0" xfId="68" applyNumberFormat="1" applyFont="1" applyFill="1" applyAlignment="1">
      <alignment horizontal="left" vertical="top"/>
    </xf>
    <xf numFmtId="0" fontId="26" fillId="49" borderId="0" xfId="0" applyNumberFormat="1" applyFont="1" applyFill="1">
      <alignment vertical="top"/>
    </xf>
    <xf numFmtId="0" fontId="26" fillId="49" borderId="0" xfId="0" applyNumberFormat="1" applyFont="1" applyFill="1" applyAlignment="1">
      <alignment vertical="top"/>
    </xf>
    <xf numFmtId="0" fontId="23" fillId="49" borderId="0" xfId="68" applyNumberFormat="1" applyFont="1" applyFill="1" applyAlignment="1">
      <alignment horizontal="left" vertical="top"/>
    </xf>
    <xf numFmtId="0" fontId="26" fillId="46" borderId="0" xfId="67" applyNumberFormat="1" applyFont="1" applyFill="1" applyAlignment="1">
      <alignment horizontal="left" vertical="center"/>
    </xf>
    <xf numFmtId="0" fontId="45" fillId="48" borderId="0" xfId="70" applyNumberFormat="1" applyFont="1" applyFill="1" applyAlignment="1">
      <alignment horizontal="left" vertical="center"/>
    </xf>
    <xf numFmtId="0" fontId="16" fillId="49" borderId="0" xfId="0" applyNumberFormat="1" applyFont="1" applyFill="1" applyAlignment="1">
      <alignment vertical="center"/>
    </xf>
    <xf numFmtId="0" fontId="1" fillId="49" borderId="0" xfId="1" applyNumberFormat="1" applyFont="1" applyFill="1"/>
    <xf numFmtId="0" fontId="55" fillId="48" borderId="0" xfId="0" applyNumberFormat="1" applyFont="1" applyFill="1">
      <alignment vertical="top"/>
    </xf>
    <xf numFmtId="0" fontId="1" fillId="49" borderId="0" xfId="0" applyNumberFormat="1" applyFont="1" applyFill="1" applyAlignment="1">
      <alignment vertical="top" wrapText="1"/>
    </xf>
    <xf numFmtId="175" fontId="27" fillId="49" borderId="0" xfId="2" applyFont="1" applyFill="1">
      <alignment vertical="top"/>
    </xf>
    <xf numFmtId="169" fontId="18" fillId="49" borderId="0" xfId="62" applyFont="1" applyFill="1">
      <alignment vertical="top"/>
    </xf>
    <xf numFmtId="179" fontId="22" fillId="46" borderId="0" xfId="62" applyNumberFormat="1" applyFont="1" applyFill="1">
      <alignment vertical="top"/>
    </xf>
    <xf numFmtId="179" fontId="23" fillId="46" borderId="0" xfId="62" applyNumberFormat="1" applyFont="1" applyFill="1">
      <alignment vertical="top"/>
    </xf>
    <xf numFmtId="179" fontId="18" fillId="46" borderId="0" xfId="62" applyNumberFormat="1" applyFont="1" applyFill="1">
      <alignment vertical="top"/>
    </xf>
    <xf numFmtId="179" fontId="18" fillId="49" borderId="0" xfId="62" applyNumberFormat="1" applyFont="1" applyFill="1">
      <alignment vertical="top"/>
    </xf>
    <xf numFmtId="179" fontId="23" fillId="49" borderId="0" xfId="62" applyNumberFormat="1" applyFont="1" applyFill="1">
      <alignment vertical="top"/>
    </xf>
    <xf numFmtId="179" fontId="26" fillId="49" borderId="0" xfId="62" applyNumberFormat="1" applyFont="1" applyFill="1">
      <alignment vertical="top"/>
    </xf>
    <xf numFmtId="179" fontId="18" fillId="49" borderId="0" xfId="62" applyNumberFormat="1" applyFill="1">
      <alignment vertical="top"/>
    </xf>
    <xf numFmtId="179" fontId="32" fillId="49" borderId="0" xfId="62" applyNumberFormat="1" applyFont="1" applyFill="1">
      <alignment vertical="top"/>
    </xf>
    <xf numFmtId="179" fontId="49" fillId="49" borderId="0" xfId="62" applyNumberFormat="1" applyFont="1" applyFill="1">
      <alignment vertical="top"/>
    </xf>
    <xf numFmtId="179" fontId="27" fillId="49" borderId="0" xfId="62" applyNumberFormat="1" applyFont="1" applyFill="1">
      <alignment vertical="top"/>
    </xf>
    <xf numFmtId="179" fontId="1" fillId="47" borderId="0" xfId="62" applyNumberFormat="1" applyFont="1" applyFill="1">
      <alignment vertical="top"/>
    </xf>
    <xf numFmtId="179" fontId="18" fillId="49" borderId="0" xfId="62" applyNumberFormat="1" applyFont="1" applyFill="1" applyBorder="1">
      <alignment vertical="top"/>
    </xf>
    <xf numFmtId="179" fontId="29" fillId="49" borderId="0" xfId="62" applyNumberFormat="1" applyFont="1" applyFill="1">
      <alignment vertical="top"/>
    </xf>
    <xf numFmtId="179" fontId="58" fillId="49" borderId="0" xfId="62" applyNumberFormat="1" applyFont="1" applyFill="1" applyBorder="1">
      <alignment vertical="top"/>
    </xf>
    <xf numFmtId="179" fontId="58" fillId="49" borderId="0" xfId="62" applyNumberFormat="1" applyFont="1" applyFill="1">
      <alignment vertical="top"/>
    </xf>
    <xf numFmtId="179" fontId="33" fillId="49" borderId="0" xfId="62" applyNumberFormat="1" applyFont="1" applyFill="1">
      <alignment vertical="top"/>
    </xf>
    <xf numFmtId="179" fontId="34" fillId="49" borderId="0" xfId="62" applyNumberFormat="1" applyFont="1" applyFill="1">
      <alignment vertical="top"/>
    </xf>
    <xf numFmtId="179" fontId="25" fillId="49" borderId="0" xfId="62" applyNumberFormat="1" applyFont="1" applyFill="1" applyBorder="1">
      <alignment vertical="top"/>
    </xf>
    <xf numFmtId="179" fontId="26" fillId="46" borderId="0" xfId="62" applyNumberFormat="1" applyFont="1" applyFill="1">
      <alignment vertical="top"/>
    </xf>
    <xf numFmtId="179" fontId="18" fillId="46" borderId="0" xfId="62" applyNumberFormat="1" applyFill="1">
      <alignment vertical="top"/>
    </xf>
    <xf numFmtId="164" fontId="27" fillId="49" borderId="0" xfId="62" applyNumberFormat="1" applyFont="1" applyFill="1">
      <alignment vertical="top"/>
    </xf>
    <xf numFmtId="164" fontId="18" fillId="49" borderId="0" xfId="62" applyNumberFormat="1" applyFont="1" applyFill="1">
      <alignment vertical="top"/>
    </xf>
    <xf numFmtId="43" fontId="27" fillId="49" borderId="0" xfId="62" applyNumberFormat="1" applyFont="1" applyFill="1">
      <alignment vertical="top"/>
    </xf>
    <xf numFmtId="175" fontId="27" fillId="49" borderId="0" xfId="62" applyNumberFormat="1" applyFont="1" applyFill="1">
      <alignment vertical="top"/>
    </xf>
    <xf numFmtId="175" fontId="27" fillId="49" borderId="0" xfId="2" applyNumberFormat="1" applyFont="1" applyFill="1">
      <alignment vertical="top"/>
    </xf>
    <xf numFmtId="179" fontId="22" fillId="49" borderId="0" xfId="62" applyNumberFormat="1" applyFont="1" applyFill="1" applyBorder="1">
      <alignment vertical="top"/>
    </xf>
    <xf numFmtId="179" fontId="23" fillId="49" borderId="0" xfId="62" applyNumberFormat="1" applyFont="1" applyFill="1" applyBorder="1">
      <alignment vertical="top"/>
    </xf>
    <xf numFmtId="179" fontId="29" fillId="49" borderId="0" xfId="62" applyNumberFormat="1" applyFont="1" applyFill="1" applyBorder="1">
      <alignment vertical="top"/>
    </xf>
    <xf numFmtId="179" fontId="18" fillId="49" borderId="0" xfId="62" applyNumberFormat="1" applyFill="1" applyBorder="1">
      <alignment vertical="top"/>
    </xf>
    <xf numFmtId="179" fontId="0" fillId="0" borderId="0" xfId="62" applyNumberFormat="1" applyFont="1">
      <alignment vertical="top"/>
    </xf>
    <xf numFmtId="179" fontId="48" fillId="49" borderId="0" xfId="62" applyNumberFormat="1" applyFont="1" applyFill="1">
      <alignment vertical="top"/>
    </xf>
    <xf numFmtId="179" fontId="53" fillId="49" borderId="0" xfId="62" applyNumberFormat="1" applyFont="1" applyFill="1">
      <alignment vertical="top"/>
    </xf>
    <xf numFmtId="179" fontId="14" fillId="49" borderId="0" xfId="62" applyNumberFormat="1" applyFont="1" applyFill="1">
      <alignment vertical="top"/>
    </xf>
    <xf numFmtId="175" fontId="14" fillId="49" borderId="0" xfId="2" applyFont="1" applyFill="1">
      <alignment vertical="top"/>
    </xf>
    <xf numFmtId="175" fontId="14" fillId="53" borderId="0" xfId="2" applyFont="1" applyFill="1">
      <alignment vertical="top"/>
    </xf>
    <xf numFmtId="169" fontId="1" fillId="49" borderId="0" xfId="62" applyFont="1" applyFill="1">
      <alignment vertical="top"/>
    </xf>
    <xf numFmtId="179" fontId="22" fillId="50" borderId="0" xfId="62" applyNumberFormat="1" applyFont="1" applyFill="1">
      <alignment vertical="top"/>
    </xf>
    <xf numFmtId="179" fontId="23" fillId="50" borderId="0" xfId="62" applyNumberFormat="1" applyFont="1" applyFill="1">
      <alignment vertical="top"/>
    </xf>
    <xf numFmtId="179" fontId="18" fillId="50" borderId="0" xfId="62" applyNumberFormat="1" applyFont="1" applyFill="1">
      <alignment vertical="top"/>
    </xf>
    <xf numFmtId="179" fontId="1" fillId="49" borderId="0" xfId="62" applyNumberFormat="1" applyFont="1" applyFill="1">
      <alignment vertical="top"/>
    </xf>
    <xf numFmtId="179" fontId="1" fillId="49" borderId="0" xfId="62" applyNumberFormat="1" applyFont="1" applyFill="1" applyBorder="1">
      <alignment vertical="top"/>
    </xf>
    <xf numFmtId="179" fontId="16" fillId="49" borderId="0" xfId="62" applyNumberFormat="1" applyFont="1" applyFill="1">
      <alignment vertical="top"/>
    </xf>
    <xf numFmtId="179" fontId="1" fillId="51" borderId="0" xfId="62" applyNumberFormat="1" applyFont="1" applyFill="1">
      <alignment vertical="top"/>
    </xf>
    <xf numFmtId="179" fontId="36" fillId="0" borderId="0" xfId="62" applyNumberFormat="1" applyFont="1" applyFill="1" applyBorder="1">
      <alignment vertical="top"/>
    </xf>
    <xf numFmtId="179" fontId="37" fillId="49" borderId="0" xfId="62" applyNumberFormat="1" applyFont="1" applyFill="1">
      <alignment vertical="top"/>
    </xf>
    <xf numFmtId="179" fontId="38" fillId="49" borderId="0" xfId="62" applyNumberFormat="1" applyFont="1" applyFill="1">
      <alignment vertical="top"/>
    </xf>
    <xf numFmtId="179" fontId="43" fillId="49" borderId="0" xfId="62" applyNumberFormat="1" applyFont="1" applyFill="1">
      <alignment vertical="top"/>
    </xf>
    <xf numFmtId="179" fontId="36" fillId="0" borderId="0" xfId="62" applyNumberFormat="1" applyFont="1" applyFill="1">
      <alignment vertical="top"/>
    </xf>
    <xf numFmtId="179" fontId="18" fillId="47" borderId="0" xfId="62" applyNumberFormat="1" applyFont="1" applyFill="1">
      <alignment vertical="top"/>
    </xf>
    <xf numFmtId="179" fontId="0" fillId="49" borderId="0" xfId="62" applyNumberFormat="1" applyFont="1" applyFill="1">
      <alignment vertical="top"/>
    </xf>
    <xf numFmtId="164" fontId="1" fillId="51" borderId="0" xfId="62" applyNumberFormat="1" applyFont="1" applyFill="1">
      <alignment vertical="top"/>
    </xf>
    <xf numFmtId="175" fontId="38" fillId="49" borderId="0" xfId="2" applyFont="1" applyFill="1">
      <alignment vertical="top"/>
    </xf>
    <xf numFmtId="175" fontId="18" fillId="49" borderId="0" xfId="2" applyFont="1" applyFill="1">
      <alignment vertical="top"/>
    </xf>
    <xf numFmtId="175" fontId="18" fillId="46" borderId="0" xfId="2" applyFont="1" applyFill="1">
      <alignment vertical="top"/>
    </xf>
    <xf numFmtId="14" fontId="18" fillId="47" borderId="0" xfId="62" applyNumberFormat="1" applyFont="1" applyFill="1">
      <alignment vertical="top"/>
    </xf>
    <xf numFmtId="164" fontId="18" fillId="47" borderId="0" xfId="62" applyNumberFormat="1" applyFont="1" applyFill="1">
      <alignment vertical="top"/>
    </xf>
    <xf numFmtId="14" fontId="18" fillId="49" borderId="0" xfId="62" applyNumberFormat="1" applyFont="1" applyFill="1">
      <alignment vertical="top"/>
    </xf>
    <xf numFmtId="175" fontId="23" fillId="49" borderId="0" xfId="2" applyFont="1" applyFill="1">
      <alignment vertical="top"/>
    </xf>
    <xf numFmtId="175" fontId="26" fillId="49" borderId="0" xfId="2" applyFont="1" applyFill="1">
      <alignment vertical="top"/>
    </xf>
    <xf numFmtId="175" fontId="14" fillId="49" borderId="0" xfId="2" applyFont="1" applyFill="1" applyBorder="1">
      <alignment vertical="top"/>
    </xf>
    <xf numFmtId="175" fontId="58" fillId="49" borderId="0" xfId="2" applyFont="1" applyFill="1">
      <alignment vertical="top"/>
    </xf>
    <xf numFmtId="175" fontId="18" fillId="47" borderId="0" xfId="2" applyFont="1" applyFill="1">
      <alignment vertical="top"/>
    </xf>
    <xf numFmtId="175" fontId="18" fillId="49" borderId="0" xfId="2" applyNumberFormat="1" applyFont="1" applyFill="1">
      <alignment vertical="top"/>
    </xf>
    <xf numFmtId="164" fontId="58" fillId="49" borderId="0" xfId="62" applyNumberFormat="1" applyFont="1" applyFill="1" applyBorder="1">
      <alignment vertical="top"/>
    </xf>
    <xf numFmtId="164" fontId="18" fillId="49" borderId="0" xfId="62" applyNumberFormat="1" applyFont="1" applyFill="1" applyBorder="1">
      <alignment vertical="top"/>
    </xf>
    <xf numFmtId="179" fontId="27" fillId="49" borderId="0" xfId="1" applyNumberFormat="1" applyFont="1" applyFill="1" applyAlignment="1">
      <alignment vertical="top"/>
    </xf>
    <xf numFmtId="175" fontId="27" fillId="49" borderId="0" xfId="1" applyNumberFormat="1" applyFont="1" applyFill="1" applyAlignment="1">
      <alignment vertical="top"/>
    </xf>
    <xf numFmtId="179" fontId="18" fillId="49" borderId="0" xfId="1" applyNumberFormat="1" applyFont="1" applyFill="1" applyAlignment="1">
      <alignment vertical="top"/>
    </xf>
    <xf numFmtId="175" fontId="32" fillId="49" borderId="0" xfId="2" applyFont="1" applyFill="1">
      <alignment vertical="top"/>
    </xf>
    <xf numFmtId="175" fontId="49" fillId="49" borderId="0" xfId="2" applyFont="1" applyFill="1">
      <alignment vertical="top"/>
    </xf>
    <xf numFmtId="164" fontId="23" fillId="49" borderId="0" xfId="62" applyNumberFormat="1" applyFont="1" applyFill="1">
      <alignment vertical="top"/>
    </xf>
    <xf numFmtId="164" fontId="26" fillId="49" borderId="0" xfId="62" applyNumberFormat="1" applyFont="1" applyFill="1">
      <alignment vertical="top"/>
    </xf>
    <xf numFmtId="164" fontId="18" fillId="49" borderId="0" xfId="62" applyNumberFormat="1" applyFill="1">
      <alignment vertical="top"/>
    </xf>
    <xf numFmtId="179" fontId="27" fillId="49" borderId="0" xfId="0" applyNumberFormat="1" applyFont="1" applyFill="1" applyAlignment="1">
      <alignment vertical="top"/>
    </xf>
    <xf numFmtId="175" fontId="27" fillId="49" borderId="0" xfId="0" applyNumberFormat="1" applyFont="1" applyFill="1" applyAlignment="1">
      <alignment horizontal="right" vertical="center"/>
    </xf>
    <xf numFmtId="179" fontId="27" fillId="49" borderId="0" xfId="0" applyNumberFormat="1" applyFont="1" applyFill="1">
      <alignment vertical="top"/>
    </xf>
    <xf numFmtId="179" fontId="27" fillId="49" borderId="0" xfId="0" applyNumberFormat="1" applyFont="1" applyFill="1" applyAlignment="1">
      <alignment horizontal="right" vertical="center"/>
    </xf>
    <xf numFmtId="0" fontId="59" fillId="54" borderId="0" xfId="73"/>
    <xf numFmtId="0" fontId="1" fillId="0" borderId="0" xfId="70"/>
    <xf numFmtId="0" fontId="60" fillId="54" borderId="14" xfId="70" applyFont="1" applyFill="1" applyBorder="1"/>
    <xf numFmtId="0" fontId="60" fillId="54" borderId="0" xfId="70" applyFont="1" applyFill="1"/>
    <xf numFmtId="0" fontId="60" fillId="49" borderId="0" xfId="70" applyFont="1" applyFill="1"/>
    <xf numFmtId="0" fontId="62" fillId="54" borderId="0" xfId="74" applyFont="1" applyFill="1"/>
    <xf numFmtId="0" fontId="63" fillId="0" borderId="0" xfId="75" applyAlignment="1">
      <alignment vertical="center"/>
    </xf>
    <xf numFmtId="0" fontId="1" fillId="0" borderId="0" xfId="70" applyAlignment="1">
      <alignment vertical="center"/>
    </xf>
    <xf numFmtId="0" fontId="1" fillId="0" borderId="0" xfId="70" applyAlignment="1">
      <alignment vertical="center" wrapText="1"/>
    </xf>
    <xf numFmtId="0" fontId="1" fillId="0" borderId="15" xfId="70" applyFill="1" applyBorder="1" applyAlignment="1">
      <alignment horizontal="center"/>
    </xf>
    <xf numFmtId="0" fontId="61" fillId="0" borderId="0" xfId="74" applyAlignment="1">
      <alignment vertical="center"/>
    </xf>
    <xf numFmtId="0" fontId="64" fillId="54" borderId="0" xfId="77"/>
    <xf numFmtId="0" fontId="67" fillId="0" borderId="0" xfId="78"/>
    <xf numFmtId="0" fontId="69" fillId="50" borderId="0" xfId="83"/>
    <xf numFmtId="0" fontId="1" fillId="47" borderId="16" xfId="70" applyFill="1" applyBorder="1" applyAlignment="1">
      <alignment horizontal="center"/>
    </xf>
    <xf numFmtId="0" fontId="17" fillId="55" borderId="16" xfId="70" applyFont="1" applyFill="1" applyBorder="1" applyAlignment="1">
      <alignment horizontal="center"/>
    </xf>
    <xf numFmtId="0" fontId="1" fillId="58" borderId="16" xfId="70" applyFill="1" applyBorder="1" applyAlignment="1">
      <alignment horizontal="center"/>
    </xf>
    <xf numFmtId="164" fontId="70" fillId="33" borderId="0" xfId="85" applyNumberFormat="1" applyFont="1" applyFill="1" applyAlignment="1">
      <alignment vertical="top"/>
    </xf>
    <xf numFmtId="164" fontId="71" fillId="33" borderId="0" xfId="85" applyFont="1" applyFill="1">
      <alignment vertical="top"/>
    </xf>
    <xf numFmtId="164" fontId="71" fillId="0" borderId="0" xfId="85" applyFont="1">
      <alignment vertical="top"/>
    </xf>
    <xf numFmtId="164" fontId="1" fillId="0" borderId="0" xfId="85">
      <alignment vertical="top"/>
    </xf>
    <xf numFmtId="164" fontId="0" fillId="0" borderId="0" xfId="85" applyFont="1">
      <alignment vertical="top"/>
    </xf>
    <xf numFmtId="164" fontId="0" fillId="43" borderId="16" xfId="85" applyFont="1" applyFill="1" applyBorder="1">
      <alignment vertical="top"/>
    </xf>
    <xf numFmtId="164" fontId="1" fillId="59" borderId="16" xfId="85" applyFill="1" applyBorder="1">
      <alignment vertical="top"/>
    </xf>
    <xf numFmtId="164" fontId="24" fillId="0" borderId="0" xfId="85" applyFont="1" applyBorder="1" applyAlignment="1">
      <alignment vertical="top"/>
    </xf>
    <xf numFmtId="164" fontId="1" fillId="43" borderId="16" xfId="85" applyNumberFormat="1" applyFill="1" applyBorder="1">
      <alignment vertical="top"/>
    </xf>
    <xf numFmtId="164" fontId="16" fillId="43" borderId="0" xfId="85" applyFont="1" applyFill="1">
      <alignment vertical="top"/>
    </xf>
    <xf numFmtId="164" fontId="1" fillId="43" borderId="0" xfId="85" applyFill="1">
      <alignment vertical="top"/>
    </xf>
    <xf numFmtId="14" fontId="60" fillId="54" borderId="0" xfId="70" applyNumberFormat="1" applyFont="1" applyFill="1" applyAlignment="1">
      <alignment horizontal="left"/>
    </xf>
    <xf numFmtId="1" fontId="27" fillId="49" borderId="0" xfId="62" applyNumberFormat="1" applyFont="1" applyFill="1">
      <alignment vertical="top"/>
    </xf>
    <xf numFmtId="1" fontId="18" fillId="49" borderId="0" xfId="62" applyNumberFormat="1" applyFont="1" applyFill="1">
      <alignment vertical="top"/>
    </xf>
    <xf numFmtId="164" fontId="1" fillId="0" borderId="0" xfId="85" applyFill="1" applyBorder="1">
      <alignment vertical="top"/>
    </xf>
    <xf numFmtId="164" fontId="1" fillId="0" borderId="0" xfId="85" applyBorder="1">
      <alignment vertical="top"/>
    </xf>
    <xf numFmtId="164" fontId="18" fillId="0" borderId="0" xfId="85" applyFont="1" applyFill="1" applyBorder="1" applyAlignment="1">
      <alignment vertical="top"/>
    </xf>
    <xf numFmtId="164" fontId="1" fillId="0" borderId="0" xfId="85" applyFont="1">
      <alignment vertical="top"/>
    </xf>
    <xf numFmtId="164" fontId="72" fillId="60" borderId="16" xfId="85" applyFont="1" applyFill="1" applyBorder="1">
      <alignment vertical="top"/>
    </xf>
    <xf numFmtId="164" fontId="1" fillId="61" borderId="16" xfId="85" applyFill="1" applyBorder="1">
      <alignment vertical="top"/>
    </xf>
    <xf numFmtId="0" fontId="59" fillId="54" borderId="0" xfId="86"/>
    <xf numFmtId="0" fontId="63" fillId="0" borderId="0" xfId="87" applyBorder="1"/>
    <xf numFmtId="0" fontId="63" fillId="0" borderId="0" xfId="87"/>
    <xf numFmtId="0" fontId="65" fillId="0" borderId="0" xfId="88"/>
    <xf numFmtId="0" fontId="66" fillId="0" borderId="0" xfId="89"/>
    <xf numFmtId="0" fontId="1" fillId="0" borderId="0" xfId="90"/>
    <xf numFmtId="0" fontId="68" fillId="0" borderId="0" xfId="91"/>
    <xf numFmtId="0" fontId="1" fillId="47" borderId="0" xfId="92"/>
    <xf numFmtId="164" fontId="1" fillId="51" borderId="0" xfId="0" applyFont="1" applyFill="1" applyAlignment="1">
      <alignment vertical="center"/>
    </xf>
    <xf numFmtId="0" fontId="72" fillId="62" borderId="16" xfId="70" applyFont="1" applyFill="1" applyBorder="1" applyAlignment="1">
      <alignment horizontal="center"/>
    </xf>
    <xf numFmtId="0" fontId="1" fillId="49" borderId="0" xfId="70" applyFill="1"/>
    <xf numFmtId="0" fontId="63" fillId="49" borderId="0" xfId="87" applyFill="1"/>
  </cellXfs>
  <cellStyles count="93">
    <cellStyle name="20% - Accent1" xfId="21" builtinId="30" hidden="1"/>
    <cellStyle name="20% - Accent2" xfId="25" builtinId="34" hidden="1"/>
    <cellStyle name="20% - Accent3" xfId="29" builtinId="38" hidden="1"/>
    <cellStyle name="20% - Accent4" xfId="33" builtinId="42" hidden="1"/>
    <cellStyle name="20% - Accent5" xfId="37" builtinId="46" hidden="1"/>
    <cellStyle name="20% - Accent6" xfId="41" builtinId="50" hidden="1"/>
    <cellStyle name="40% - Accent1" xfId="22" builtinId="31" hidden="1"/>
    <cellStyle name="40% - Accent2" xfId="26" builtinId="35" hidden="1"/>
    <cellStyle name="40% - Accent3" xfId="30" builtinId="39" hidden="1"/>
    <cellStyle name="40% - Accent4" xfId="34" builtinId="43" hidden="1"/>
    <cellStyle name="40% - Accent5" xfId="38" builtinId="47" hidden="1"/>
    <cellStyle name="40% - Accent6" xfId="42" builtinId="51" hidden="1"/>
    <cellStyle name="60% - Accent1" xfId="23" builtinId="32" hidden="1"/>
    <cellStyle name="60% - Accent2" xfId="27" builtinId="36" hidden="1"/>
    <cellStyle name="60% - Accent3" xfId="31" builtinId="40" hidden="1"/>
    <cellStyle name="60% - Accent4" xfId="35" builtinId="44" hidden="1"/>
    <cellStyle name="60% - Accent5" xfId="39" builtinId="48" hidden="1"/>
    <cellStyle name="60% - Accent6" xfId="43" builtinId="52" hidden="1"/>
    <cellStyle name="Accent1" xfId="20" builtinId="29" hidden="1"/>
    <cellStyle name="Accent2" xfId="24" builtinId="33" hidden="1"/>
    <cellStyle name="Accent3" xfId="28" builtinId="37" hidden="1"/>
    <cellStyle name="Accent4" xfId="32" builtinId="41" hidden="1"/>
    <cellStyle name="Accent5" xfId="36" builtinId="45" hidden="1"/>
    <cellStyle name="Accent6" xfId="40" builtinId="49" hidden="1"/>
    <cellStyle name="Bad" xfId="9" builtinId="27" hidden="1"/>
    <cellStyle name="Between-worksheet counter-flow" xfId="80"/>
    <cellStyle name="Calculation" xfId="13" builtinId="22" hidden="1"/>
    <cellStyle name="Calculation 2" xfId="90"/>
    <cellStyle name="Check Cell" xfId="15" builtinId="23" hidden="1"/>
    <cellStyle name="Column 1" xfId="66"/>
    <cellStyle name="Column 2 + 3" xfId="67"/>
    <cellStyle name="Column 4" xfId="68"/>
    <cellStyle name="Comma" xfId="1" builtinId="3" customBuiltin="1"/>
    <cellStyle name="Counterflow" xfId="54"/>
    <cellStyle name="DateLong" xfId="60"/>
    <cellStyle name="DateShort" xfId="61"/>
    <cellStyle name="Documentation" xfId="59"/>
    <cellStyle name="Empty cell" xfId="82"/>
    <cellStyle name="End of sheet" xfId="77"/>
    <cellStyle name="Explanatory Text" xfId="18" builtinId="53" hidden="1"/>
    <cellStyle name="Explanatory Text 2" xfId="91"/>
    <cellStyle name="Export" xfId="56"/>
    <cellStyle name="Exported to another sheet or section" xfId="78"/>
    <cellStyle name="Factor" xfId="62"/>
    <cellStyle name="Good" xfId="8" builtinId="26" hidden="1"/>
    <cellStyle name="Hard coded" xfId="57"/>
    <cellStyle name="Hard coded output" xfId="81"/>
    <cellStyle name="Heading 1" xfId="4" builtinId="16" hidden="1"/>
    <cellStyle name="Heading 1" xfId="75" builtinId="16"/>
    <cellStyle name="Heading 1 2" xfId="87"/>
    <cellStyle name="Heading 2" xfId="5" builtinId="17" hidden="1"/>
    <cellStyle name="Heading 2 2" xfId="88"/>
    <cellStyle name="Heading 3" xfId="6" builtinId="18" hidden="1"/>
    <cellStyle name="Heading 4" xfId="7" builtinId="19" hidden="1"/>
    <cellStyle name="Hyperlink 2" xfId="71"/>
    <cellStyle name="Hyperlink 3" xfId="74"/>
    <cellStyle name="Import" xfId="55"/>
    <cellStyle name="Input" xfId="11" builtinId="20" hidden="1"/>
    <cellStyle name="Input 2" xfId="92"/>
    <cellStyle name="Level 1 Heading" xfId="63"/>
    <cellStyle name="Level 2 Heading" xfId="64"/>
    <cellStyle name="Level 3 Heading" xfId="65"/>
    <cellStyle name="Linked Cell" xfId="14" builtinId="24" hidden="1"/>
    <cellStyle name="Linked Cell 2" xfId="89"/>
    <cellStyle name="Neutral" xfId="10" builtinId="28" hidden="1"/>
    <cellStyle name="Normal" xfId="0" builtinId="0" customBuiltin="1"/>
    <cellStyle name="Normal 2" xfId="69"/>
    <cellStyle name="Normal 2 2" xfId="85"/>
    <cellStyle name="Normal 3" xfId="70"/>
    <cellStyle name="Note" xfId="17" builtinId="10" hidden="1"/>
    <cellStyle name="Output" xfId="12" builtinId="21" hidden="1"/>
    <cellStyle name="Pantone 130C" xfId="47"/>
    <cellStyle name="Pantone 179C" xfId="52"/>
    <cellStyle name="Pantone 232C" xfId="51"/>
    <cellStyle name="Pantone 2745C" xfId="50"/>
    <cellStyle name="Pantone 279C" xfId="45"/>
    <cellStyle name="Pantone 281C" xfId="44"/>
    <cellStyle name="Pantone 451C" xfId="46"/>
    <cellStyle name="Pantone 583C" xfId="49"/>
    <cellStyle name="Pantone 633C" xfId="48"/>
    <cellStyle name="Percent" xfId="2" builtinId="5" customBuiltin="1"/>
    <cellStyle name="Percent [0]" xfId="58"/>
    <cellStyle name="Section separator" xfId="83"/>
    <cellStyle name="Title" xfId="3" builtinId="15" hidden="1"/>
    <cellStyle name="Title" xfId="73" builtinId="15"/>
    <cellStyle name="Title 2" xfId="86"/>
    <cellStyle name="To be reviewed or discussed" xfId="84"/>
    <cellStyle name="Total" xfId="19" builtinId="25" hidden="1"/>
    <cellStyle name="Warning Text" xfId="16" builtinId="11" customBuiltin="1"/>
    <cellStyle name="Warning Text 2" xfId="76"/>
    <cellStyle name="WIP" xfId="53"/>
    <cellStyle name="Within-worksheet counter-flow" xfId="79"/>
    <cellStyle name="Year" xfId="72"/>
  </cellStyles>
  <dxfs count="45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ont>
        <color theme="0" tint="-0.14996795556505021"/>
      </font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</dxfs>
  <tableStyles count="0" defaultTableStyle="TableStyleMedium2" defaultPivotStyle="PivotStyleLight16"/>
  <colors>
    <mruColors>
      <color rgb="FF7FBBE4"/>
      <color rgb="FFFCEABF"/>
      <color rgb="FF0000FF"/>
      <color rgb="FFFFC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3</xdr:row>
      <xdr:rowOff>38100</xdr:rowOff>
    </xdr:from>
    <xdr:to>
      <xdr:col>5</xdr:col>
      <xdr:colOff>234807</xdr:colOff>
      <xdr:row>6</xdr:row>
      <xdr:rowOff>188121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743" y="702129"/>
          <a:ext cx="2754850" cy="7752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g.rayat/OneDrive%20-%20OFWAT/Quality%20and%20Assurance/FD%20-%20Reconciliation%20Rule%20Book/Reconciliation%20Rule%20Book/Models/Cost-of-New-Debt-Indexation-Model-Blank-17.07.2019-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Model formatting"/>
      <sheetName val="ToC"/>
      <sheetName val="InpC"/>
      <sheetName val="InpR"/>
      <sheetName val="InpIndex"/>
      <sheetName val="Time"/>
      <sheetName val="RCV and post 2020 investment"/>
      <sheetName val="Cost of Debt"/>
      <sheetName val="Water Resources"/>
      <sheetName val="Water Network +"/>
      <sheetName val="Wastewater Network +"/>
      <sheetName val="Bioresources"/>
      <sheetName val="Check"/>
      <sheetName val="Track"/>
    </sheetNames>
    <sheetDataSet>
      <sheetData sheetId="0"/>
      <sheetData sheetId="1"/>
      <sheetData sheetId="2"/>
      <sheetData sheetId="3">
        <row r="43">
          <cell r="F43">
            <v>1E-3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wat 2016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6" id="{A420DE61-A4E8-4DB5-890E-1E2F09860D19}" vid="{7B41E948-0C9A-4054-BED8-27FCA73304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19Reconciliationrulebook@ofwat.gov.uk" TargetMode="External"/><Relationship Id="rId1" Type="http://schemas.openxmlformats.org/officeDocument/2006/relationships/hyperlink" Target="mailto:PR19Reconciliationrulebook@ofwat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DCD8"/>
    <pageSetUpPr fitToPage="1"/>
  </sheetPr>
  <dimension ref="A1:F29"/>
  <sheetViews>
    <sheetView tabSelected="1" view="pageBreakPreview" topLeftCell="A12" zoomScale="80" zoomScaleNormal="100" zoomScaleSheetLayoutView="80" workbookViewId="0">
      <selection activeCell="A27" sqref="A27:XFD40"/>
    </sheetView>
  </sheetViews>
  <sheetFormatPr defaultColWidth="9.125" defaultRowHeight="12.75" x14ac:dyDescent="0.35"/>
  <cols>
    <col min="1" max="1" width="28.25" style="302" bestFit="1" customWidth="1"/>
    <col min="2" max="2" width="100.25" style="302" customWidth="1"/>
    <col min="3" max="3" width="18.875" style="302" customWidth="1"/>
    <col min="4" max="16384" width="9.125" style="302"/>
  </cols>
  <sheetData>
    <row r="1" spans="1:6" ht="32.25" thickBot="1" x14ac:dyDescent="1.1000000000000001">
      <c r="A1" s="301" t="str">
        <f ca="1" xml:space="preserve"> RIGHT(CELL("filename", $A$1), LEN(CELL("filename", $A$1)) - SEARCH("]", CELL("filename", $A$1)))</f>
        <v>Cover</v>
      </c>
      <c r="B1" s="301"/>
      <c r="C1" s="301"/>
      <c r="D1" s="301"/>
      <c r="E1" s="301"/>
      <c r="F1" s="301"/>
    </row>
    <row r="2" spans="1:6" ht="3.95" customHeight="1" x14ac:dyDescent="0.4">
      <c r="A2" s="303"/>
      <c r="B2" s="303"/>
      <c r="C2" s="303"/>
      <c r="D2" s="303"/>
      <c r="E2" s="303"/>
      <c r="F2" s="303"/>
    </row>
    <row r="3" spans="1:6" ht="15" x14ac:dyDescent="0.4">
      <c r="A3" s="304" t="s">
        <v>0</v>
      </c>
      <c r="B3" s="220" t="s">
        <v>1</v>
      </c>
      <c r="C3" s="305"/>
      <c r="D3" s="305"/>
      <c r="E3" s="305"/>
      <c r="F3" s="305"/>
    </row>
    <row r="4" spans="1:6" ht="15" x14ac:dyDescent="0.4">
      <c r="A4" s="304" t="s">
        <v>2</v>
      </c>
      <c r="B4" s="304" t="s">
        <v>3</v>
      </c>
      <c r="C4" s="305"/>
      <c r="D4" s="305"/>
      <c r="E4" s="305"/>
      <c r="F4" s="305"/>
    </row>
    <row r="5" spans="1:6" ht="15" x14ac:dyDescent="0.4">
      <c r="A5" s="304" t="s">
        <v>4</v>
      </c>
      <c r="B5" s="220" t="str">
        <f ca="1" xml:space="preserve"> MID(CELL("filename"), FIND("[", CELL("filename"), 1) + 1, FIND("]", CELL("filename"), 1) - FIND("[", CELL("filename"), 1) - 1)</f>
        <v>PR19 in-period adjustments model.xlsx</v>
      </c>
      <c r="C5" s="305"/>
      <c r="D5" s="305"/>
      <c r="E5" s="305"/>
      <c r="F5" s="305"/>
    </row>
    <row r="6" spans="1:6" ht="15" x14ac:dyDescent="0.4">
      <c r="A6" s="304" t="s">
        <v>5</v>
      </c>
      <c r="B6" s="329">
        <v>43889</v>
      </c>
      <c r="C6" s="305"/>
      <c r="D6" s="305"/>
      <c r="E6" s="305"/>
      <c r="F6" s="305"/>
    </row>
    <row r="7" spans="1:6" ht="15" x14ac:dyDescent="0.4">
      <c r="A7" s="304" t="s">
        <v>6</v>
      </c>
      <c r="B7" s="304" t="s">
        <v>7</v>
      </c>
      <c r="C7" s="305"/>
      <c r="D7" s="305"/>
      <c r="E7" s="305"/>
      <c r="F7" s="305"/>
    </row>
    <row r="8" spans="1:6" ht="15" x14ac:dyDescent="0.4">
      <c r="A8" s="304" t="s">
        <v>8</v>
      </c>
      <c r="B8" s="306" t="s">
        <v>9</v>
      </c>
      <c r="C8" s="305"/>
      <c r="D8" s="305"/>
      <c r="E8" s="305"/>
      <c r="F8" s="305"/>
    </row>
    <row r="9" spans="1:6" ht="3.95" customHeight="1" x14ac:dyDescent="0.4">
      <c r="A9" s="304"/>
      <c r="B9" s="304"/>
      <c r="C9" s="304"/>
      <c r="D9" s="304"/>
      <c r="E9" s="304"/>
      <c r="F9" s="304"/>
    </row>
    <row r="11" spans="1:6" ht="51" x14ac:dyDescent="0.35">
      <c r="A11" s="307" t="s">
        <v>10</v>
      </c>
      <c r="B11" s="221" t="s">
        <v>11</v>
      </c>
    </row>
    <row r="12" spans="1:6" x14ac:dyDescent="0.35">
      <c r="A12" s="308"/>
      <c r="B12" s="308"/>
    </row>
    <row r="13" spans="1:6" ht="38.25" x14ac:dyDescent="0.35">
      <c r="A13" s="307" t="s">
        <v>12</v>
      </c>
      <c r="B13" s="309" t="s">
        <v>13</v>
      </c>
    </row>
    <row r="14" spans="1:6" x14ac:dyDescent="0.35">
      <c r="A14" s="308"/>
      <c r="B14" s="308"/>
    </row>
    <row r="15" spans="1:6" ht="76.5" x14ac:dyDescent="0.35">
      <c r="A15" s="307" t="s">
        <v>14</v>
      </c>
      <c r="B15" s="221" t="s">
        <v>15</v>
      </c>
    </row>
    <row r="16" spans="1:6" x14ac:dyDescent="0.35">
      <c r="A16" s="308"/>
      <c r="B16" s="308"/>
    </row>
    <row r="17" spans="1:6" ht="14.65" x14ac:dyDescent="0.35">
      <c r="A17" s="307" t="s">
        <v>16</v>
      </c>
      <c r="B17" s="308" t="s">
        <v>17</v>
      </c>
    </row>
    <row r="18" spans="1:6" x14ac:dyDescent="0.35">
      <c r="A18" s="308"/>
      <c r="B18" s="308"/>
    </row>
    <row r="19" spans="1:6" ht="14.65" x14ac:dyDescent="0.35">
      <c r="A19" s="307" t="s">
        <v>18</v>
      </c>
      <c r="B19" s="308" t="s">
        <v>19</v>
      </c>
    </row>
    <row r="20" spans="1:6" ht="13.15" thickBot="1" x14ac:dyDescent="0.4">
      <c r="A20" s="308"/>
      <c r="B20" s="308"/>
    </row>
    <row r="21" spans="1:6" ht="15" thickBot="1" x14ac:dyDescent="0.4">
      <c r="A21" s="307" t="s">
        <v>20</v>
      </c>
      <c r="B21" s="308" t="s">
        <v>17</v>
      </c>
      <c r="C21" s="310"/>
    </row>
    <row r="22" spans="1:6" x14ac:dyDescent="0.35">
      <c r="A22" s="308"/>
      <c r="B22" s="308"/>
    </row>
    <row r="23" spans="1:6" ht="14.65" x14ac:dyDescent="0.35">
      <c r="A23" s="307" t="s">
        <v>21</v>
      </c>
      <c r="B23" s="308" t="s">
        <v>22</v>
      </c>
    </row>
    <row r="24" spans="1:6" x14ac:dyDescent="0.35">
      <c r="A24" s="308"/>
      <c r="B24" s="311" t="s">
        <v>9</v>
      </c>
    </row>
    <row r="25" spans="1:6" x14ac:dyDescent="0.35">
      <c r="A25" s="308"/>
      <c r="B25" s="308"/>
    </row>
    <row r="26" spans="1:6" x14ac:dyDescent="0.35">
      <c r="A26" s="308"/>
      <c r="B26" s="308"/>
    </row>
    <row r="29" spans="1:6" ht="13.5" x14ac:dyDescent="0.45">
      <c r="A29" s="312" t="s">
        <v>23</v>
      </c>
      <c r="B29" s="312"/>
      <c r="C29" s="312"/>
      <c r="D29" s="312"/>
      <c r="E29" s="312"/>
      <c r="F29" s="312"/>
    </row>
  </sheetData>
  <hyperlinks>
    <hyperlink ref="B8" r:id="rId1"/>
    <hyperlink ref="B24" r:id="rId2"/>
  </hyperlinks>
  <pageMargins left="0.7" right="0.7" top="0.75" bottom="0.75" header="0.3" footer="0.3"/>
  <pageSetup paperSize="9" scale="69" fitToHeight="0" orientation="landscape" r:id="rId3"/>
  <headerFooter>
    <oddHeader xml:space="preserve">&amp;L&amp;F &amp;CSheet: &amp;A &amp;ROFFICIAL </oddHeader>
    <oddFooter xml:space="preserve">&amp;L&amp;D at &amp;T &amp;C&amp;P of &amp;N &amp;ROfwat 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 summaryRight="0"/>
    <pageSetUpPr fitToPage="1"/>
  </sheetPr>
  <dimension ref="A1:T77"/>
  <sheetViews>
    <sheetView view="pageBreakPreview" zoomScale="60" zoomScaleNormal="100" workbookViewId="0">
      <pane xSplit="9" ySplit="5" topLeftCell="L6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35"/>
  <cols>
    <col min="1" max="1" width="1.625" style="126" customWidth="1"/>
    <col min="2" max="2" width="1.625" style="205" customWidth="1"/>
    <col min="3" max="3" width="1.625" style="128" customWidth="1"/>
    <col min="4" max="4" width="1.625" style="117" customWidth="1"/>
    <col min="5" max="5" width="45.625" style="117" customWidth="1"/>
    <col min="6" max="7" width="15.625" style="117" customWidth="1"/>
    <col min="8" max="8" width="15.625" style="34" customWidth="1"/>
    <col min="9" max="9" width="2.625" style="34" customWidth="1"/>
    <col min="10" max="20" width="9.625" style="34" customWidth="1"/>
    <col min="21" max="16384" width="9.625" style="34" hidden="1"/>
  </cols>
  <sheetData>
    <row r="1" spans="1:20" s="135" customFormat="1" ht="29.25" x14ac:dyDescent="0.35">
      <c r="A1" s="194" t="str">
        <f ca="1" xml:space="preserve"> RIGHT(CELL("filename", $A$1), LEN(CELL("filename", $A$1)) - SEARCH("]", CELL("filename", $A$1)))</f>
        <v>Wastewater network plus</v>
      </c>
      <c r="B1" s="195"/>
      <c r="C1" s="196"/>
      <c r="D1" s="192"/>
      <c r="E1" s="192"/>
      <c r="F1" s="192"/>
      <c r="G1" s="192"/>
      <c r="H1" s="92">
        <f>Inputs!F9</f>
        <v>0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s="18" customFormat="1" ht="13.15" x14ac:dyDescent="0.35">
      <c r="A2" s="197"/>
      <c r="B2" s="198"/>
      <c r="C2" s="199"/>
      <c r="D2" s="200"/>
      <c r="E2" s="167" t="str">
        <f>Time!E$22</f>
        <v>Model Period END</v>
      </c>
      <c r="F2" s="167"/>
      <c r="G2" s="167"/>
      <c r="H2" s="17"/>
      <c r="I2" s="17"/>
      <c r="J2" s="17">
        <f>Time!J$22</f>
        <v>42460</v>
      </c>
      <c r="K2" s="17">
        <f>Time!K$22</f>
        <v>42825</v>
      </c>
      <c r="L2" s="17">
        <f>Time!L$22</f>
        <v>43190</v>
      </c>
      <c r="M2" s="17">
        <f>Time!M$22</f>
        <v>43555</v>
      </c>
      <c r="N2" s="17">
        <f>Time!N$22</f>
        <v>43921</v>
      </c>
      <c r="O2" s="17">
        <f>Time!O$22</f>
        <v>44286</v>
      </c>
      <c r="P2" s="17">
        <f>Time!P$22</f>
        <v>44651</v>
      </c>
      <c r="Q2" s="17">
        <f>Time!Q$22</f>
        <v>45016</v>
      </c>
      <c r="R2" s="17">
        <f>Time!R$22</f>
        <v>45382</v>
      </c>
      <c r="S2" s="17">
        <f>Time!S$22</f>
        <v>45747</v>
      </c>
      <c r="T2" s="17">
        <f>Time!T$22</f>
        <v>46112</v>
      </c>
    </row>
    <row r="3" spans="1:20" s="23" customFormat="1" ht="13.15" x14ac:dyDescent="0.35">
      <c r="A3" s="193"/>
      <c r="B3" s="198"/>
      <c r="C3" s="199"/>
      <c r="D3" s="200"/>
      <c r="E3" s="167" t="str">
        <f>Time!E$58</f>
        <v>Pre Forecast vs Forecast</v>
      </c>
      <c r="F3" s="167"/>
      <c r="G3" s="167"/>
      <c r="H3" s="17"/>
      <c r="I3" s="17"/>
      <c r="J3" s="1" t="str">
        <f>Time!J$58</f>
        <v>Pre Fcst</v>
      </c>
      <c r="K3" s="1" t="str">
        <f>Time!K$58</f>
        <v>Pre Fcst</v>
      </c>
      <c r="L3" s="1" t="str">
        <f>Time!L$58</f>
        <v>Pre Fcst</v>
      </c>
      <c r="M3" s="1" t="str">
        <f>Time!M$58</f>
        <v>Pre Fcst</v>
      </c>
      <c r="N3" s="1" t="str">
        <f>Time!N$58</f>
        <v>Pre Fcst</v>
      </c>
      <c r="O3" s="1" t="str">
        <f>Time!O$58</f>
        <v>Forecast</v>
      </c>
      <c r="P3" s="1" t="str">
        <f>Time!P$58</f>
        <v>Forecast</v>
      </c>
      <c r="Q3" s="1" t="str">
        <f>Time!Q$58</f>
        <v>Forecast</v>
      </c>
      <c r="R3" s="1" t="str">
        <f>Time!R$58</f>
        <v>Forecast</v>
      </c>
      <c r="S3" s="1" t="str">
        <f>Time!S$58</f>
        <v>Forecast</v>
      </c>
      <c r="T3" s="1" t="str">
        <f>Time!T$58</f>
        <v>Post-Fcst</v>
      </c>
    </row>
    <row r="4" spans="1:20" s="166" customFormat="1" ht="13.15" x14ac:dyDescent="0.35">
      <c r="A4" s="193"/>
      <c r="B4" s="201"/>
      <c r="C4" s="199"/>
      <c r="D4" s="202"/>
      <c r="E4" s="168" t="str">
        <f>Time!E$85</f>
        <v>Financial Year Ending</v>
      </c>
      <c r="F4" s="168"/>
      <c r="G4" s="168"/>
      <c r="H4" s="164"/>
      <c r="I4" s="164"/>
      <c r="J4" s="165">
        <f>Time!J$85</f>
        <v>2016</v>
      </c>
      <c r="K4" s="165">
        <f>Time!K$85</f>
        <v>2017</v>
      </c>
      <c r="L4" s="165">
        <f>Time!L$85</f>
        <v>2018</v>
      </c>
      <c r="M4" s="165">
        <f>Time!M$85</f>
        <v>2019</v>
      </c>
      <c r="N4" s="165">
        <f>Time!N$85</f>
        <v>2020</v>
      </c>
      <c r="O4" s="165">
        <f>Time!O$85</f>
        <v>2021</v>
      </c>
      <c r="P4" s="165">
        <f>Time!P$85</f>
        <v>2022</v>
      </c>
      <c r="Q4" s="165">
        <f>Time!Q$85</f>
        <v>2023</v>
      </c>
      <c r="R4" s="165">
        <f>Time!R$85</f>
        <v>2024</v>
      </c>
      <c r="S4" s="165">
        <f>Time!S$85</f>
        <v>2025</v>
      </c>
      <c r="T4" s="165">
        <f>Time!T$85</f>
        <v>2026</v>
      </c>
    </row>
    <row r="5" spans="1:20" s="33" customFormat="1" ht="13.15" x14ac:dyDescent="0.35">
      <c r="A5" s="193"/>
      <c r="B5" s="198"/>
      <c r="C5" s="199"/>
      <c r="D5" s="200"/>
      <c r="E5" s="168" t="str">
        <f>Time!E$10</f>
        <v>Model column counter</v>
      </c>
      <c r="F5" s="193" t="s">
        <v>84</v>
      </c>
      <c r="G5" s="193" t="s">
        <v>85</v>
      </c>
      <c r="H5" s="23" t="s">
        <v>86</v>
      </c>
      <c r="I5" s="28"/>
      <c r="J5" s="28">
        <f>Time!J$10</f>
        <v>1</v>
      </c>
      <c r="K5" s="28">
        <f>Time!K$10</f>
        <v>2</v>
      </c>
      <c r="L5" s="28">
        <f>Time!L$10</f>
        <v>3</v>
      </c>
      <c r="M5" s="28">
        <f>Time!M$10</f>
        <v>4</v>
      </c>
      <c r="N5" s="28">
        <f>Time!N$10</f>
        <v>5</v>
      </c>
      <c r="O5" s="28">
        <f>Time!O$10</f>
        <v>6</v>
      </c>
      <c r="P5" s="28">
        <f>Time!P$10</f>
        <v>7</v>
      </c>
      <c r="Q5" s="28">
        <f>Time!Q$10</f>
        <v>8</v>
      </c>
      <c r="R5" s="28">
        <f>Time!R$10</f>
        <v>9</v>
      </c>
      <c r="S5" s="28">
        <f>Time!S$10</f>
        <v>10</v>
      </c>
      <c r="T5" s="28">
        <f>Time!T$10</f>
        <v>11</v>
      </c>
    </row>
    <row r="6" spans="1:20" s="33" customFormat="1" ht="13.15" x14ac:dyDescent="0.35">
      <c r="A6" s="193"/>
      <c r="B6" s="198"/>
      <c r="C6" s="199"/>
      <c r="D6" s="200"/>
      <c r="E6" s="168"/>
      <c r="F6" s="193"/>
      <c r="G6" s="193"/>
      <c r="H6" s="23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9" customFormat="1" ht="13.15" x14ac:dyDescent="0.35">
      <c r="A7" s="224" t="s">
        <v>95</v>
      </c>
      <c r="B7" s="225"/>
      <c r="C7" s="225"/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</row>
    <row r="8" spans="1:20" ht="13.15" x14ac:dyDescent="0.35">
      <c r="A8" s="228"/>
      <c r="B8" s="229"/>
      <c r="C8" s="230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</row>
    <row r="9" spans="1:20" s="227" customFormat="1" ht="13.15" x14ac:dyDescent="0.35">
      <c r="A9" s="228"/>
      <c r="B9" s="229" t="s">
        <v>202</v>
      </c>
      <c r="C9" s="230"/>
    </row>
    <row r="10" spans="1:20" s="233" customFormat="1" ht="13.15" x14ac:dyDescent="0.35">
      <c r="A10" s="231"/>
      <c r="B10" s="232"/>
      <c r="E10" s="233" t="str">
        <f>'Abatements and deferrals'!E111</f>
        <v>Water resources</v>
      </c>
      <c r="G10" s="233" t="str">
        <f>'Abatements and deferrals'!G111</f>
        <v>£m (2017-18 prices)</v>
      </c>
      <c r="H10" s="233">
        <f>'Abatements and deferrals'!H111</f>
        <v>0</v>
      </c>
    </row>
    <row r="11" spans="1:20" s="227" customFormat="1" ht="13.15" x14ac:dyDescent="0.35">
      <c r="A11" s="228"/>
      <c r="B11" s="229"/>
      <c r="C11" s="230"/>
      <c r="E11" s="233" t="str">
        <f>'Abatements and deferrals'!E112</f>
        <v>Water network plus</v>
      </c>
      <c r="F11" s="233"/>
      <c r="G11" s="233" t="str">
        <f>'Abatements and deferrals'!G112</f>
        <v>£m (2017-18 prices)</v>
      </c>
      <c r="H11" s="233">
        <f>'Abatements and deferrals'!H112</f>
        <v>0</v>
      </c>
    </row>
    <row r="12" spans="1:20" s="227" customFormat="1" ht="13.15" x14ac:dyDescent="0.35">
      <c r="A12" s="228"/>
      <c r="B12" s="229"/>
      <c r="C12" s="230"/>
      <c r="E12" s="233" t="str">
        <f>'Abatements and deferrals'!E113</f>
        <v>Wastewater network plus</v>
      </c>
      <c r="F12" s="233"/>
      <c r="G12" s="233" t="str">
        <f>'Abatements and deferrals'!G113</f>
        <v>£m (2017-18 prices)</v>
      </c>
      <c r="H12" s="233">
        <f>'Abatements and deferrals'!H113</f>
        <v>0</v>
      </c>
    </row>
    <row r="13" spans="1:20" s="227" customFormat="1" ht="13.15" x14ac:dyDescent="0.35">
      <c r="A13" s="228"/>
      <c r="B13" s="229"/>
      <c r="C13" s="230"/>
      <c r="E13" s="233" t="str">
        <f>'Abatements and deferrals'!E114</f>
        <v>Bioresources (sludge)</v>
      </c>
      <c r="F13" s="233"/>
      <c r="G13" s="233" t="str">
        <f>'Abatements and deferrals'!G114</f>
        <v>£m (2017-18 prices)</v>
      </c>
      <c r="H13" s="233">
        <f>'Abatements and deferrals'!H114</f>
        <v>0</v>
      </c>
    </row>
    <row r="14" spans="1:20" s="227" customFormat="1" ht="13.15" x14ac:dyDescent="0.35">
      <c r="A14" s="228"/>
      <c r="B14" s="229"/>
      <c r="C14" s="230"/>
      <c r="E14" s="233" t="str">
        <f>'Abatements and deferrals'!E115</f>
        <v>Residential retail</v>
      </c>
      <c r="F14" s="233"/>
      <c r="G14" s="233" t="str">
        <f>'Abatements and deferrals'!G115</f>
        <v>£m (2017-18 prices)</v>
      </c>
      <c r="H14" s="233">
        <f>'Abatements and deferrals'!H115</f>
        <v>0</v>
      </c>
    </row>
    <row r="15" spans="1:20" s="227" customFormat="1" ht="13.15" x14ac:dyDescent="0.35">
      <c r="A15" s="228"/>
      <c r="B15" s="229"/>
      <c r="C15" s="230"/>
      <c r="E15" s="233" t="str">
        <f>'Abatements and deferrals'!E116</f>
        <v>Business retail</v>
      </c>
      <c r="F15" s="233"/>
      <c r="G15" s="233" t="str">
        <f>'Abatements and deferrals'!G116</f>
        <v>£m (2017-18 prices)</v>
      </c>
      <c r="H15" s="233">
        <f>'Abatements and deferrals'!H116</f>
        <v>0</v>
      </c>
    </row>
    <row r="16" spans="1:20" s="227" customFormat="1" ht="13.15" x14ac:dyDescent="0.35">
      <c r="A16" s="228"/>
      <c r="B16" s="229"/>
      <c r="C16" s="230"/>
      <c r="E16" s="233" t="str">
        <f>'Abatements and deferrals'!E117</f>
        <v>Dummy control</v>
      </c>
      <c r="F16" s="233"/>
      <c r="G16" s="233" t="str">
        <f>'Abatements and deferrals'!G117</f>
        <v>£m (2017-18 prices)</v>
      </c>
      <c r="H16" s="233">
        <f>'Abatements and deferrals'!H117</f>
        <v>0</v>
      </c>
    </row>
    <row r="17" spans="1:20" s="227" customFormat="1" ht="13.15" x14ac:dyDescent="0.35">
      <c r="A17" s="228"/>
      <c r="B17" s="229"/>
      <c r="C17" s="230"/>
      <c r="E17" s="233"/>
    </row>
    <row r="18" spans="1:20" s="227" customFormat="1" ht="13.15" x14ac:dyDescent="0.35">
      <c r="A18" s="228"/>
      <c r="B18" s="229"/>
      <c r="E18" s="227" t="s">
        <v>203</v>
      </c>
      <c r="F18" s="234" t="s">
        <v>73</v>
      </c>
    </row>
    <row r="19" spans="1:20" s="227" customFormat="1" ht="13.15" x14ac:dyDescent="0.35">
      <c r="A19" s="228"/>
      <c r="B19" s="229"/>
      <c r="C19" s="230"/>
      <c r="E19" s="227" t="s">
        <v>204</v>
      </c>
      <c r="G19" s="227" t="str">
        <f>VLOOKUP($F18,$E$10:$H$16,3,FALSE)</f>
        <v>£m (2017-18 prices)</v>
      </c>
      <c r="H19" s="227">
        <f>VLOOKUP($F18,$E$10:$H$16,4,FALSE)</f>
        <v>0</v>
      </c>
    </row>
    <row r="20" spans="1:20" s="227" customFormat="1" ht="13.15" x14ac:dyDescent="0.35">
      <c r="A20" s="228"/>
      <c r="B20" s="229"/>
      <c r="C20" s="230"/>
    </row>
    <row r="21" spans="1:20" s="227" customFormat="1" ht="13.15" x14ac:dyDescent="0.35">
      <c r="A21" s="228"/>
      <c r="B21" s="229" t="s">
        <v>205</v>
      </c>
      <c r="C21" s="230"/>
    </row>
    <row r="22" spans="1:20" s="227" customFormat="1" ht="13.15" x14ac:dyDescent="0.35">
      <c r="A22" s="228"/>
      <c r="B22" s="229"/>
      <c r="C22" s="230"/>
    </row>
    <row r="23" spans="1:20" s="233" customFormat="1" ht="13.15" x14ac:dyDescent="0.35">
      <c r="A23" s="231"/>
      <c r="B23" s="232"/>
      <c r="E23" s="233" t="str">
        <f xml:space="preserve"> Inputs!E$12</f>
        <v>Reporting year</v>
      </c>
      <c r="F23" s="233">
        <f xml:space="preserve"> Inputs!F$12</f>
        <v>0</v>
      </c>
      <c r="G23" s="233" t="str">
        <f xml:space="preserve"> Inputs!G$12</f>
        <v>Financial year</v>
      </c>
    </row>
    <row r="24" spans="1:20" s="227" customFormat="1" ht="13.15" x14ac:dyDescent="0.35">
      <c r="A24" s="228"/>
      <c r="B24" s="229"/>
      <c r="C24" s="230"/>
      <c r="E24" s="227" t="s">
        <v>206</v>
      </c>
      <c r="F24" s="331">
        <f>_xlfn.NUMBERVALUE(CONCATENATE(20,RIGHT(F23,2)))</f>
        <v>200</v>
      </c>
    </row>
    <row r="25" spans="1:20" s="233" customFormat="1" ht="13.15" x14ac:dyDescent="0.35">
      <c r="A25" s="231"/>
      <c r="B25" s="232"/>
      <c r="E25" s="246" t="str">
        <f xml:space="preserve"> Time!E$85</f>
        <v>Financial Year Ending</v>
      </c>
      <c r="F25" s="244">
        <f xml:space="preserve"> Time!F$85</f>
        <v>0</v>
      </c>
      <c r="G25" s="244" t="str">
        <f xml:space="preserve"> Time!G$85</f>
        <v>year #</v>
      </c>
      <c r="H25" s="244">
        <f xml:space="preserve"> Time!H$85</f>
        <v>0</v>
      </c>
      <c r="I25" s="244">
        <f xml:space="preserve"> Time!I$85</f>
        <v>0</v>
      </c>
      <c r="J25" s="330">
        <f xml:space="preserve"> Time!J$85</f>
        <v>2016</v>
      </c>
      <c r="K25" s="330">
        <f xml:space="preserve"> Time!K$85</f>
        <v>2017</v>
      </c>
      <c r="L25" s="330">
        <f xml:space="preserve"> Time!L$85</f>
        <v>2018</v>
      </c>
      <c r="M25" s="330">
        <f xml:space="preserve"> Time!M$85</f>
        <v>2019</v>
      </c>
      <c r="N25" s="330">
        <f xml:space="preserve"> Time!N$85</f>
        <v>2020</v>
      </c>
      <c r="O25" s="330">
        <f xml:space="preserve"> Time!O$85</f>
        <v>2021</v>
      </c>
      <c r="P25" s="330">
        <f xml:space="preserve"> Time!P$85</f>
        <v>2022</v>
      </c>
      <c r="Q25" s="330">
        <f xml:space="preserve"> Time!Q$85</f>
        <v>2023</v>
      </c>
      <c r="R25" s="330">
        <f xml:space="preserve"> Time!R$85</f>
        <v>2024</v>
      </c>
      <c r="S25" s="330">
        <f xml:space="preserve"> Time!S$85</f>
        <v>2025</v>
      </c>
      <c r="T25" s="330">
        <f xml:space="preserve"> Time!T$85</f>
        <v>2026</v>
      </c>
    </row>
    <row r="26" spans="1:20" s="227" customFormat="1" ht="13.15" x14ac:dyDescent="0.35">
      <c r="A26" s="228"/>
      <c r="B26" s="229"/>
      <c r="C26" s="230"/>
      <c r="E26" s="227" t="s">
        <v>207</v>
      </c>
      <c r="G26" s="227" t="s">
        <v>158</v>
      </c>
      <c r="J26" s="245">
        <f xml:space="preserve"> IF( J25 = $F24, 1, 0 )</f>
        <v>0</v>
      </c>
      <c r="K26" s="245">
        <f t="shared" ref="K26:T26" si="0" xml:space="preserve"> IF( K25 = $F24, 1, 0 )</f>
        <v>0</v>
      </c>
      <c r="L26" s="245">
        <f t="shared" si="0"/>
        <v>0</v>
      </c>
      <c r="M26" s="245">
        <f t="shared" si="0"/>
        <v>0</v>
      </c>
      <c r="N26" s="245">
        <f t="shared" si="0"/>
        <v>0</v>
      </c>
      <c r="O26" s="245">
        <f t="shared" si="0"/>
        <v>0</v>
      </c>
      <c r="P26" s="245">
        <f t="shared" si="0"/>
        <v>0</v>
      </c>
      <c r="Q26" s="245">
        <f t="shared" si="0"/>
        <v>0</v>
      </c>
      <c r="R26" s="245">
        <f t="shared" si="0"/>
        <v>0</v>
      </c>
      <c r="S26" s="245">
        <f t="shared" si="0"/>
        <v>0</v>
      </c>
      <c r="T26" s="245">
        <f t="shared" si="0"/>
        <v>0</v>
      </c>
    </row>
    <row r="27" spans="1:20" s="227" customFormat="1" ht="13.15" x14ac:dyDescent="0.35">
      <c r="A27" s="228"/>
      <c r="B27" s="229"/>
      <c r="C27" s="230"/>
      <c r="E27" s="227" t="s">
        <v>208</v>
      </c>
      <c r="G27" s="227" t="s">
        <v>158</v>
      </c>
      <c r="J27" s="245">
        <f xml:space="preserve"> IF( H26 = 1, 1, 0 )</f>
        <v>0</v>
      </c>
      <c r="K27" s="245">
        <f t="shared" ref="K27:T27" si="1" xml:space="preserve"> IF( I26 = 1, 1, 0 )</f>
        <v>0</v>
      </c>
      <c r="L27" s="245">
        <f t="shared" si="1"/>
        <v>0</v>
      </c>
      <c r="M27" s="245">
        <f t="shared" si="1"/>
        <v>0</v>
      </c>
      <c r="N27" s="245">
        <f t="shared" si="1"/>
        <v>0</v>
      </c>
      <c r="O27" s="245">
        <f t="shared" si="1"/>
        <v>0</v>
      </c>
      <c r="P27" s="245">
        <f t="shared" si="1"/>
        <v>0</v>
      </c>
      <c r="Q27" s="245">
        <f t="shared" si="1"/>
        <v>0</v>
      </c>
      <c r="R27" s="245">
        <f t="shared" si="1"/>
        <v>0</v>
      </c>
      <c r="S27" s="245">
        <f t="shared" si="1"/>
        <v>0</v>
      </c>
      <c r="T27" s="245">
        <f t="shared" si="1"/>
        <v>0</v>
      </c>
    </row>
    <row r="28" spans="1:20" s="227" customFormat="1" ht="13.15" x14ac:dyDescent="0.35">
      <c r="A28" s="228"/>
      <c r="B28" s="229"/>
      <c r="C28" s="230"/>
    </row>
    <row r="29" spans="1:20" s="227" customFormat="1" ht="13.15" x14ac:dyDescent="0.35">
      <c r="A29" s="228"/>
      <c r="B29" s="229"/>
      <c r="C29" s="230"/>
      <c r="E29" s="227" t="str">
        <f xml:space="preserve"> E19</f>
        <v>ODI payments for this price control</v>
      </c>
      <c r="G29" s="227" t="str">
        <f xml:space="preserve"> G19</f>
        <v>£m (2017-18 prices)</v>
      </c>
      <c r="J29" s="227">
        <f xml:space="preserve"> IF( J27 = 1, $H19, 0 )</f>
        <v>0</v>
      </c>
      <c r="K29" s="227">
        <f t="shared" ref="K29:T29" si="2" xml:space="preserve"> IF( K27 = 1, $H19, 0 )</f>
        <v>0</v>
      </c>
      <c r="L29" s="227">
        <f t="shared" si="2"/>
        <v>0</v>
      </c>
      <c r="M29" s="227">
        <f t="shared" si="2"/>
        <v>0</v>
      </c>
      <c r="N29" s="227">
        <f t="shared" si="2"/>
        <v>0</v>
      </c>
      <c r="O29" s="227">
        <f t="shared" si="2"/>
        <v>0</v>
      </c>
      <c r="P29" s="227">
        <f t="shared" si="2"/>
        <v>0</v>
      </c>
      <c r="Q29" s="227">
        <f t="shared" si="2"/>
        <v>0</v>
      </c>
      <c r="R29" s="227">
        <f t="shared" si="2"/>
        <v>0</v>
      </c>
      <c r="S29" s="227">
        <f t="shared" si="2"/>
        <v>0</v>
      </c>
      <c r="T29" s="227">
        <f t="shared" si="2"/>
        <v>0</v>
      </c>
    </row>
    <row r="30" spans="1:20" ht="13.15" x14ac:dyDescent="0.35">
      <c r="A30" s="228"/>
      <c r="B30" s="229"/>
      <c r="C30" s="230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</row>
    <row r="31" spans="1:20" s="9" customFormat="1" ht="13.15" x14ac:dyDescent="0.35">
      <c r="A31" s="224" t="s">
        <v>209</v>
      </c>
      <c r="B31" s="175"/>
      <c r="C31" s="175"/>
      <c r="D31" s="175"/>
      <c r="E31" s="176"/>
      <c r="F31" s="87"/>
      <c r="G31" s="96"/>
      <c r="H31" s="97"/>
      <c r="I31" s="89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1:20" ht="13.15" x14ac:dyDescent="0.35">
      <c r="B32" s="127"/>
      <c r="E32" s="121"/>
    </row>
    <row r="33" spans="1:20" s="227" customFormat="1" ht="13.15" x14ac:dyDescent="0.35">
      <c r="A33" s="228"/>
      <c r="B33" s="229"/>
      <c r="E33" s="233" t="str">
        <f xml:space="preserve"> Inputs!E$86</f>
        <v>Allowed revenue starting point in FD</v>
      </c>
      <c r="F33" s="233">
        <f xml:space="preserve"> Inputs!F$86</f>
        <v>0</v>
      </c>
      <c r="G33" s="233" t="str">
        <f xml:space="preserve"> Inputs!G$86</f>
        <v>£m (nominal)</v>
      </c>
      <c r="H33" s="233">
        <f xml:space="preserve"> Inputs!H$86</f>
        <v>0</v>
      </c>
      <c r="I33" s="233">
        <f xml:space="preserve"> Inputs!I$86</f>
        <v>0</v>
      </c>
      <c r="J33" s="233">
        <f xml:space="preserve"> Inputs!J$86</f>
        <v>0</v>
      </c>
      <c r="K33" s="233">
        <f xml:space="preserve"> Inputs!K$86</f>
        <v>0</v>
      </c>
      <c r="L33" s="233">
        <f xml:space="preserve"> Inputs!L$86</f>
        <v>0</v>
      </c>
      <c r="M33" s="233">
        <f xml:space="preserve"> Inputs!M$86</f>
        <v>0</v>
      </c>
      <c r="N33" s="233">
        <f xml:space="preserve"> Inputs!N$86</f>
        <v>0</v>
      </c>
      <c r="O33" s="233">
        <f xml:space="preserve"> Inputs!O$86</f>
        <v>0</v>
      </c>
      <c r="P33" s="233">
        <f xml:space="preserve"> Inputs!P$86</f>
        <v>0</v>
      </c>
      <c r="Q33" s="233">
        <f xml:space="preserve"> Inputs!Q$86</f>
        <v>0</v>
      </c>
      <c r="R33" s="233">
        <f xml:space="preserve"> Inputs!R$86</f>
        <v>0</v>
      </c>
      <c r="S33" s="233">
        <f xml:space="preserve"> Inputs!S$86</f>
        <v>0</v>
      </c>
      <c r="T33" s="233">
        <f xml:space="preserve"> Inputs!T$86</f>
        <v>0</v>
      </c>
    </row>
    <row r="34" spans="1:20" s="227" customFormat="1" ht="13.15" x14ac:dyDescent="0.35">
      <c r="A34" s="228"/>
      <c r="B34" s="229"/>
      <c r="E34" s="227" t="str">
        <f>E33</f>
        <v>Allowed revenue starting point in FD</v>
      </c>
      <c r="H34" s="227">
        <f xml:space="preserve"> SUM( J33:T33 )</f>
        <v>0</v>
      </c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</row>
    <row r="35" spans="1:20" s="245" customFormat="1" ht="13.15" x14ac:dyDescent="0.35">
      <c r="A35" s="294"/>
      <c r="B35" s="295"/>
      <c r="C35" s="296"/>
      <c r="E35" s="246" t="str">
        <f xml:space="preserve"> Time!E$45</f>
        <v>1st Forecast Period Flag</v>
      </c>
      <c r="F35" s="244">
        <f xml:space="preserve"> Time!F$45</f>
        <v>0</v>
      </c>
      <c r="G35" s="244" t="str">
        <f xml:space="preserve"> Time!G$45</f>
        <v>flag</v>
      </c>
      <c r="H35" s="244">
        <f xml:space="preserve"> Time!H$45</f>
        <v>1</v>
      </c>
      <c r="I35" s="244">
        <f xml:space="preserve"> Time!I$45</f>
        <v>0</v>
      </c>
      <c r="J35" s="244">
        <f xml:space="preserve"> Time!J$45</f>
        <v>0</v>
      </c>
      <c r="K35" s="244">
        <f xml:space="preserve"> Time!K$45</f>
        <v>0</v>
      </c>
      <c r="L35" s="244">
        <f xml:space="preserve"> Time!L$45</f>
        <v>0</v>
      </c>
      <c r="M35" s="244">
        <f xml:space="preserve"> Time!M$45</f>
        <v>0</v>
      </c>
      <c r="N35" s="244">
        <f xml:space="preserve"> Time!N$45</f>
        <v>0</v>
      </c>
      <c r="O35" s="244">
        <f xml:space="preserve"> Time!O$45</f>
        <v>1</v>
      </c>
      <c r="P35" s="244">
        <f xml:space="preserve"> Time!P$45</f>
        <v>0</v>
      </c>
      <c r="Q35" s="244">
        <f xml:space="preserve"> Time!Q$45</f>
        <v>0</v>
      </c>
      <c r="R35" s="244">
        <f xml:space="preserve"> Time!R$45</f>
        <v>0</v>
      </c>
      <c r="S35" s="244">
        <f xml:space="preserve"> Time!S$45</f>
        <v>0</v>
      </c>
      <c r="T35" s="244">
        <f xml:space="preserve"> Time!T$45</f>
        <v>0</v>
      </c>
    </row>
    <row r="36" spans="1:20" s="276" customFormat="1" ht="13.15" x14ac:dyDescent="0.35">
      <c r="A36" s="281"/>
      <c r="B36" s="282"/>
      <c r="E36" s="222" t="str">
        <f xml:space="preserve"> Inputs!E$87</f>
        <v>K factors (last determined)</v>
      </c>
      <c r="F36" s="222">
        <f xml:space="preserve"> Inputs!F$87</f>
        <v>0</v>
      </c>
      <c r="G36" s="222" t="str">
        <f xml:space="preserve"> Inputs!G$87</f>
        <v>Percentage</v>
      </c>
      <c r="H36" s="222">
        <f xml:space="preserve"> Inputs!H$87</f>
        <v>0</v>
      </c>
      <c r="I36" s="222">
        <f xml:space="preserve"> Inputs!I$87</f>
        <v>0</v>
      </c>
      <c r="J36" s="222">
        <f xml:space="preserve"> Inputs!J$87</f>
        <v>0</v>
      </c>
      <c r="K36" s="222">
        <f xml:space="preserve"> Inputs!K$87</f>
        <v>0</v>
      </c>
      <c r="L36" s="222">
        <f xml:space="preserve"> Inputs!L$87</f>
        <v>0</v>
      </c>
      <c r="M36" s="222">
        <f xml:space="preserve"> Inputs!M$87</f>
        <v>0</v>
      </c>
      <c r="N36" s="222">
        <f xml:space="preserve"> Inputs!N$87</f>
        <v>0</v>
      </c>
      <c r="O36" s="222">
        <f xml:space="preserve"> Inputs!O$87</f>
        <v>0</v>
      </c>
      <c r="P36" s="222">
        <f xml:space="preserve"> Inputs!P$87</f>
        <v>0</v>
      </c>
      <c r="Q36" s="222">
        <f xml:space="preserve"> Inputs!Q$87</f>
        <v>0</v>
      </c>
      <c r="R36" s="222">
        <f xml:space="preserve"> Inputs!R$87</f>
        <v>0</v>
      </c>
      <c r="S36" s="222">
        <f xml:space="preserve"> Inputs!S$87</f>
        <v>0</v>
      </c>
      <c r="T36" s="222">
        <f xml:space="preserve"> Inputs!T$87</f>
        <v>0</v>
      </c>
    </row>
    <row r="37" spans="1:20" s="222" customFormat="1" ht="13.15" x14ac:dyDescent="0.35">
      <c r="A37" s="292"/>
      <c r="B37" s="293"/>
      <c r="E37" s="222" t="str">
        <f xml:space="preserve"> Index!E$10</f>
        <v>Annual inflation figures</v>
      </c>
      <c r="F37" s="222">
        <f xml:space="preserve"> Index!F$10</f>
        <v>0</v>
      </c>
      <c r="G37" s="222" t="str">
        <f xml:space="preserve"> Index!G$10</f>
        <v>Percentage</v>
      </c>
      <c r="H37" s="222">
        <f xml:space="preserve"> Index!H$10</f>
        <v>0</v>
      </c>
      <c r="I37" s="222">
        <f xml:space="preserve"> Index!I$10</f>
        <v>0</v>
      </c>
      <c r="J37" s="222">
        <f xml:space="preserve"> Index!J$10</f>
        <v>0</v>
      </c>
      <c r="K37" s="222">
        <f xml:space="preserve"> Index!K$10</f>
        <v>0</v>
      </c>
      <c r="L37" s="222">
        <f xml:space="preserve"> Index!L$10</f>
        <v>3.572786012922835E-2</v>
      </c>
      <c r="M37" s="222">
        <f xml:space="preserve"> Index!M$10</f>
        <v>3.3394495412844227E-2</v>
      </c>
      <c r="N37" s="222">
        <f xml:space="preserve"> Index!N$10</f>
        <v>0</v>
      </c>
      <c r="O37" s="222">
        <f xml:space="preserve"> Index!O$10</f>
        <v>0</v>
      </c>
      <c r="P37" s="222">
        <f xml:space="preserve"> Index!P$10</f>
        <v>0</v>
      </c>
      <c r="Q37" s="222">
        <f xml:space="preserve"> Index!Q$10</f>
        <v>0</v>
      </c>
      <c r="R37" s="222">
        <f xml:space="preserve"> Index!R$10</f>
        <v>0</v>
      </c>
      <c r="S37" s="222">
        <f xml:space="preserve"> Index!S$10</f>
        <v>0</v>
      </c>
      <c r="T37" s="222">
        <f xml:space="preserve"> Index!T$10</f>
        <v>0</v>
      </c>
    </row>
    <row r="38" spans="1:20" s="227" customFormat="1" ht="13.15" x14ac:dyDescent="0.35">
      <c r="A38" s="228"/>
      <c r="B38" s="229"/>
      <c r="E38" s="227" t="s">
        <v>210</v>
      </c>
      <c r="G38" s="227" t="s">
        <v>117</v>
      </c>
      <c r="H38" s="227">
        <f xml:space="preserve"> SUM( J38:T38 )</f>
        <v>0</v>
      </c>
      <c r="J38" s="227">
        <f xml:space="preserve"> IF(J35=1, $H34 * (1+J37+J36), I38 *  (1+J37+J36))</f>
        <v>0</v>
      </c>
      <c r="K38" s="227">
        <f t="shared" ref="K38:T38" si="3" xml:space="preserve"> IF(K35=1, $H34 * (1+K37+K36), J38 *  (1+K37+K36))</f>
        <v>0</v>
      </c>
      <c r="L38" s="227">
        <f t="shared" si="3"/>
        <v>0</v>
      </c>
      <c r="M38" s="227">
        <f t="shared" si="3"/>
        <v>0</v>
      </c>
      <c r="N38" s="227">
        <f t="shared" si="3"/>
        <v>0</v>
      </c>
      <c r="O38" s="227">
        <f xml:space="preserve"> IF(O35=1, $H34 * (1+O37+O36), N38 *  (1+O37+O36))</f>
        <v>0</v>
      </c>
      <c r="P38" s="227">
        <f xml:space="preserve"> IF(P35=1, $H34 * (1+P37+P36), O38 *  (1+P37+P36))</f>
        <v>0</v>
      </c>
      <c r="Q38" s="227">
        <f xml:space="preserve"> IF(Q35=1, $H34 * (1+Q37+Q36), P38 *  (1+Q37+Q36))</f>
        <v>0</v>
      </c>
      <c r="R38" s="227">
        <f t="shared" si="3"/>
        <v>0</v>
      </c>
      <c r="S38" s="227">
        <f t="shared" si="3"/>
        <v>0</v>
      </c>
      <c r="T38" s="227">
        <f t="shared" si="3"/>
        <v>0</v>
      </c>
    </row>
    <row r="39" spans="1:20" ht="13.15" x14ac:dyDescent="0.35">
      <c r="B39" s="127"/>
      <c r="E39" s="121"/>
    </row>
    <row r="40" spans="1:20" s="227" customFormat="1" ht="13.15" x14ac:dyDescent="0.35">
      <c r="A40" s="228"/>
      <c r="B40" s="229" t="s">
        <v>211</v>
      </c>
      <c r="C40" s="230"/>
    </row>
    <row r="41" spans="1:20" s="227" customFormat="1" ht="13.15" x14ac:dyDescent="0.35">
      <c r="A41" s="228"/>
      <c r="B41" s="229"/>
      <c r="E41" s="227" t="str">
        <f xml:space="preserve"> E$29</f>
        <v>ODI payments for this price control</v>
      </c>
      <c r="F41" s="227">
        <f t="shared" ref="F41:T41" si="4" xml:space="preserve"> F$29</f>
        <v>0</v>
      </c>
      <c r="G41" s="227" t="str">
        <f t="shared" si="4"/>
        <v>£m (2017-18 prices)</v>
      </c>
      <c r="H41" s="227">
        <f t="shared" si="4"/>
        <v>0</v>
      </c>
      <c r="I41" s="227">
        <f t="shared" si="4"/>
        <v>0</v>
      </c>
      <c r="J41" s="227">
        <f t="shared" si="4"/>
        <v>0</v>
      </c>
      <c r="K41" s="227">
        <f t="shared" si="4"/>
        <v>0</v>
      </c>
      <c r="L41" s="227">
        <f t="shared" si="4"/>
        <v>0</v>
      </c>
      <c r="M41" s="227">
        <f t="shared" si="4"/>
        <v>0</v>
      </c>
      <c r="N41" s="227">
        <f t="shared" si="4"/>
        <v>0</v>
      </c>
      <c r="O41" s="227">
        <f t="shared" si="4"/>
        <v>0</v>
      </c>
      <c r="P41" s="227">
        <f t="shared" si="4"/>
        <v>0</v>
      </c>
      <c r="Q41" s="227">
        <f t="shared" si="4"/>
        <v>0</v>
      </c>
      <c r="R41" s="227">
        <f t="shared" si="4"/>
        <v>0</v>
      </c>
      <c r="S41" s="227">
        <f t="shared" si="4"/>
        <v>0</v>
      </c>
      <c r="T41" s="227">
        <f t="shared" si="4"/>
        <v>0</v>
      </c>
    </row>
    <row r="42" spans="1:20" s="233" customFormat="1" ht="13.15" x14ac:dyDescent="0.35">
      <c r="A42" s="231"/>
      <c r="B42" s="232"/>
      <c r="E42" s="222" t="str">
        <f xml:space="preserve"> Index!E$13</f>
        <v>Cumulative inflation factor</v>
      </c>
      <c r="F42" s="222">
        <f xml:space="preserve"> Index!F$13</f>
        <v>0</v>
      </c>
      <c r="G42" s="222" t="str">
        <f xml:space="preserve"> Index!G$13</f>
        <v>Percentage</v>
      </c>
      <c r="H42" s="222">
        <f xml:space="preserve"> Index!H$13</f>
        <v>0</v>
      </c>
      <c r="I42" s="222">
        <f xml:space="preserve"> Index!I$13</f>
        <v>0</v>
      </c>
      <c r="J42" s="222">
        <f xml:space="preserve"> Index!J$13</f>
        <v>0</v>
      </c>
      <c r="K42" s="222">
        <f xml:space="preserve"> Index!K$13</f>
        <v>0</v>
      </c>
      <c r="L42" s="222">
        <f xml:space="preserve"> Index!L$13</f>
        <v>1</v>
      </c>
      <c r="M42" s="222">
        <f xml:space="preserve"> Index!M$13</f>
        <v>1.0333944954128442</v>
      </c>
      <c r="N42" s="222">
        <f xml:space="preserve"> Index!N$13</f>
        <v>1.0333944954128442</v>
      </c>
      <c r="O42" s="222">
        <f xml:space="preserve"> Index!O$13</f>
        <v>1.0333944954128442</v>
      </c>
      <c r="P42" s="222">
        <f xml:space="preserve"> Index!P$13</f>
        <v>1.0333944954128442</v>
      </c>
      <c r="Q42" s="222">
        <f xml:space="preserve"> Index!Q$13</f>
        <v>1.0333944954128442</v>
      </c>
      <c r="R42" s="222">
        <f xml:space="preserve"> Index!R$13</f>
        <v>1.0333944954128442</v>
      </c>
      <c r="S42" s="222">
        <f xml:space="preserve"> Index!S$13</f>
        <v>1.0333944954128442</v>
      </c>
      <c r="T42" s="222">
        <f xml:space="preserve"> Index!T$13</f>
        <v>1.0333944954128442</v>
      </c>
    </row>
    <row r="43" spans="1:20" s="227" customFormat="1" ht="13.15" x14ac:dyDescent="0.35">
      <c r="A43" s="228"/>
      <c r="B43" s="229"/>
      <c r="C43" s="230"/>
      <c r="E43" s="227" t="s">
        <v>212</v>
      </c>
      <c r="G43" s="227" t="s">
        <v>117</v>
      </c>
      <c r="H43" s="227">
        <f xml:space="preserve"> SUM( J43:T43 )</f>
        <v>0</v>
      </c>
      <c r="J43" s="227">
        <f t="shared" ref="J43:P43" si="5" xml:space="preserve"> J41 * J42</f>
        <v>0</v>
      </c>
      <c r="K43" s="227">
        <f t="shared" si="5"/>
        <v>0</v>
      </c>
      <c r="L43" s="227">
        <f t="shared" si="5"/>
        <v>0</v>
      </c>
      <c r="M43" s="227">
        <f t="shared" si="5"/>
        <v>0</v>
      </c>
      <c r="N43" s="227">
        <f t="shared" si="5"/>
        <v>0</v>
      </c>
      <c r="O43" s="227">
        <f t="shared" si="5"/>
        <v>0</v>
      </c>
      <c r="P43" s="227">
        <f t="shared" si="5"/>
        <v>0</v>
      </c>
      <c r="Q43" s="227">
        <f xml:space="preserve"> Q41 * Q42</f>
        <v>0</v>
      </c>
      <c r="R43" s="227">
        <f xml:space="preserve"> R41 * R42</f>
        <v>0</v>
      </c>
      <c r="S43" s="227">
        <f xml:space="preserve"> S41 * S42</f>
        <v>0</v>
      </c>
      <c r="T43" s="227">
        <f xml:space="preserve"> T41 * T42</f>
        <v>0</v>
      </c>
    </row>
    <row r="44" spans="1:20" s="227" customFormat="1" ht="13.15" x14ac:dyDescent="0.35">
      <c r="A44" s="228"/>
      <c r="B44" s="229"/>
      <c r="C44" s="230"/>
    </row>
    <row r="45" spans="1:20" s="227" customFormat="1" ht="13.15" x14ac:dyDescent="0.35">
      <c r="A45" s="228"/>
      <c r="B45" s="229" t="s">
        <v>213</v>
      </c>
      <c r="C45" s="230"/>
    </row>
    <row r="46" spans="1:20" s="233" customFormat="1" ht="13.15" x14ac:dyDescent="0.35">
      <c r="A46" s="231"/>
      <c r="B46" s="229"/>
      <c r="E46" s="222" t="str">
        <f xml:space="preserve"> Inputs!E$71</f>
        <v>Marginal tax rate</v>
      </c>
      <c r="F46" s="222">
        <f xml:space="preserve"> Inputs!F$71</f>
        <v>0</v>
      </c>
      <c r="G46" s="222" t="str">
        <f xml:space="preserve"> Inputs!G$71</f>
        <v>Percentage</v>
      </c>
      <c r="H46" s="222">
        <f xml:space="preserve"> Inputs!H$71</f>
        <v>0</v>
      </c>
      <c r="I46" s="222">
        <f xml:space="preserve"> Inputs!I$71</f>
        <v>0</v>
      </c>
      <c r="J46" s="222">
        <f xml:space="preserve"> Inputs!J$71</f>
        <v>0</v>
      </c>
      <c r="K46" s="222">
        <f xml:space="preserve"> Inputs!K$71</f>
        <v>0</v>
      </c>
      <c r="L46" s="222">
        <f xml:space="preserve"> Inputs!L$71</f>
        <v>0</v>
      </c>
      <c r="M46" s="222">
        <f xml:space="preserve"> Inputs!M$71</f>
        <v>0</v>
      </c>
      <c r="N46" s="222">
        <f xml:space="preserve"> Inputs!N$71</f>
        <v>0</v>
      </c>
      <c r="O46" s="222">
        <f xml:space="preserve"> Inputs!O$71</f>
        <v>0</v>
      </c>
      <c r="P46" s="222">
        <f xml:space="preserve"> Inputs!P$71</f>
        <v>0</v>
      </c>
      <c r="Q46" s="222">
        <f xml:space="preserve"> Inputs!Q$71</f>
        <v>0.19</v>
      </c>
      <c r="R46" s="222">
        <f xml:space="preserve"> Inputs!R$71</f>
        <v>0</v>
      </c>
      <c r="S46" s="222">
        <f xml:space="preserve"> Inputs!S$71</f>
        <v>0</v>
      </c>
      <c r="T46" s="222">
        <f xml:space="preserve"> Inputs!T$71</f>
        <v>0</v>
      </c>
    </row>
    <row r="47" spans="1:20" s="276" customFormat="1" ht="13.15" x14ac:dyDescent="0.35">
      <c r="A47" s="281"/>
      <c r="B47" s="282"/>
      <c r="E47" s="276" t="s">
        <v>214</v>
      </c>
      <c r="G47" s="276" t="s">
        <v>109</v>
      </c>
      <c r="J47" s="276">
        <f xml:space="preserve"> 1 / (1 - J46 ) - 1</f>
        <v>0</v>
      </c>
      <c r="K47" s="276">
        <f t="shared" ref="K47:T47" si="6" xml:space="preserve"> 1 / (1 - K46 ) - 1</f>
        <v>0</v>
      </c>
      <c r="L47" s="276">
        <f t="shared" si="6"/>
        <v>0</v>
      </c>
      <c r="M47" s="276">
        <f t="shared" si="6"/>
        <v>0</v>
      </c>
      <c r="N47" s="276">
        <f t="shared" si="6"/>
        <v>0</v>
      </c>
      <c r="O47" s="276">
        <f t="shared" si="6"/>
        <v>0</v>
      </c>
      <c r="P47" s="276">
        <f t="shared" si="6"/>
        <v>0</v>
      </c>
      <c r="Q47" s="276">
        <f t="shared" si="6"/>
        <v>0.23456790123456783</v>
      </c>
      <c r="R47" s="276">
        <f t="shared" si="6"/>
        <v>0</v>
      </c>
      <c r="S47" s="276">
        <f t="shared" si="6"/>
        <v>0</v>
      </c>
      <c r="T47" s="276">
        <f t="shared" si="6"/>
        <v>0</v>
      </c>
    </row>
    <row r="48" spans="1:20" s="227" customFormat="1" ht="13.15" x14ac:dyDescent="0.35">
      <c r="A48" s="228"/>
      <c r="B48" s="229"/>
      <c r="C48" s="230"/>
    </row>
    <row r="49" spans="1:20" s="227" customFormat="1" ht="13.15" x14ac:dyDescent="0.35">
      <c r="A49" s="228"/>
      <c r="B49" s="229"/>
      <c r="C49" s="230"/>
      <c r="E49" s="227" t="str">
        <f t="shared" ref="E49:T49" si="7" xml:space="preserve"> E$43</f>
        <v>ODI value nominal prices</v>
      </c>
      <c r="F49" s="227">
        <f t="shared" si="7"/>
        <v>0</v>
      </c>
      <c r="G49" s="227" t="str">
        <f t="shared" si="7"/>
        <v>£m (nominal)</v>
      </c>
      <c r="H49" s="227">
        <f t="shared" si="7"/>
        <v>0</v>
      </c>
      <c r="I49" s="227">
        <f t="shared" si="7"/>
        <v>0</v>
      </c>
      <c r="J49" s="227">
        <f t="shared" si="7"/>
        <v>0</v>
      </c>
      <c r="K49" s="227">
        <f t="shared" si="7"/>
        <v>0</v>
      </c>
      <c r="L49" s="227">
        <f t="shared" si="7"/>
        <v>0</v>
      </c>
      <c r="M49" s="227">
        <f t="shared" si="7"/>
        <v>0</v>
      </c>
      <c r="N49" s="227">
        <f t="shared" si="7"/>
        <v>0</v>
      </c>
      <c r="O49" s="227">
        <f t="shared" si="7"/>
        <v>0</v>
      </c>
      <c r="P49" s="227">
        <f t="shared" si="7"/>
        <v>0</v>
      </c>
      <c r="Q49" s="227">
        <f t="shared" si="7"/>
        <v>0</v>
      </c>
      <c r="R49" s="227">
        <f t="shared" si="7"/>
        <v>0</v>
      </c>
      <c r="S49" s="227">
        <f t="shared" si="7"/>
        <v>0</v>
      </c>
      <c r="T49" s="227">
        <f t="shared" si="7"/>
        <v>0</v>
      </c>
    </row>
    <row r="50" spans="1:20" s="276" customFormat="1" ht="13.15" x14ac:dyDescent="0.35">
      <c r="A50" s="281"/>
      <c r="B50" s="282"/>
      <c r="E50" s="286" t="str">
        <f t="shared" ref="E50:T50" si="8" xml:space="preserve"> E$47</f>
        <v>Tax on Tax geometric uplift</v>
      </c>
      <c r="F50" s="286">
        <f t="shared" si="8"/>
        <v>0</v>
      </c>
      <c r="G50" s="286" t="str">
        <f t="shared" si="8"/>
        <v>Percentage</v>
      </c>
      <c r="H50" s="286">
        <f t="shared" si="8"/>
        <v>0</v>
      </c>
      <c r="I50" s="286">
        <f t="shared" si="8"/>
        <v>0</v>
      </c>
      <c r="J50" s="286">
        <f t="shared" si="8"/>
        <v>0</v>
      </c>
      <c r="K50" s="286">
        <f t="shared" si="8"/>
        <v>0</v>
      </c>
      <c r="L50" s="286">
        <f t="shared" si="8"/>
        <v>0</v>
      </c>
      <c r="M50" s="286">
        <f t="shared" si="8"/>
        <v>0</v>
      </c>
      <c r="N50" s="286">
        <f t="shared" si="8"/>
        <v>0</v>
      </c>
      <c r="O50" s="286">
        <f t="shared" si="8"/>
        <v>0</v>
      </c>
      <c r="P50" s="286">
        <f t="shared" si="8"/>
        <v>0</v>
      </c>
      <c r="Q50" s="286">
        <f t="shared" si="8"/>
        <v>0.23456790123456783</v>
      </c>
      <c r="R50" s="286">
        <f t="shared" si="8"/>
        <v>0</v>
      </c>
      <c r="S50" s="286">
        <f t="shared" si="8"/>
        <v>0</v>
      </c>
      <c r="T50" s="286">
        <f t="shared" si="8"/>
        <v>0</v>
      </c>
    </row>
    <row r="51" spans="1:20" s="227" customFormat="1" ht="13.15" x14ac:dyDescent="0.35">
      <c r="A51" s="228"/>
      <c r="B51" s="229"/>
      <c r="C51" s="230"/>
      <c r="E51" s="227" t="s">
        <v>215</v>
      </c>
      <c r="G51" s="227" t="s">
        <v>117</v>
      </c>
      <c r="H51" s="227">
        <f xml:space="preserve"> SUM( J51:T51 )</f>
        <v>0</v>
      </c>
      <c r="J51" s="227">
        <f t="shared" ref="J51:T51" si="9" xml:space="preserve"> J49 * J50</f>
        <v>0</v>
      </c>
      <c r="K51" s="227">
        <f t="shared" si="9"/>
        <v>0</v>
      </c>
      <c r="L51" s="227">
        <f t="shared" si="9"/>
        <v>0</v>
      </c>
      <c r="M51" s="227">
        <f t="shared" si="9"/>
        <v>0</v>
      </c>
      <c r="N51" s="227">
        <f t="shared" si="9"/>
        <v>0</v>
      </c>
      <c r="O51" s="227">
        <f t="shared" si="9"/>
        <v>0</v>
      </c>
      <c r="P51" s="227">
        <f t="shared" si="9"/>
        <v>0</v>
      </c>
      <c r="Q51" s="227">
        <f t="shared" si="9"/>
        <v>0</v>
      </c>
      <c r="R51" s="227">
        <f t="shared" si="9"/>
        <v>0</v>
      </c>
      <c r="S51" s="227">
        <f t="shared" si="9"/>
        <v>0</v>
      </c>
      <c r="T51" s="227">
        <f t="shared" si="9"/>
        <v>0</v>
      </c>
    </row>
    <row r="52" spans="1:20" s="227" customFormat="1" ht="13.15" x14ac:dyDescent="0.35">
      <c r="A52" s="228"/>
      <c r="B52" s="229"/>
      <c r="C52" s="230"/>
    </row>
    <row r="53" spans="1:20" s="227" customFormat="1" ht="13.15" x14ac:dyDescent="0.35">
      <c r="A53" s="228"/>
      <c r="B53" s="229"/>
      <c r="C53" s="230"/>
      <c r="E53" s="227" t="str">
        <f t="shared" ref="E53:T53" si="10" xml:space="preserve"> E$43</f>
        <v>ODI value nominal prices</v>
      </c>
      <c r="F53" s="227">
        <f t="shared" si="10"/>
        <v>0</v>
      </c>
      <c r="G53" s="227" t="str">
        <f t="shared" si="10"/>
        <v>£m (nominal)</v>
      </c>
      <c r="H53" s="227">
        <f t="shared" si="10"/>
        <v>0</v>
      </c>
      <c r="I53" s="227">
        <f t="shared" si="10"/>
        <v>0</v>
      </c>
      <c r="J53" s="235">
        <f t="shared" si="10"/>
        <v>0</v>
      </c>
      <c r="K53" s="235">
        <f t="shared" si="10"/>
        <v>0</v>
      </c>
      <c r="L53" s="235">
        <f t="shared" si="10"/>
        <v>0</v>
      </c>
      <c r="M53" s="235">
        <f t="shared" si="10"/>
        <v>0</v>
      </c>
      <c r="N53" s="235">
        <f t="shared" si="10"/>
        <v>0</v>
      </c>
      <c r="O53" s="235">
        <f t="shared" si="10"/>
        <v>0</v>
      </c>
      <c r="P53" s="235">
        <f t="shared" si="10"/>
        <v>0</v>
      </c>
      <c r="Q53" s="235">
        <f t="shared" si="10"/>
        <v>0</v>
      </c>
      <c r="R53" s="235">
        <f t="shared" si="10"/>
        <v>0</v>
      </c>
      <c r="S53" s="235">
        <f t="shared" si="10"/>
        <v>0</v>
      </c>
      <c r="T53" s="235">
        <f t="shared" si="10"/>
        <v>0</v>
      </c>
    </row>
    <row r="54" spans="1:20" s="227" customFormat="1" ht="13.15" x14ac:dyDescent="0.35">
      <c r="A54" s="228"/>
      <c r="B54" s="229"/>
      <c r="C54" s="230"/>
      <c r="E54" s="227" t="str">
        <f t="shared" ref="E54:T54" si="11" xml:space="preserve"> E$51</f>
        <v>Tax on nominal ODI</v>
      </c>
      <c r="F54" s="227">
        <f t="shared" si="11"/>
        <v>0</v>
      </c>
      <c r="G54" s="227" t="str">
        <f t="shared" si="11"/>
        <v>£m (nominal)</v>
      </c>
      <c r="H54" s="227">
        <f t="shared" si="11"/>
        <v>0</v>
      </c>
      <c r="I54" s="227">
        <f t="shared" si="11"/>
        <v>0</v>
      </c>
      <c r="J54" s="235">
        <f t="shared" si="11"/>
        <v>0</v>
      </c>
      <c r="K54" s="235">
        <f t="shared" si="11"/>
        <v>0</v>
      </c>
      <c r="L54" s="235">
        <f t="shared" si="11"/>
        <v>0</v>
      </c>
      <c r="M54" s="235">
        <f t="shared" si="11"/>
        <v>0</v>
      </c>
      <c r="N54" s="235">
        <f t="shared" si="11"/>
        <v>0</v>
      </c>
      <c r="O54" s="235">
        <f t="shared" si="11"/>
        <v>0</v>
      </c>
      <c r="P54" s="235">
        <f t="shared" si="11"/>
        <v>0</v>
      </c>
      <c r="Q54" s="235">
        <f t="shared" si="11"/>
        <v>0</v>
      </c>
      <c r="R54" s="235">
        <f t="shared" si="11"/>
        <v>0</v>
      </c>
      <c r="S54" s="235">
        <f t="shared" si="11"/>
        <v>0</v>
      </c>
      <c r="T54" s="235">
        <f t="shared" si="11"/>
        <v>0</v>
      </c>
    </row>
    <row r="55" spans="1:20" s="227" customFormat="1" ht="13.15" x14ac:dyDescent="0.35">
      <c r="A55" s="228"/>
      <c r="B55" s="229"/>
      <c r="C55" s="230"/>
      <c r="E55" s="227" t="s">
        <v>216</v>
      </c>
      <c r="G55" s="227" t="s">
        <v>117</v>
      </c>
      <c r="H55" s="235">
        <f xml:space="preserve"> H53 + H54</f>
        <v>0</v>
      </c>
      <c r="J55" s="235">
        <f xml:space="preserve"> J53 + J54</f>
        <v>0</v>
      </c>
      <c r="K55" s="235">
        <f t="shared" ref="K55:T55" si="12" xml:space="preserve"> K53 + K54</f>
        <v>0</v>
      </c>
      <c r="L55" s="235">
        <f t="shared" si="12"/>
        <v>0</v>
      </c>
      <c r="M55" s="235">
        <f t="shared" si="12"/>
        <v>0</v>
      </c>
      <c r="N55" s="235">
        <f t="shared" si="12"/>
        <v>0</v>
      </c>
      <c r="O55" s="235">
        <f t="shared" si="12"/>
        <v>0</v>
      </c>
      <c r="P55" s="235">
        <f t="shared" si="12"/>
        <v>0</v>
      </c>
      <c r="Q55" s="235">
        <f t="shared" si="12"/>
        <v>0</v>
      </c>
      <c r="R55" s="235">
        <f t="shared" si="12"/>
        <v>0</v>
      </c>
      <c r="S55" s="235">
        <f t="shared" si="12"/>
        <v>0</v>
      </c>
      <c r="T55" s="235">
        <f t="shared" si="12"/>
        <v>0</v>
      </c>
    </row>
    <row r="56" spans="1:20" s="227" customFormat="1" ht="13.15" x14ac:dyDescent="0.35">
      <c r="A56" s="228"/>
      <c r="B56" s="229"/>
      <c r="C56" s="230"/>
    </row>
    <row r="57" spans="1:20" s="227" customFormat="1" ht="13.15" x14ac:dyDescent="0.35">
      <c r="A57" s="228"/>
      <c r="B57" s="229"/>
      <c r="C57" s="230"/>
      <c r="E57" s="227" t="str">
        <f t="shared" ref="E57:T57" si="13" xml:space="preserve"> E$38</f>
        <v>Allowed revenue</v>
      </c>
      <c r="F57" s="227">
        <f t="shared" si="13"/>
        <v>0</v>
      </c>
      <c r="G57" s="227" t="str">
        <f t="shared" si="13"/>
        <v>£m (nominal)</v>
      </c>
      <c r="H57" s="227">
        <f t="shared" si="13"/>
        <v>0</v>
      </c>
      <c r="I57" s="227">
        <f t="shared" si="13"/>
        <v>0</v>
      </c>
      <c r="J57" s="235">
        <f t="shared" si="13"/>
        <v>0</v>
      </c>
      <c r="K57" s="235">
        <f t="shared" si="13"/>
        <v>0</v>
      </c>
      <c r="L57" s="235">
        <f t="shared" si="13"/>
        <v>0</v>
      </c>
      <c r="M57" s="235">
        <f t="shared" si="13"/>
        <v>0</v>
      </c>
      <c r="N57" s="235">
        <f t="shared" si="13"/>
        <v>0</v>
      </c>
      <c r="O57" s="235">
        <f t="shared" si="13"/>
        <v>0</v>
      </c>
      <c r="P57" s="235">
        <f t="shared" si="13"/>
        <v>0</v>
      </c>
      <c r="Q57" s="235">
        <f t="shared" si="13"/>
        <v>0</v>
      </c>
      <c r="R57" s="235">
        <f t="shared" si="13"/>
        <v>0</v>
      </c>
      <c r="S57" s="235">
        <f t="shared" si="13"/>
        <v>0</v>
      </c>
      <c r="T57" s="235">
        <f t="shared" si="13"/>
        <v>0</v>
      </c>
    </row>
    <row r="58" spans="1:20" s="227" customFormat="1" ht="13.15" x14ac:dyDescent="0.35">
      <c r="A58" s="228"/>
      <c r="B58" s="229"/>
      <c r="C58" s="230"/>
      <c r="E58" s="227" t="str">
        <f t="shared" ref="E58:T58" si="14" xml:space="preserve"> E$55</f>
        <v xml:space="preserve">Total value of ODI </v>
      </c>
      <c r="F58" s="227">
        <f t="shared" si="14"/>
        <v>0</v>
      </c>
      <c r="G58" s="227" t="str">
        <f t="shared" si="14"/>
        <v>£m (nominal)</v>
      </c>
      <c r="H58" s="227">
        <f t="shared" si="14"/>
        <v>0</v>
      </c>
      <c r="I58" s="227">
        <f t="shared" si="14"/>
        <v>0</v>
      </c>
      <c r="J58" s="235">
        <f t="shared" si="14"/>
        <v>0</v>
      </c>
      <c r="K58" s="235">
        <f t="shared" si="14"/>
        <v>0</v>
      </c>
      <c r="L58" s="235">
        <f t="shared" si="14"/>
        <v>0</v>
      </c>
      <c r="M58" s="235">
        <f t="shared" si="14"/>
        <v>0</v>
      </c>
      <c r="N58" s="235">
        <f t="shared" si="14"/>
        <v>0</v>
      </c>
      <c r="O58" s="235">
        <f t="shared" si="14"/>
        <v>0</v>
      </c>
      <c r="P58" s="235">
        <f t="shared" si="14"/>
        <v>0</v>
      </c>
      <c r="Q58" s="235">
        <f t="shared" si="14"/>
        <v>0</v>
      </c>
      <c r="R58" s="235">
        <f t="shared" si="14"/>
        <v>0</v>
      </c>
      <c r="S58" s="235">
        <f t="shared" si="14"/>
        <v>0</v>
      </c>
      <c r="T58" s="235">
        <f t="shared" si="14"/>
        <v>0</v>
      </c>
    </row>
    <row r="59" spans="1:20" s="227" customFormat="1" ht="13.15" x14ac:dyDescent="0.35">
      <c r="A59" s="228"/>
      <c r="B59" s="229"/>
      <c r="C59" s="230"/>
      <c r="E59" s="227" t="s">
        <v>217</v>
      </c>
      <c r="G59" s="227" t="s">
        <v>117</v>
      </c>
      <c r="H59" s="227">
        <f xml:space="preserve"> SUM( J59:T59 )</f>
        <v>0</v>
      </c>
      <c r="J59" s="235">
        <f xml:space="preserve"> J57 + J58</f>
        <v>0</v>
      </c>
      <c r="K59" s="235">
        <f t="shared" ref="K59:T59" si="15" xml:space="preserve"> K57 + K58</f>
        <v>0</v>
      </c>
      <c r="L59" s="235">
        <f t="shared" si="15"/>
        <v>0</v>
      </c>
      <c r="M59" s="235">
        <f t="shared" si="15"/>
        <v>0</v>
      </c>
      <c r="N59" s="235">
        <f t="shared" si="15"/>
        <v>0</v>
      </c>
      <c r="O59" s="235">
        <f t="shared" si="15"/>
        <v>0</v>
      </c>
      <c r="P59" s="235">
        <f t="shared" si="15"/>
        <v>0</v>
      </c>
      <c r="Q59" s="235">
        <f t="shared" si="15"/>
        <v>0</v>
      </c>
      <c r="R59" s="235">
        <f t="shared" si="15"/>
        <v>0</v>
      </c>
      <c r="S59" s="235">
        <f t="shared" si="15"/>
        <v>0</v>
      </c>
      <c r="T59" s="235">
        <f t="shared" si="15"/>
        <v>0</v>
      </c>
    </row>
    <row r="60" spans="1:20" s="227" customFormat="1" ht="13.15" x14ac:dyDescent="0.35">
      <c r="A60" s="228"/>
      <c r="B60" s="229"/>
      <c r="C60" s="230"/>
    </row>
    <row r="61" spans="1:20" s="227" customFormat="1" ht="13.15" x14ac:dyDescent="0.35">
      <c r="A61" s="228"/>
      <c r="B61" s="229" t="s">
        <v>218</v>
      </c>
      <c r="C61" s="230"/>
    </row>
    <row r="62" spans="1:20" s="227" customFormat="1" ht="13.15" x14ac:dyDescent="0.35">
      <c r="A62" s="228"/>
      <c r="B62" s="229"/>
      <c r="C62" s="230"/>
      <c r="E62" s="227" t="str">
        <f t="shared" ref="E62:T62" si="16" xml:space="preserve"> E$59</f>
        <v>Revised total nominal revenue</v>
      </c>
      <c r="F62" s="227">
        <f t="shared" si="16"/>
        <v>0</v>
      </c>
      <c r="G62" s="227" t="str">
        <f t="shared" si="16"/>
        <v>£m (nominal)</v>
      </c>
      <c r="H62" s="227">
        <f t="shared" si="16"/>
        <v>0</v>
      </c>
      <c r="I62" s="227">
        <f t="shared" si="16"/>
        <v>0</v>
      </c>
      <c r="J62" s="227">
        <f t="shared" si="16"/>
        <v>0</v>
      </c>
      <c r="K62" s="227">
        <f t="shared" si="16"/>
        <v>0</v>
      </c>
      <c r="L62" s="227">
        <f t="shared" si="16"/>
        <v>0</v>
      </c>
      <c r="M62" s="227">
        <f t="shared" si="16"/>
        <v>0</v>
      </c>
      <c r="N62" s="227">
        <f t="shared" si="16"/>
        <v>0</v>
      </c>
      <c r="O62" s="227">
        <f t="shared" si="16"/>
        <v>0</v>
      </c>
      <c r="P62" s="227">
        <f t="shared" si="16"/>
        <v>0</v>
      </c>
      <c r="Q62" s="227">
        <f t="shared" si="16"/>
        <v>0</v>
      </c>
      <c r="R62" s="227">
        <f t="shared" si="16"/>
        <v>0</v>
      </c>
      <c r="S62" s="227">
        <f t="shared" si="16"/>
        <v>0</v>
      </c>
      <c r="T62" s="227">
        <f t="shared" si="16"/>
        <v>0</v>
      </c>
    </row>
    <row r="63" spans="1:20" s="227" customFormat="1" x14ac:dyDescent="0.35">
      <c r="A63" s="228"/>
      <c r="B63" s="236"/>
      <c r="C63" s="230"/>
      <c r="E63" s="237" t="s">
        <v>219</v>
      </c>
      <c r="F63" s="238"/>
      <c r="G63" s="237" t="s">
        <v>109</v>
      </c>
      <c r="H63" s="238"/>
      <c r="J63" s="284">
        <f xml:space="preserve"> IF( I62 = 0, 0, J62 / I62 - 1 )</f>
        <v>0</v>
      </c>
      <c r="K63" s="284">
        <f t="shared" ref="K63:T63" si="17" xml:space="preserve"> IF( J62 = 0, 0, K62 / J62 - 1 )</f>
        <v>0</v>
      </c>
      <c r="L63" s="284">
        <f t="shared" si="17"/>
        <v>0</v>
      </c>
      <c r="M63" s="284">
        <f t="shared" si="17"/>
        <v>0</v>
      </c>
      <c r="N63" s="284">
        <f t="shared" si="17"/>
        <v>0</v>
      </c>
      <c r="O63" s="284">
        <f t="shared" si="17"/>
        <v>0</v>
      </c>
      <c r="P63" s="284">
        <f t="shared" si="17"/>
        <v>0</v>
      </c>
      <c r="Q63" s="284">
        <f t="shared" si="17"/>
        <v>0</v>
      </c>
      <c r="R63" s="284">
        <f t="shared" si="17"/>
        <v>0</v>
      </c>
      <c r="S63" s="284">
        <f t="shared" si="17"/>
        <v>0</v>
      </c>
      <c r="T63" s="284">
        <f t="shared" si="17"/>
        <v>0</v>
      </c>
    </row>
    <row r="64" spans="1:20" s="227" customFormat="1" x14ac:dyDescent="0.35">
      <c r="A64" s="228"/>
      <c r="B64" s="236"/>
      <c r="C64" s="230"/>
      <c r="E64" s="237"/>
      <c r="F64" s="238"/>
      <c r="G64" s="237"/>
      <c r="H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</row>
    <row r="65" spans="1:20" s="227" customFormat="1" x14ac:dyDescent="0.35">
      <c r="A65" s="228"/>
      <c r="B65" s="236"/>
      <c r="C65" s="230"/>
      <c r="E65" s="237" t="str">
        <f xml:space="preserve"> E$27</f>
        <v>Year of adjustment to be applied</v>
      </c>
      <c r="F65" s="237">
        <f t="shared" ref="F65:T65" si="18" xml:space="preserve"> F$27</f>
        <v>0</v>
      </c>
      <c r="G65" s="237" t="str">
        <f t="shared" si="18"/>
        <v>flag</v>
      </c>
      <c r="H65" s="237">
        <f t="shared" si="18"/>
        <v>0</v>
      </c>
      <c r="I65" s="237">
        <f t="shared" si="18"/>
        <v>0</v>
      </c>
      <c r="J65" s="287">
        <f t="shared" si="18"/>
        <v>0</v>
      </c>
      <c r="K65" s="287">
        <f t="shared" si="18"/>
        <v>0</v>
      </c>
      <c r="L65" s="287">
        <f t="shared" si="18"/>
        <v>0</v>
      </c>
      <c r="M65" s="287">
        <f t="shared" si="18"/>
        <v>0</v>
      </c>
      <c r="N65" s="287">
        <f t="shared" si="18"/>
        <v>0</v>
      </c>
      <c r="O65" s="287">
        <f t="shared" si="18"/>
        <v>0</v>
      </c>
      <c r="P65" s="287">
        <f t="shared" si="18"/>
        <v>0</v>
      </c>
      <c r="Q65" s="287">
        <f t="shared" si="18"/>
        <v>0</v>
      </c>
      <c r="R65" s="287">
        <f t="shared" si="18"/>
        <v>0</v>
      </c>
      <c r="S65" s="287">
        <f t="shared" si="18"/>
        <v>0</v>
      </c>
      <c r="T65" s="287">
        <f t="shared" si="18"/>
        <v>0</v>
      </c>
    </row>
    <row r="66" spans="1:20" s="227" customFormat="1" x14ac:dyDescent="0.35">
      <c r="A66" s="228"/>
      <c r="B66" s="236"/>
      <c r="C66" s="230"/>
      <c r="E66" s="237" t="s">
        <v>220</v>
      </c>
      <c r="F66" s="238"/>
      <c r="G66" s="237" t="s">
        <v>158</v>
      </c>
      <c r="H66" s="238"/>
      <c r="J66" s="287">
        <f xml:space="preserve"> IF( OR( J65 = 1, I66 = 1 ), 1, 0 )</f>
        <v>0</v>
      </c>
      <c r="K66" s="287">
        <f t="shared" ref="K66:T66" si="19" xml:space="preserve"> IF( OR( K65 = 1, J66 = 1 ), 1, 0 )</f>
        <v>0</v>
      </c>
      <c r="L66" s="287">
        <f t="shared" si="19"/>
        <v>0</v>
      </c>
      <c r="M66" s="287">
        <f t="shared" si="19"/>
        <v>0</v>
      </c>
      <c r="N66" s="287">
        <f t="shared" si="19"/>
        <v>0</v>
      </c>
      <c r="O66" s="287">
        <f t="shared" si="19"/>
        <v>0</v>
      </c>
      <c r="P66" s="287">
        <f t="shared" si="19"/>
        <v>0</v>
      </c>
      <c r="Q66" s="287">
        <f t="shared" si="19"/>
        <v>0</v>
      </c>
      <c r="R66" s="287">
        <f t="shared" si="19"/>
        <v>0</v>
      </c>
      <c r="S66" s="287">
        <f t="shared" si="19"/>
        <v>0</v>
      </c>
      <c r="T66" s="287">
        <f t="shared" si="19"/>
        <v>0</v>
      </c>
    </row>
    <row r="67" spans="1:20" s="227" customFormat="1" ht="13.15" x14ac:dyDescent="0.35">
      <c r="A67" s="228"/>
      <c r="B67" s="229"/>
      <c r="C67" s="230"/>
    </row>
    <row r="68" spans="1:20" s="240" customFormat="1" ht="13.15" x14ac:dyDescent="0.35">
      <c r="A68" s="239"/>
      <c r="B68" s="229"/>
      <c r="E68" s="235" t="str">
        <f t="shared" ref="E68:T68" si="20" xml:space="preserve"> E$63</f>
        <v>Allowed revenue percentage movement</v>
      </c>
      <c r="F68" s="227">
        <f t="shared" si="20"/>
        <v>0</v>
      </c>
      <c r="G68" s="235" t="str">
        <f t="shared" si="20"/>
        <v>Percentage</v>
      </c>
      <c r="H68" s="227">
        <f t="shared" si="20"/>
        <v>0</v>
      </c>
      <c r="I68" s="227">
        <f t="shared" si="20"/>
        <v>0</v>
      </c>
      <c r="J68" s="286">
        <f t="shared" si="20"/>
        <v>0</v>
      </c>
      <c r="K68" s="286">
        <f t="shared" si="20"/>
        <v>0</v>
      </c>
      <c r="L68" s="286">
        <f t="shared" si="20"/>
        <v>0</v>
      </c>
      <c r="M68" s="286">
        <f t="shared" si="20"/>
        <v>0</v>
      </c>
      <c r="N68" s="286">
        <f t="shared" si="20"/>
        <v>0</v>
      </c>
      <c r="O68" s="286">
        <f t="shared" si="20"/>
        <v>0</v>
      </c>
      <c r="P68" s="286">
        <f t="shared" si="20"/>
        <v>0</v>
      </c>
      <c r="Q68" s="286">
        <f t="shared" si="20"/>
        <v>0</v>
      </c>
      <c r="R68" s="286">
        <f t="shared" si="20"/>
        <v>0</v>
      </c>
      <c r="S68" s="286">
        <f t="shared" si="20"/>
        <v>0</v>
      </c>
      <c r="T68" s="286">
        <f t="shared" si="20"/>
        <v>0</v>
      </c>
    </row>
    <row r="69" spans="1:20" s="240" customFormat="1" ht="13.15" x14ac:dyDescent="0.35">
      <c r="A69" s="239"/>
      <c r="B69" s="229"/>
      <c r="E69" s="222" t="str">
        <f xml:space="preserve"> Index!E$10</f>
        <v>Annual inflation figures</v>
      </c>
      <c r="F69" s="222">
        <f xml:space="preserve"> Index!F$10</f>
        <v>0</v>
      </c>
      <c r="G69" s="222" t="str">
        <f xml:space="preserve"> Index!G$10</f>
        <v>Percentage</v>
      </c>
      <c r="H69" s="222">
        <f xml:space="preserve"> Index!H$10</f>
        <v>0</v>
      </c>
      <c r="I69" s="222">
        <f xml:space="preserve"> Index!I$10</f>
        <v>0</v>
      </c>
      <c r="J69" s="222">
        <f xml:space="preserve"> Index!J$10</f>
        <v>0</v>
      </c>
      <c r="K69" s="222">
        <f xml:space="preserve"> Index!K$10</f>
        <v>0</v>
      </c>
      <c r="L69" s="222">
        <f xml:space="preserve"> Index!L$10</f>
        <v>3.572786012922835E-2</v>
      </c>
      <c r="M69" s="222">
        <f xml:space="preserve"> Index!M$10</f>
        <v>3.3394495412844227E-2</v>
      </c>
      <c r="N69" s="222">
        <f xml:space="preserve"> Index!N$10</f>
        <v>0</v>
      </c>
      <c r="O69" s="222">
        <f xml:space="preserve"> Index!O$10</f>
        <v>0</v>
      </c>
      <c r="P69" s="222">
        <f xml:space="preserve"> Index!P$10</f>
        <v>0</v>
      </c>
      <c r="Q69" s="222">
        <f xml:space="preserve"> Index!Q$10</f>
        <v>0</v>
      </c>
      <c r="R69" s="222">
        <f xml:space="preserve"> Index!R$10</f>
        <v>0</v>
      </c>
      <c r="S69" s="222">
        <f xml:space="preserve"> Index!S$10</f>
        <v>0</v>
      </c>
      <c r="T69" s="222">
        <f xml:space="preserve"> Index!T$10</f>
        <v>0</v>
      </c>
    </row>
    <row r="70" spans="1:20" s="240" customFormat="1" ht="13.15" x14ac:dyDescent="0.35">
      <c r="A70" s="239"/>
      <c r="B70" s="229"/>
      <c r="E70" s="235" t="str">
        <f t="shared" ref="E70:T70" si="21" xml:space="preserve"> E$66</f>
        <v>Year that price limits should be recalculated</v>
      </c>
      <c r="F70" s="227">
        <f t="shared" si="21"/>
        <v>0</v>
      </c>
      <c r="G70" s="235" t="str">
        <f t="shared" si="21"/>
        <v>flag</v>
      </c>
      <c r="H70" s="227">
        <f t="shared" si="21"/>
        <v>0</v>
      </c>
      <c r="I70" s="227">
        <f t="shared" si="21"/>
        <v>0</v>
      </c>
      <c r="J70" s="288">
        <f t="shared" si="21"/>
        <v>0</v>
      </c>
      <c r="K70" s="288">
        <f t="shared" si="21"/>
        <v>0</v>
      </c>
      <c r="L70" s="288">
        <f t="shared" si="21"/>
        <v>0</v>
      </c>
      <c r="M70" s="288">
        <f t="shared" si="21"/>
        <v>0</v>
      </c>
      <c r="N70" s="288">
        <f t="shared" si="21"/>
        <v>0</v>
      </c>
      <c r="O70" s="288">
        <f t="shared" si="21"/>
        <v>0</v>
      </c>
      <c r="P70" s="288">
        <f t="shared" si="21"/>
        <v>0</v>
      </c>
      <c r="Q70" s="288">
        <f t="shared" si="21"/>
        <v>0</v>
      </c>
      <c r="R70" s="288">
        <f t="shared" si="21"/>
        <v>0</v>
      </c>
      <c r="S70" s="288">
        <f t="shared" si="21"/>
        <v>0</v>
      </c>
      <c r="T70" s="288">
        <f t="shared" si="21"/>
        <v>0</v>
      </c>
    </row>
    <row r="71" spans="1:20" s="240" customFormat="1" ht="13.15" x14ac:dyDescent="0.35">
      <c r="A71" s="239"/>
      <c r="B71" s="229"/>
      <c r="E71" s="237" t="s">
        <v>221</v>
      </c>
      <c r="F71" s="238"/>
      <c r="G71" s="237" t="s">
        <v>109</v>
      </c>
      <c r="H71" s="238"/>
      <c r="I71" s="238"/>
      <c r="J71" s="284">
        <f xml:space="preserve"> IF( J70 = 0, 0, J68 - J69 )</f>
        <v>0</v>
      </c>
      <c r="K71" s="284">
        <f t="shared" ref="K71:T71" si="22" xml:space="preserve"> IF( K70 = 0, 0, K68 - K69 )</f>
        <v>0</v>
      </c>
      <c r="L71" s="284">
        <f t="shared" si="22"/>
        <v>0</v>
      </c>
      <c r="M71" s="284">
        <f t="shared" si="22"/>
        <v>0</v>
      </c>
      <c r="N71" s="284">
        <f t="shared" si="22"/>
        <v>0</v>
      </c>
      <c r="O71" s="284">
        <f t="shared" si="22"/>
        <v>0</v>
      </c>
      <c r="P71" s="284">
        <f t="shared" si="22"/>
        <v>0</v>
      </c>
      <c r="Q71" s="284">
        <f t="shared" si="22"/>
        <v>0</v>
      </c>
      <c r="R71" s="284">
        <f t="shared" si="22"/>
        <v>0</v>
      </c>
      <c r="S71" s="284">
        <f t="shared" si="22"/>
        <v>0</v>
      </c>
      <c r="T71" s="284">
        <f t="shared" si="22"/>
        <v>0</v>
      </c>
    </row>
    <row r="72" spans="1:20" s="227" customFormat="1" ht="13.15" x14ac:dyDescent="0.35">
      <c r="A72" s="228"/>
      <c r="B72" s="229"/>
      <c r="C72" s="230"/>
    </row>
    <row r="73" spans="1:20" s="227" customFormat="1" ht="13.15" x14ac:dyDescent="0.35">
      <c r="A73" s="228"/>
      <c r="B73" s="229"/>
      <c r="C73" s="230"/>
      <c r="E73" s="227" t="str">
        <f t="shared" ref="E73:T73" si="23" xml:space="preserve"> E$71</f>
        <v>Allowed revenue percentage movement (Nov-Nov CPIH deflated)</v>
      </c>
      <c r="F73" s="227">
        <f t="shared" si="23"/>
        <v>0</v>
      </c>
      <c r="G73" s="227" t="str">
        <f t="shared" si="23"/>
        <v>Percentage</v>
      </c>
      <c r="H73" s="227">
        <f t="shared" si="23"/>
        <v>0</v>
      </c>
      <c r="I73" s="227">
        <f t="shared" si="23"/>
        <v>0</v>
      </c>
      <c r="J73" s="286">
        <f t="shared" si="23"/>
        <v>0</v>
      </c>
      <c r="K73" s="286">
        <f t="shared" si="23"/>
        <v>0</v>
      </c>
      <c r="L73" s="286">
        <f t="shared" si="23"/>
        <v>0</v>
      </c>
      <c r="M73" s="286">
        <f t="shared" si="23"/>
        <v>0</v>
      </c>
      <c r="N73" s="286">
        <f t="shared" si="23"/>
        <v>0</v>
      </c>
      <c r="O73" s="286">
        <f t="shared" si="23"/>
        <v>0</v>
      </c>
      <c r="P73" s="286">
        <f t="shared" si="23"/>
        <v>0</v>
      </c>
      <c r="Q73" s="286">
        <f t="shared" si="23"/>
        <v>0</v>
      </c>
      <c r="R73" s="286">
        <f t="shared" si="23"/>
        <v>0</v>
      </c>
      <c r="S73" s="286">
        <f t="shared" si="23"/>
        <v>0</v>
      </c>
      <c r="T73" s="286">
        <f t="shared" si="23"/>
        <v>0</v>
      </c>
    </row>
    <row r="74" spans="1:20" s="240" customFormat="1" ht="13.15" x14ac:dyDescent="0.35">
      <c r="A74" s="239"/>
      <c r="B74" s="229"/>
      <c r="E74" s="241" t="str">
        <f>CONCATENATE("Revised K - ",F18)</f>
        <v>Revised K - Wastewater network plus</v>
      </c>
      <c r="G74" s="241" t="s">
        <v>109</v>
      </c>
      <c r="J74" s="283">
        <f t="shared" ref="J74:T74" si="24">IF(J73&gt;=0,ROUNDUP(ROUNDDOWN(J73,5),4),ROUNDDOWN(ROUNDUP(J73,5),4))</f>
        <v>0</v>
      </c>
      <c r="K74" s="283">
        <f t="shared" si="24"/>
        <v>0</v>
      </c>
      <c r="L74" s="283">
        <f t="shared" si="24"/>
        <v>0</v>
      </c>
      <c r="M74" s="283">
        <f t="shared" si="24"/>
        <v>0</v>
      </c>
      <c r="N74" s="283">
        <f t="shared" si="24"/>
        <v>0</v>
      </c>
      <c r="O74" s="283">
        <f t="shared" si="24"/>
        <v>0</v>
      </c>
      <c r="P74" s="283">
        <f>IF(P73&gt;=0,ROUNDUP(ROUNDDOWN(P73,5),4),ROUNDDOWN(ROUNDUP(P73,5),4))</f>
        <v>0</v>
      </c>
      <c r="Q74" s="283">
        <f t="shared" si="24"/>
        <v>0</v>
      </c>
      <c r="R74" s="283">
        <f t="shared" si="24"/>
        <v>0</v>
      </c>
      <c r="S74" s="283">
        <f t="shared" si="24"/>
        <v>0</v>
      </c>
      <c r="T74" s="283">
        <f t="shared" si="24"/>
        <v>0</v>
      </c>
    </row>
    <row r="75" spans="1:20" ht="13.15" x14ac:dyDescent="0.35">
      <c r="B75" s="127"/>
      <c r="E75" s="121"/>
    </row>
    <row r="76" spans="1:20" ht="13.15" x14ac:dyDescent="0.35">
      <c r="A76" s="2" t="s">
        <v>83</v>
      </c>
      <c r="B76" s="203"/>
      <c r="C76" s="189"/>
      <c r="D76" s="204"/>
      <c r="E76" s="191"/>
      <c r="F76" s="191"/>
      <c r="G76" s="19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35"/>
  </sheetData>
  <conditionalFormatting sqref="J3:T3">
    <cfRule type="cellIs" dxfId="23" priority="1" operator="equal">
      <formula>"Post-Fcst"</formula>
    </cfRule>
    <cfRule type="cellIs" dxfId="22" priority="2" operator="equal">
      <formula>"Forecast"</formula>
    </cfRule>
    <cfRule type="cellIs" dxfId="21" priority="3" operator="equal">
      <formula>"Pre Fcst"</formula>
    </cfRule>
  </conditionalFormatting>
  <printOptions headings="1"/>
  <pageMargins left="0.7" right="0.7" top="0.75" bottom="0.75" header="0.3" footer="0.3"/>
  <pageSetup paperSize="9" scale="46" orientation="landscape" blackAndWhite="1" r:id="rId1"/>
  <headerFooter>
    <oddHeader xml:space="preserve">&amp;L&amp;F &amp;CSheet: &amp;A &amp;ROFFICIAL </oddHeader>
    <oddFooter xml:space="preserve">&amp;L&amp;D at &amp;T &amp;C&amp;P of &amp;N &amp;ROfwat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 summaryRight="0"/>
    <pageSetUpPr fitToPage="1"/>
  </sheetPr>
  <dimension ref="A1:T56"/>
  <sheetViews>
    <sheetView view="pageBreakPreview" zoomScale="60" zoomScaleNormal="10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9.625" defaultRowHeight="12.75" zeroHeight="1" x14ac:dyDescent="0.35"/>
  <cols>
    <col min="1" max="1" width="1.625" style="126" customWidth="1"/>
    <col min="2" max="2" width="1.625" style="205" customWidth="1"/>
    <col min="3" max="3" width="1.625" style="128" customWidth="1"/>
    <col min="4" max="4" width="1.625" style="117" customWidth="1"/>
    <col min="5" max="5" width="45.625" style="117" customWidth="1"/>
    <col min="6" max="7" width="15.625" style="117" customWidth="1"/>
    <col min="8" max="8" width="15.625" style="34" customWidth="1"/>
    <col min="9" max="9" width="2.625" style="34" customWidth="1"/>
    <col min="10" max="20" width="9.625" style="34" customWidth="1"/>
    <col min="21" max="16384" width="9.625" style="34"/>
  </cols>
  <sheetData>
    <row r="1" spans="1:20" s="135" customFormat="1" ht="29.25" x14ac:dyDescent="0.35">
      <c r="A1" s="194" t="str">
        <f ca="1" xml:space="preserve"> RIGHT(CELL("filename", $A$1), LEN(CELL("filename", $A$1)) - SEARCH("]", CELL("filename", $A$1)))</f>
        <v>Residential retail</v>
      </c>
      <c r="B1" s="195"/>
      <c r="C1" s="196"/>
      <c r="D1" s="192"/>
      <c r="E1" s="192"/>
      <c r="F1" s="192"/>
      <c r="G1" s="192"/>
      <c r="H1" s="92">
        <f>Inputs!F9</f>
        <v>0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s="18" customFormat="1" ht="13.15" x14ac:dyDescent="0.35">
      <c r="A2" s="197"/>
      <c r="B2" s="198"/>
      <c r="C2" s="199"/>
      <c r="D2" s="200"/>
      <c r="E2" s="167" t="str">
        <f>Time!E$22</f>
        <v>Model Period END</v>
      </c>
      <c r="F2" s="167"/>
      <c r="G2" s="167"/>
      <c r="H2" s="17"/>
      <c r="I2" s="17"/>
      <c r="J2" s="17">
        <f>Time!J$22</f>
        <v>42460</v>
      </c>
      <c r="K2" s="17">
        <f>Time!K$22</f>
        <v>42825</v>
      </c>
      <c r="L2" s="17">
        <f>Time!L$22</f>
        <v>43190</v>
      </c>
      <c r="M2" s="17">
        <f>Time!M$22</f>
        <v>43555</v>
      </c>
      <c r="N2" s="17">
        <f>Time!N$22</f>
        <v>43921</v>
      </c>
      <c r="O2" s="17">
        <f>Time!O$22</f>
        <v>44286</v>
      </c>
      <c r="P2" s="17">
        <f>Time!P$22</f>
        <v>44651</v>
      </c>
      <c r="Q2" s="17">
        <f>Time!Q$22</f>
        <v>45016</v>
      </c>
      <c r="R2" s="17">
        <f>Time!R$22</f>
        <v>45382</v>
      </c>
      <c r="S2" s="17">
        <f>Time!S$22</f>
        <v>45747</v>
      </c>
      <c r="T2" s="17">
        <f>Time!T$22</f>
        <v>46112</v>
      </c>
    </row>
    <row r="3" spans="1:20" s="23" customFormat="1" ht="13.15" x14ac:dyDescent="0.35">
      <c r="A3" s="193"/>
      <c r="B3" s="198"/>
      <c r="C3" s="199"/>
      <c r="D3" s="200"/>
      <c r="E3" s="167" t="str">
        <f>Time!E$58</f>
        <v>Pre Forecast vs Forecast</v>
      </c>
      <c r="F3" s="167"/>
      <c r="G3" s="167"/>
      <c r="H3" s="17"/>
      <c r="I3" s="17"/>
      <c r="J3" s="1" t="str">
        <f>Time!J$58</f>
        <v>Pre Fcst</v>
      </c>
      <c r="K3" s="1" t="str">
        <f>Time!K$58</f>
        <v>Pre Fcst</v>
      </c>
      <c r="L3" s="1" t="str">
        <f>Time!L$58</f>
        <v>Pre Fcst</v>
      </c>
      <c r="M3" s="1" t="str">
        <f>Time!M$58</f>
        <v>Pre Fcst</v>
      </c>
      <c r="N3" s="1" t="str">
        <f>Time!N$58</f>
        <v>Pre Fcst</v>
      </c>
      <c r="O3" s="1" t="str">
        <f>Time!O$58</f>
        <v>Forecast</v>
      </c>
      <c r="P3" s="1" t="str">
        <f>Time!P$58</f>
        <v>Forecast</v>
      </c>
      <c r="Q3" s="1" t="str">
        <f>Time!Q$58</f>
        <v>Forecast</v>
      </c>
      <c r="R3" s="1" t="str">
        <f>Time!R$58</f>
        <v>Forecast</v>
      </c>
      <c r="S3" s="1" t="str">
        <f>Time!S$58</f>
        <v>Forecast</v>
      </c>
      <c r="T3" s="1" t="str">
        <f>Time!T$58</f>
        <v>Post-Fcst</v>
      </c>
    </row>
    <row r="4" spans="1:20" s="166" customFormat="1" ht="13.15" x14ac:dyDescent="0.35">
      <c r="A4" s="193"/>
      <c r="B4" s="201"/>
      <c r="C4" s="199"/>
      <c r="D4" s="202"/>
      <c r="E4" s="168" t="str">
        <f>Time!E$85</f>
        <v>Financial Year Ending</v>
      </c>
      <c r="F4" s="168"/>
      <c r="G4" s="168"/>
      <c r="H4" s="164"/>
      <c r="I4" s="164"/>
      <c r="J4" s="165">
        <f>Time!J$85</f>
        <v>2016</v>
      </c>
      <c r="K4" s="165">
        <f>Time!K$85</f>
        <v>2017</v>
      </c>
      <c r="L4" s="165">
        <f>Time!L$85</f>
        <v>2018</v>
      </c>
      <c r="M4" s="165">
        <f>Time!M$85</f>
        <v>2019</v>
      </c>
      <c r="N4" s="165">
        <f>Time!N$85</f>
        <v>2020</v>
      </c>
      <c r="O4" s="165">
        <f>Time!O$85</f>
        <v>2021</v>
      </c>
      <c r="P4" s="165">
        <f>Time!P$85</f>
        <v>2022</v>
      </c>
      <c r="Q4" s="165">
        <f>Time!Q$85</f>
        <v>2023</v>
      </c>
      <c r="R4" s="165">
        <f>Time!R$85</f>
        <v>2024</v>
      </c>
      <c r="S4" s="165">
        <f>Time!S$85</f>
        <v>2025</v>
      </c>
      <c r="T4" s="165">
        <f>Time!T$85</f>
        <v>2026</v>
      </c>
    </row>
    <row r="5" spans="1:20" s="33" customFormat="1" ht="13.15" x14ac:dyDescent="0.35">
      <c r="A5" s="193"/>
      <c r="B5" s="198"/>
      <c r="C5" s="199"/>
      <c r="D5" s="200"/>
      <c r="E5" s="168" t="str">
        <f>Time!E$10</f>
        <v>Model column counter</v>
      </c>
      <c r="F5" s="193" t="s">
        <v>84</v>
      </c>
      <c r="G5" s="193" t="s">
        <v>85</v>
      </c>
      <c r="H5" s="23" t="s">
        <v>86</v>
      </c>
      <c r="I5" s="28"/>
      <c r="J5" s="28">
        <f>Time!J$10</f>
        <v>1</v>
      </c>
      <c r="K5" s="28">
        <f>Time!K$10</f>
        <v>2</v>
      </c>
      <c r="L5" s="28">
        <f>Time!L$10</f>
        <v>3</v>
      </c>
      <c r="M5" s="28">
        <f>Time!M$10</f>
        <v>4</v>
      </c>
      <c r="N5" s="28">
        <f>Time!N$10</f>
        <v>5</v>
      </c>
      <c r="O5" s="28">
        <f>Time!O$10</f>
        <v>6</v>
      </c>
      <c r="P5" s="28">
        <f>Time!P$10</f>
        <v>7</v>
      </c>
      <c r="Q5" s="28">
        <f>Time!Q$10</f>
        <v>8</v>
      </c>
      <c r="R5" s="28">
        <f>Time!R$10</f>
        <v>9</v>
      </c>
      <c r="S5" s="28">
        <f>Time!S$10</f>
        <v>10</v>
      </c>
      <c r="T5" s="28">
        <f>Time!T$10</f>
        <v>11</v>
      </c>
    </row>
    <row r="6" spans="1:20" s="33" customFormat="1" ht="13.15" x14ac:dyDescent="0.35">
      <c r="A6" s="193"/>
      <c r="B6" s="198"/>
      <c r="C6" s="199"/>
      <c r="D6" s="200"/>
      <c r="E6" s="168"/>
      <c r="F6" s="193"/>
      <c r="G6" s="193"/>
      <c r="H6" s="23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9" customFormat="1" ht="13.15" x14ac:dyDescent="0.35">
      <c r="A7" s="224" t="s">
        <v>95</v>
      </c>
      <c r="B7" s="225"/>
      <c r="C7" s="225"/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</row>
    <row r="8" spans="1:20" ht="13.15" x14ac:dyDescent="0.35">
      <c r="A8" s="228"/>
      <c r="B8" s="229"/>
      <c r="C8" s="230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</row>
    <row r="9" spans="1:20" s="227" customFormat="1" ht="13.15" x14ac:dyDescent="0.35">
      <c r="A9" s="228"/>
      <c r="B9" s="229" t="s">
        <v>202</v>
      </c>
      <c r="C9" s="230"/>
    </row>
    <row r="10" spans="1:20" s="233" customFormat="1" ht="13.15" x14ac:dyDescent="0.35">
      <c r="A10" s="231"/>
      <c r="B10" s="232"/>
      <c r="E10" s="233" t="str">
        <f>'Abatements and deferrals'!E111</f>
        <v>Water resources</v>
      </c>
      <c r="G10" s="233" t="str">
        <f>'Abatements and deferrals'!G111</f>
        <v>£m (2017-18 prices)</v>
      </c>
      <c r="H10" s="233">
        <f>'Abatements and deferrals'!H111</f>
        <v>0</v>
      </c>
    </row>
    <row r="11" spans="1:20" s="227" customFormat="1" ht="13.15" x14ac:dyDescent="0.35">
      <c r="A11" s="228"/>
      <c r="B11" s="229"/>
      <c r="C11" s="230"/>
      <c r="E11" s="233" t="str">
        <f>'Abatements and deferrals'!E112</f>
        <v>Water network plus</v>
      </c>
      <c r="F11" s="233"/>
      <c r="G11" s="233" t="str">
        <f>'Abatements and deferrals'!G112</f>
        <v>£m (2017-18 prices)</v>
      </c>
      <c r="H11" s="233">
        <f>'Abatements and deferrals'!H112</f>
        <v>0</v>
      </c>
    </row>
    <row r="12" spans="1:20" s="227" customFormat="1" ht="13.15" x14ac:dyDescent="0.35">
      <c r="A12" s="228"/>
      <c r="B12" s="229"/>
      <c r="C12" s="230"/>
      <c r="E12" s="233" t="str">
        <f>'Abatements and deferrals'!E113</f>
        <v>Wastewater network plus</v>
      </c>
      <c r="F12" s="233"/>
      <c r="G12" s="233" t="str">
        <f>'Abatements and deferrals'!G113</f>
        <v>£m (2017-18 prices)</v>
      </c>
      <c r="H12" s="233">
        <f>'Abatements and deferrals'!H113</f>
        <v>0</v>
      </c>
    </row>
    <row r="13" spans="1:20" s="227" customFormat="1" ht="13.15" x14ac:dyDescent="0.35">
      <c r="A13" s="228"/>
      <c r="B13" s="229"/>
      <c r="C13" s="230"/>
      <c r="E13" s="233" t="str">
        <f>'Abatements and deferrals'!E114</f>
        <v>Bioresources (sludge)</v>
      </c>
      <c r="F13" s="233"/>
      <c r="G13" s="233" t="str">
        <f>'Abatements and deferrals'!G114</f>
        <v>£m (2017-18 prices)</v>
      </c>
      <c r="H13" s="233">
        <f>'Abatements and deferrals'!H114</f>
        <v>0</v>
      </c>
    </row>
    <row r="14" spans="1:20" s="227" customFormat="1" ht="13.15" x14ac:dyDescent="0.35">
      <c r="A14" s="228"/>
      <c r="B14" s="229"/>
      <c r="C14" s="230"/>
      <c r="E14" s="233" t="str">
        <f>'Abatements and deferrals'!E115</f>
        <v>Residential retail</v>
      </c>
      <c r="F14" s="233"/>
      <c r="G14" s="233" t="str">
        <f>'Abatements and deferrals'!G115</f>
        <v>£m (2017-18 prices)</v>
      </c>
      <c r="H14" s="233">
        <f>'Abatements and deferrals'!H115</f>
        <v>0</v>
      </c>
    </row>
    <row r="15" spans="1:20" s="227" customFormat="1" ht="13.15" x14ac:dyDescent="0.35">
      <c r="A15" s="228"/>
      <c r="B15" s="229"/>
      <c r="C15" s="230"/>
      <c r="E15" s="233" t="str">
        <f>'Abatements and deferrals'!E116</f>
        <v>Business retail</v>
      </c>
      <c r="F15" s="233"/>
      <c r="G15" s="233" t="str">
        <f>'Abatements and deferrals'!G116</f>
        <v>£m (2017-18 prices)</v>
      </c>
      <c r="H15" s="233">
        <f>'Abatements and deferrals'!H116</f>
        <v>0</v>
      </c>
    </row>
    <row r="16" spans="1:20" s="227" customFormat="1" ht="13.15" x14ac:dyDescent="0.35">
      <c r="A16" s="228"/>
      <c r="B16" s="229"/>
      <c r="C16" s="230"/>
      <c r="E16" s="233" t="str">
        <f>'Abatements and deferrals'!E117</f>
        <v>Dummy control</v>
      </c>
      <c r="F16" s="233"/>
      <c r="G16" s="233" t="str">
        <f>'Abatements and deferrals'!G117</f>
        <v>£m (2017-18 prices)</v>
      </c>
      <c r="H16" s="233">
        <f>'Abatements and deferrals'!H117</f>
        <v>0</v>
      </c>
    </row>
    <row r="17" spans="1:20" s="227" customFormat="1" ht="13.15" x14ac:dyDescent="0.35">
      <c r="A17" s="228"/>
      <c r="B17" s="229"/>
      <c r="C17" s="230"/>
      <c r="E17" s="233"/>
    </row>
    <row r="18" spans="1:20" s="227" customFormat="1" ht="13.15" x14ac:dyDescent="0.35">
      <c r="A18" s="228"/>
      <c r="B18" s="229"/>
      <c r="E18" s="227" t="s">
        <v>203</v>
      </c>
      <c r="F18" s="234" t="s">
        <v>75</v>
      </c>
    </row>
    <row r="19" spans="1:20" s="227" customFormat="1" ht="13.15" x14ac:dyDescent="0.35">
      <c r="A19" s="228"/>
      <c r="B19" s="229"/>
      <c r="C19" s="230"/>
      <c r="E19" s="227" t="s">
        <v>204</v>
      </c>
      <c r="G19" s="227" t="str">
        <f>VLOOKUP($F18,$E$10:$H$16,3,FALSE)</f>
        <v>£m (2017-18 prices)</v>
      </c>
      <c r="H19" s="227">
        <f>VLOOKUP($F18,$E$10:$H$16,4,FALSE)</f>
        <v>0</v>
      </c>
    </row>
    <row r="20" spans="1:20" s="227" customFormat="1" ht="13.15" x14ac:dyDescent="0.35">
      <c r="A20" s="228"/>
      <c r="B20" s="229"/>
      <c r="C20" s="230"/>
    </row>
    <row r="21" spans="1:20" s="227" customFormat="1" ht="13.15" x14ac:dyDescent="0.35">
      <c r="A21" s="228"/>
      <c r="B21" s="229" t="s">
        <v>205</v>
      </c>
      <c r="C21" s="230"/>
    </row>
    <row r="22" spans="1:20" s="227" customFormat="1" ht="13.15" x14ac:dyDescent="0.35">
      <c r="A22" s="228"/>
      <c r="B22" s="229"/>
      <c r="C22" s="230"/>
    </row>
    <row r="23" spans="1:20" s="233" customFormat="1" ht="13.15" x14ac:dyDescent="0.35">
      <c r="A23" s="231"/>
      <c r="B23" s="232"/>
      <c r="E23" s="233" t="str">
        <f xml:space="preserve"> Inputs!E$12</f>
        <v>Reporting year</v>
      </c>
      <c r="F23" s="233">
        <f xml:space="preserve"> Inputs!F$12</f>
        <v>0</v>
      </c>
      <c r="G23" s="233" t="str">
        <f xml:space="preserve"> Inputs!G$12</f>
        <v>Financial year</v>
      </c>
    </row>
    <row r="24" spans="1:20" s="227" customFormat="1" ht="13.15" x14ac:dyDescent="0.35">
      <c r="A24" s="228"/>
      <c r="B24" s="229"/>
      <c r="C24" s="230"/>
      <c r="E24" s="227" t="s">
        <v>206</v>
      </c>
      <c r="F24" s="331">
        <f>_xlfn.NUMBERVALUE(CONCATENATE(20,RIGHT(F23,2)))</f>
        <v>200</v>
      </c>
    </row>
    <row r="25" spans="1:20" s="233" customFormat="1" ht="13.15" x14ac:dyDescent="0.35">
      <c r="A25" s="231"/>
      <c r="B25" s="232"/>
      <c r="E25" s="246" t="str">
        <f xml:space="preserve"> Time!E$85</f>
        <v>Financial Year Ending</v>
      </c>
      <c r="F25" s="244">
        <f xml:space="preserve"> Time!F$85</f>
        <v>0</v>
      </c>
      <c r="G25" s="244" t="str">
        <f xml:space="preserve"> Time!G$85</f>
        <v>year #</v>
      </c>
      <c r="H25" s="244">
        <f xml:space="preserve"> Time!H$85</f>
        <v>0</v>
      </c>
      <c r="I25" s="244">
        <f xml:space="preserve"> Time!I$85</f>
        <v>0</v>
      </c>
      <c r="J25" s="330">
        <f xml:space="preserve"> Time!J$85</f>
        <v>2016</v>
      </c>
      <c r="K25" s="330">
        <f xml:space="preserve"> Time!K$85</f>
        <v>2017</v>
      </c>
      <c r="L25" s="330">
        <f xml:space="preserve"> Time!L$85</f>
        <v>2018</v>
      </c>
      <c r="M25" s="330">
        <f xml:space="preserve"> Time!M$85</f>
        <v>2019</v>
      </c>
      <c r="N25" s="330">
        <f xml:space="preserve"> Time!N$85</f>
        <v>2020</v>
      </c>
      <c r="O25" s="330">
        <f xml:space="preserve"> Time!O$85</f>
        <v>2021</v>
      </c>
      <c r="P25" s="330">
        <f xml:space="preserve"> Time!P$85</f>
        <v>2022</v>
      </c>
      <c r="Q25" s="330">
        <f xml:space="preserve"> Time!Q$85</f>
        <v>2023</v>
      </c>
      <c r="R25" s="330">
        <f xml:space="preserve"> Time!R$85</f>
        <v>2024</v>
      </c>
      <c r="S25" s="330">
        <f xml:space="preserve"> Time!S$85</f>
        <v>2025</v>
      </c>
      <c r="T25" s="330">
        <f xml:space="preserve"> Time!T$85</f>
        <v>2026</v>
      </c>
    </row>
    <row r="26" spans="1:20" s="227" customFormat="1" ht="13.15" x14ac:dyDescent="0.35">
      <c r="A26" s="228"/>
      <c r="B26" s="229"/>
      <c r="C26" s="230"/>
      <c r="E26" s="227" t="s">
        <v>207</v>
      </c>
      <c r="G26" s="227" t="s">
        <v>158</v>
      </c>
      <c r="J26" s="245">
        <f xml:space="preserve"> IF( J25 = $F24, 1, 0 )</f>
        <v>0</v>
      </c>
      <c r="K26" s="245">
        <f t="shared" ref="K26:T26" si="0" xml:space="preserve"> IF( K25 = $F24, 1, 0 )</f>
        <v>0</v>
      </c>
      <c r="L26" s="245">
        <f t="shared" si="0"/>
        <v>0</v>
      </c>
      <c r="M26" s="245">
        <f t="shared" si="0"/>
        <v>0</v>
      </c>
      <c r="N26" s="245">
        <f t="shared" si="0"/>
        <v>0</v>
      </c>
      <c r="O26" s="245">
        <f t="shared" si="0"/>
        <v>0</v>
      </c>
      <c r="P26" s="245">
        <f t="shared" si="0"/>
        <v>0</v>
      </c>
      <c r="Q26" s="245">
        <f t="shared" si="0"/>
        <v>0</v>
      </c>
      <c r="R26" s="245">
        <f t="shared" si="0"/>
        <v>0</v>
      </c>
      <c r="S26" s="245">
        <f t="shared" si="0"/>
        <v>0</v>
      </c>
      <c r="T26" s="245">
        <f t="shared" si="0"/>
        <v>0</v>
      </c>
    </row>
    <row r="27" spans="1:20" s="227" customFormat="1" ht="13.15" x14ac:dyDescent="0.35">
      <c r="A27" s="228"/>
      <c r="B27" s="229"/>
      <c r="C27" s="230"/>
      <c r="E27" s="227" t="s">
        <v>208</v>
      </c>
      <c r="G27" s="227" t="s">
        <v>158</v>
      </c>
      <c r="J27" s="245">
        <f xml:space="preserve"> IF( H26 = 1, 1, 0 )</f>
        <v>0</v>
      </c>
      <c r="K27" s="245">
        <f t="shared" ref="K27:T27" si="1" xml:space="preserve"> IF( I26 = 1, 1, 0 )</f>
        <v>0</v>
      </c>
      <c r="L27" s="245">
        <f t="shared" si="1"/>
        <v>0</v>
      </c>
      <c r="M27" s="245">
        <f t="shared" si="1"/>
        <v>0</v>
      </c>
      <c r="N27" s="245">
        <f t="shared" si="1"/>
        <v>0</v>
      </c>
      <c r="O27" s="245">
        <f t="shared" si="1"/>
        <v>0</v>
      </c>
      <c r="P27" s="245">
        <f t="shared" si="1"/>
        <v>0</v>
      </c>
      <c r="Q27" s="245">
        <f t="shared" si="1"/>
        <v>0</v>
      </c>
      <c r="R27" s="245">
        <f t="shared" si="1"/>
        <v>0</v>
      </c>
      <c r="S27" s="245">
        <f t="shared" si="1"/>
        <v>0</v>
      </c>
      <c r="T27" s="245">
        <f t="shared" si="1"/>
        <v>0</v>
      </c>
    </row>
    <row r="28" spans="1:20" s="227" customFormat="1" ht="13.15" x14ac:dyDescent="0.35">
      <c r="A28" s="228"/>
      <c r="B28" s="229"/>
      <c r="C28" s="230"/>
    </row>
    <row r="29" spans="1:20" s="227" customFormat="1" ht="13.15" x14ac:dyDescent="0.35">
      <c r="A29" s="228"/>
      <c r="B29" s="229"/>
      <c r="C29" s="230"/>
      <c r="E29" s="227" t="str">
        <f xml:space="preserve"> E19</f>
        <v>ODI payments for this price control</v>
      </c>
      <c r="G29" s="227" t="str">
        <f xml:space="preserve"> G19</f>
        <v>£m (2017-18 prices)</v>
      </c>
      <c r="J29" s="227">
        <f xml:space="preserve"> IF( J27 = 1, $H19, 0 )</f>
        <v>0</v>
      </c>
      <c r="K29" s="227">
        <f t="shared" ref="K29:T29" si="2" xml:space="preserve"> IF( K27 = 1, $H19, 0 )</f>
        <v>0</v>
      </c>
      <c r="L29" s="227">
        <f t="shared" si="2"/>
        <v>0</v>
      </c>
      <c r="M29" s="227">
        <f t="shared" si="2"/>
        <v>0</v>
      </c>
      <c r="N29" s="227">
        <f t="shared" si="2"/>
        <v>0</v>
      </c>
      <c r="O29" s="227">
        <f t="shared" si="2"/>
        <v>0</v>
      </c>
      <c r="P29" s="227">
        <f t="shared" si="2"/>
        <v>0</v>
      </c>
      <c r="Q29" s="227">
        <f t="shared" si="2"/>
        <v>0</v>
      </c>
      <c r="R29" s="227">
        <f t="shared" si="2"/>
        <v>0</v>
      </c>
      <c r="S29" s="227">
        <f t="shared" si="2"/>
        <v>0</v>
      </c>
      <c r="T29" s="227">
        <f t="shared" si="2"/>
        <v>0</v>
      </c>
    </row>
    <row r="30" spans="1:20" ht="13.15" x14ac:dyDescent="0.35">
      <c r="A30" s="228"/>
      <c r="B30" s="229"/>
      <c r="C30" s="230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</row>
    <row r="31" spans="1:20" s="9" customFormat="1" ht="13.15" x14ac:dyDescent="0.35">
      <c r="A31" s="84" t="s">
        <v>209</v>
      </c>
      <c r="B31" s="175"/>
      <c r="C31" s="175"/>
      <c r="D31" s="175"/>
      <c r="E31" s="176"/>
      <c r="F31" s="87"/>
      <c r="G31" s="96"/>
      <c r="H31" s="97"/>
      <c r="I31" s="89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1:20" ht="13.15" x14ac:dyDescent="0.35">
      <c r="B32" s="127"/>
      <c r="E32" s="121"/>
    </row>
    <row r="33" spans="1:20" ht="13.15" x14ac:dyDescent="0.35">
      <c r="B33" s="127" t="s">
        <v>211</v>
      </c>
      <c r="E33" s="121"/>
    </row>
    <row r="34" spans="1:20" s="117" customFormat="1" ht="13.15" x14ac:dyDescent="0.35">
      <c r="A34" s="132"/>
      <c r="B34" s="127"/>
      <c r="C34" s="133"/>
      <c r="E34" s="291" t="str">
        <f t="shared" ref="E34:T34" si="3" xml:space="preserve"> E$29</f>
        <v>ODI payments for this price control</v>
      </c>
      <c r="F34" s="291">
        <f t="shared" si="3"/>
        <v>0</v>
      </c>
      <c r="G34" s="291" t="str">
        <f t="shared" si="3"/>
        <v>£m (2017-18 prices)</v>
      </c>
      <c r="H34" s="291">
        <f t="shared" si="3"/>
        <v>0</v>
      </c>
      <c r="I34" s="291">
        <f t="shared" si="3"/>
        <v>0</v>
      </c>
      <c r="J34" s="291">
        <f t="shared" si="3"/>
        <v>0</v>
      </c>
      <c r="K34" s="291">
        <f t="shared" si="3"/>
        <v>0</v>
      </c>
      <c r="L34" s="291">
        <f t="shared" si="3"/>
        <v>0</v>
      </c>
      <c r="M34" s="291">
        <f t="shared" si="3"/>
        <v>0</v>
      </c>
      <c r="N34" s="291">
        <f t="shared" si="3"/>
        <v>0</v>
      </c>
      <c r="O34" s="291">
        <f t="shared" si="3"/>
        <v>0</v>
      </c>
      <c r="P34" s="291">
        <f t="shared" si="3"/>
        <v>0</v>
      </c>
      <c r="Q34" s="291">
        <f t="shared" si="3"/>
        <v>0</v>
      </c>
      <c r="R34" s="291">
        <f t="shared" si="3"/>
        <v>0</v>
      </c>
      <c r="S34" s="291">
        <f t="shared" si="3"/>
        <v>0</v>
      </c>
      <c r="T34" s="291">
        <f t="shared" si="3"/>
        <v>0</v>
      </c>
    </row>
    <row r="35" spans="1:20" s="114" customFormat="1" ht="13.15" x14ac:dyDescent="0.35">
      <c r="A35" s="122"/>
      <c r="B35" s="123"/>
      <c r="C35" s="124"/>
      <c r="D35" s="91"/>
      <c r="E35" s="290" t="str">
        <f xml:space="preserve"> Index!E$13</f>
        <v>Cumulative inflation factor</v>
      </c>
      <c r="F35" s="290">
        <f xml:space="preserve"> Index!F$13</f>
        <v>0</v>
      </c>
      <c r="G35" s="290" t="str">
        <f xml:space="preserve"> Index!G$13</f>
        <v>Percentage</v>
      </c>
      <c r="H35" s="290">
        <f xml:space="preserve"> Index!H$13</f>
        <v>0</v>
      </c>
      <c r="I35" s="290">
        <f xml:space="preserve"> Index!I$13</f>
        <v>0</v>
      </c>
      <c r="J35" s="248">
        <f xml:space="preserve"> Index!J$13</f>
        <v>0</v>
      </c>
      <c r="K35" s="248">
        <f xml:space="preserve"> Index!K$13</f>
        <v>0</v>
      </c>
      <c r="L35" s="248">
        <f xml:space="preserve"> Index!L$13</f>
        <v>1</v>
      </c>
      <c r="M35" s="248">
        <f xml:space="preserve"> Index!M$13</f>
        <v>1.0333944954128442</v>
      </c>
      <c r="N35" s="248">
        <f xml:space="preserve"> Index!N$13</f>
        <v>1.0333944954128442</v>
      </c>
      <c r="O35" s="248">
        <f xml:space="preserve"> Index!O$13</f>
        <v>1.0333944954128442</v>
      </c>
      <c r="P35" s="248">
        <f xml:space="preserve"> Index!P$13</f>
        <v>1.0333944954128442</v>
      </c>
      <c r="Q35" s="248">
        <f xml:space="preserve"> Index!Q$13</f>
        <v>1.0333944954128442</v>
      </c>
      <c r="R35" s="248">
        <f xml:space="preserve"> Index!R$13</f>
        <v>1.0333944954128442</v>
      </c>
      <c r="S35" s="248">
        <f xml:space="preserve"> Index!S$13</f>
        <v>1.0333944954128442</v>
      </c>
      <c r="T35" s="248">
        <f xml:space="preserve"> Index!T$13</f>
        <v>1.0333944954128442</v>
      </c>
    </row>
    <row r="36" spans="1:20" s="227" customFormat="1" ht="13.15" x14ac:dyDescent="0.35">
      <c r="A36" s="228"/>
      <c r="B36" s="229"/>
      <c r="C36" s="230"/>
      <c r="E36" s="227" t="s">
        <v>212</v>
      </c>
      <c r="G36" s="227" t="s">
        <v>117</v>
      </c>
      <c r="J36" s="227">
        <f t="shared" ref="J36:P36" si="4" xml:space="preserve"> J34 * J35</f>
        <v>0</v>
      </c>
      <c r="K36" s="227">
        <f t="shared" si="4"/>
        <v>0</v>
      </c>
      <c r="L36" s="227">
        <f t="shared" si="4"/>
        <v>0</v>
      </c>
      <c r="M36" s="227">
        <f t="shared" si="4"/>
        <v>0</v>
      </c>
      <c r="N36" s="227">
        <f t="shared" si="4"/>
        <v>0</v>
      </c>
      <c r="O36" s="227">
        <f t="shared" si="4"/>
        <v>0</v>
      </c>
      <c r="P36" s="227">
        <f t="shared" si="4"/>
        <v>0</v>
      </c>
      <c r="Q36" s="227">
        <f xml:space="preserve"> Q34 * Q35</f>
        <v>0</v>
      </c>
      <c r="R36" s="227">
        <f xml:space="preserve"> R34 * R35</f>
        <v>0</v>
      </c>
      <c r="S36" s="227">
        <f xml:space="preserve"> S34 * S35</f>
        <v>0</v>
      </c>
      <c r="T36" s="227">
        <f xml:space="preserve"> T34 * T35</f>
        <v>0</v>
      </c>
    </row>
    <row r="37" spans="1:20" ht="13.15" x14ac:dyDescent="0.35">
      <c r="B37" s="127"/>
      <c r="E37" s="121"/>
    </row>
    <row r="38" spans="1:20" ht="13.15" x14ac:dyDescent="0.35">
      <c r="B38" s="127" t="s">
        <v>213</v>
      </c>
      <c r="E38" s="121"/>
    </row>
    <row r="39" spans="1:20" s="114" customFormat="1" ht="13.15" x14ac:dyDescent="0.35">
      <c r="A39" s="122"/>
      <c r="B39" s="127"/>
      <c r="C39" s="124"/>
      <c r="D39" s="91"/>
      <c r="E39" s="290" t="str">
        <f xml:space="preserve"> Inputs!E$71</f>
        <v>Marginal tax rate</v>
      </c>
      <c r="F39" s="290">
        <f xml:space="preserve"> Inputs!F$71</f>
        <v>0</v>
      </c>
      <c r="G39" s="290" t="str">
        <f xml:space="preserve"> Inputs!G$71</f>
        <v>Percentage</v>
      </c>
      <c r="H39" s="290">
        <f xml:space="preserve"> Inputs!H$71</f>
        <v>0</v>
      </c>
      <c r="I39" s="290">
        <f xml:space="preserve"> Inputs!I$71</f>
        <v>0</v>
      </c>
      <c r="J39" s="290">
        <f xml:space="preserve"> Inputs!J$71</f>
        <v>0</v>
      </c>
      <c r="K39" s="290">
        <f xml:space="preserve"> Inputs!K$71</f>
        <v>0</v>
      </c>
      <c r="L39" s="290">
        <f xml:space="preserve"> Inputs!L$71</f>
        <v>0</v>
      </c>
      <c r="M39" s="290">
        <f xml:space="preserve"> Inputs!M$71</f>
        <v>0</v>
      </c>
      <c r="N39" s="290">
        <f xml:space="preserve"> Inputs!N$71</f>
        <v>0</v>
      </c>
      <c r="O39" s="290">
        <f xml:space="preserve"> Inputs!O$71</f>
        <v>0</v>
      </c>
      <c r="P39" s="290">
        <f xml:space="preserve"> Inputs!P$71</f>
        <v>0</v>
      </c>
      <c r="Q39" s="290">
        <f xml:space="preserve"> Inputs!Q$71</f>
        <v>0.19</v>
      </c>
      <c r="R39" s="290">
        <f xml:space="preserve"> Inputs!R$71</f>
        <v>0</v>
      </c>
      <c r="S39" s="290">
        <f xml:space="preserve"> Inputs!S$71</f>
        <v>0</v>
      </c>
      <c r="T39" s="290">
        <f xml:space="preserve"> Inputs!T$71</f>
        <v>0</v>
      </c>
    </row>
    <row r="40" spans="1:20" ht="13.15" x14ac:dyDescent="0.35">
      <c r="B40" s="127"/>
      <c r="E40" s="121" t="s">
        <v>214</v>
      </c>
      <c r="G40" s="117" t="s">
        <v>109</v>
      </c>
      <c r="J40" s="125">
        <f xml:space="preserve"> 1 / ( 1 - J39 ) - 1</f>
        <v>0</v>
      </c>
      <c r="K40" s="125">
        <f t="shared" ref="K40:T40" si="5" xml:space="preserve"> 1 / ( 1 - K39 ) - 1</f>
        <v>0</v>
      </c>
      <c r="L40" s="125">
        <f t="shared" si="5"/>
        <v>0</v>
      </c>
      <c r="M40" s="125">
        <f t="shared" si="5"/>
        <v>0</v>
      </c>
      <c r="N40" s="125">
        <f t="shared" si="5"/>
        <v>0</v>
      </c>
      <c r="O40" s="125">
        <f t="shared" si="5"/>
        <v>0</v>
      </c>
      <c r="P40" s="125">
        <f t="shared" si="5"/>
        <v>0</v>
      </c>
      <c r="Q40" s="125">
        <f t="shared" si="5"/>
        <v>0.23456790123456783</v>
      </c>
      <c r="R40" s="125">
        <f t="shared" si="5"/>
        <v>0</v>
      </c>
      <c r="S40" s="125">
        <f t="shared" si="5"/>
        <v>0</v>
      </c>
      <c r="T40" s="125">
        <f t="shared" si="5"/>
        <v>0</v>
      </c>
    </row>
    <row r="41" spans="1:20" ht="13.15" x14ac:dyDescent="0.35">
      <c r="B41" s="127"/>
      <c r="E41" s="121"/>
    </row>
    <row r="42" spans="1:20" s="227" customFormat="1" ht="13.15" x14ac:dyDescent="0.35">
      <c r="A42" s="228"/>
      <c r="B42" s="229"/>
      <c r="C42" s="230"/>
      <c r="E42" s="227" t="str">
        <f xml:space="preserve"> E$36</f>
        <v>ODI value nominal prices</v>
      </c>
      <c r="F42" s="227">
        <f t="shared" ref="F42:T42" si="6" xml:space="preserve"> F$36</f>
        <v>0</v>
      </c>
      <c r="G42" s="227" t="str">
        <f t="shared" si="6"/>
        <v>£m (nominal)</v>
      </c>
      <c r="H42" s="227">
        <f t="shared" si="6"/>
        <v>0</v>
      </c>
      <c r="I42" s="227">
        <f t="shared" si="6"/>
        <v>0</v>
      </c>
      <c r="J42" s="227">
        <f t="shared" si="6"/>
        <v>0</v>
      </c>
      <c r="K42" s="227">
        <f t="shared" si="6"/>
        <v>0</v>
      </c>
      <c r="L42" s="227">
        <f t="shared" si="6"/>
        <v>0</v>
      </c>
      <c r="M42" s="227">
        <f t="shared" si="6"/>
        <v>0</v>
      </c>
      <c r="N42" s="227">
        <f t="shared" si="6"/>
        <v>0</v>
      </c>
      <c r="O42" s="227">
        <f t="shared" si="6"/>
        <v>0</v>
      </c>
      <c r="P42" s="227">
        <f t="shared" si="6"/>
        <v>0</v>
      </c>
      <c r="Q42" s="227">
        <f t="shared" si="6"/>
        <v>0</v>
      </c>
      <c r="R42" s="227">
        <f t="shared" si="6"/>
        <v>0</v>
      </c>
      <c r="S42" s="227">
        <f t="shared" si="6"/>
        <v>0</v>
      </c>
      <c r="T42" s="227">
        <f t="shared" si="6"/>
        <v>0</v>
      </c>
    </row>
    <row r="43" spans="1:20" s="276" customFormat="1" ht="13.15" x14ac:dyDescent="0.35">
      <c r="A43" s="281"/>
      <c r="B43" s="282"/>
      <c r="E43" s="276" t="str">
        <f xml:space="preserve"> E$40</f>
        <v>Tax on Tax geometric uplift</v>
      </c>
      <c r="F43" s="276">
        <f t="shared" ref="F43:T43" si="7" xml:space="preserve"> F$40</f>
        <v>0</v>
      </c>
      <c r="G43" s="276" t="str">
        <f t="shared" si="7"/>
        <v>Percentage</v>
      </c>
      <c r="H43" s="276">
        <f t="shared" si="7"/>
        <v>0</v>
      </c>
      <c r="I43" s="276">
        <f t="shared" si="7"/>
        <v>0</v>
      </c>
      <c r="J43" s="276">
        <f t="shared" si="7"/>
        <v>0</v>
      </c>
      <c r="K43" s="276">
        <f t="shared" si="7"/>
        <v>0</v>
      </c>
      <c r="L43" s="276">
        <f t="shared" si="7"/>
        <v>0</v>
      </c>
      <c r="M43" s="276">
        <f t="shared" si="7"/>
        <v>0</v>
      </c>
      <c r="N43" s="276">
        <f t="shared" si="7"/>
        <v>0</v>
      </c>
      <c r="O43" s="276">
        <f t="shared" si="7"/>
        <v>0</v>
      </c>
      <c r="P43" s="276">
        <f t="shared" si="7"/>
        <v>0</v>
      </c>
      <c r="Q43" s="276">
        <f t="shared" si="7"/>
        <v>0.23456790123456783</v>
      </c>
      <c r="R43" s="276">
        <f t="shared" si="7"/>
        <v>0</v>
      </c>
      <c r="S43" s="276">
        <f t="shared" si="7"/>
        <v>0</v>
      </c>
      <c r="T43" s="276">
        <f t="shared" si="7"/>
        <v>0</v>
      </c>
    </row>
    <row r="44" spans="1:20" s="227" customFormat="1" ht="13.15" x14ac:dyDescent="0.35">
      <c r="A44" s="228"/>
      <c r="B44" s="229"/>
      <c r="C44" s="230"/>
      <c r="E44" s="227" t="s">
        <v>215</v>
      </c>
      <c r="G44" s="227" t="s">
        <v>117</v>
      </c>
      <c r="H44" s="227">
        <f xml:space="preserve"> SUM( J44:T44 )</f>
        <v>0</v>
      </c>
      <c r="J44" s="227">
        <f t="shared" ref="J44:T44" si="8" xml:space="preserve"> J42 * J43</f>
        <v>0</v>
      </c>
      <c r="K44" s="227">
        <f t="shared" si="8"/>
        <v>0</v>
      </c>
      <c r="L44" s="227">
        <f t="shared" si="8"/>
        <v>0</v>
      </c>
      <c r="M44" s="227">
        <f t="shared" si="8"/>
        <v>0</v>
      </c>
      <c r="N44" s="227">
        <f t="shared" si="8"/>
        <v>0</v>
      </c>
      <c r="O44" s="227">
        <f t="shared" si="8"/>
        <v>0</v>
      </c>
      <c r="P44" s="227">
        <f t="shared" si="8"/>
        <v>0</v>
      </c>
      <c r="Q44" s="227">
        <f t="shared" si="8"/>
        <v>0</v>
      </c>
      <c r="R44" s="227">
        <f t="shared" si="8"/>
        <v>0</v>
      </c>
      <c r="S44" s="227">
        <f t="shared" si="8"/>
        <v>0</v>
      </c>
      <c r="T44" s="227">
        <f t="shared" si="8"/>
        <v>0</v>
      </c>
    </row>
    <row r="45" spans="1:20" s="227" customFormat="1" ht="13.15" x14ac:dyDescent="0.35">
      <c r="A45" s="228"/>
      <c r="B45" s="229"/>
      <c r="C45" s="230"/>
    </row>
    <row r="46" spans="1:20" s="227" customFormat="1" ht="13.15" x14ac:dyDescent="0.35">
      <c r="A46" s="228"/>
      <c r="B46" s="229"/>
      <c r="C46" s="230"/>
      <c r="E46" s="227" t="str">
        <f xml:space="preserve"> E$36</f>
        <v>ODI value nominal prices</v>
      </c>
      <c r="F46" s="227">
        <f t="shared" ref="F46:T46" si="9" xml:space="preserve"> F$36</f>
        <v>0</v>
      </c>
      <c r="G46" s="227" t="str">
        <f t="shared" si="9"/>
        <v>£m (nominal)</v>
      </c>
      <c r="H46" s="227">
        <f t="shared" si="9"/>
        <v>0</v>
      </c>
      <c r="I46" s="227">
        <f t="shared" si="9"/>
        <v>0</v>
      </c>
      <c r="J46" s="227">
        <f t="shared" si="9"/>
        <v>0</v>
      </c>
      <c r="K46" s="227">
        <f t="shared" si="9"/>
        <v>0</v>
      </c>
      <c r="L46" s="227">
        <f t="shared" si="9"/>
        <v>0</v>
      </c>
      <c r="M46" s="227">
        <f t="shared" si="9"/>
        <v>0</v>
      </c>
      <c r="N46" s="227">
        <f t="shared" si="9"/>
        <v>0</v>
      </c>
      <c r="O46" s="227">
        <f t="shared" si="9"/>
        <v>0</v>
      </c>
      <c r="P46" s="227">
        <f t="shared" si="9"/>
        <v>0</v>
      </c>
      <c r="Q46" s="227">
        <f t="shared" si="9"/>
        <v>0</v>
      </c>
      <c r="R46" s="227">
        <f t="shared" si="9"/>
        <v>0</v>
      </c>
      <c r="S46" s="227">
        <f t="shared" si="9"/>
        <v>0</v>
      </c>
      <c r="T46" s="227">
        <f t="shared" si="9"/>
        <v>0</v>
      </c>
    </row>
    <row r="47" spans="1:20" s="227" customFormat="1" ht="13.15" x14ac:dyDescent="0.35">
      <c r="A47" s="228"/>
      <c r="B47" s="229"/>
      <c r="C47" s="230"/>
      <c r="E47" s="227" t="str">
        <f xml:space="preserve"> E$44</f>
        <v>Tax on nominal ODI</v>
      </c>
      <c r="F47" s="227">
        <f t="shared" ref="F47:T47" si="10" xml:space="preserve"> F$44</f>
        <v>0</v>
      </c>
      <c r="G47" s="227" t="str">
        <f t="shared" si="10"/>
        <v>£m (nominal)</v>
      </c>
      <c r="H47" s="227">
        <f t="shared" si="10"/>
        <v>0</v>
      </c>
      <c r="I47" s="227">
        <f t="shared" si="10"/>
        <v>0</v>
      </c>
      <c r="J47" s="227">
        <f t="shared" si="10"/>
        <v>0</v>
      </c>
      <c r="K47" s="227">
        <f t="shared" si="10"/>
        <v>0</v>
      </c>
      <c r="L47" s="227">
        <f t="shared" si="10"/>
        <v>0</v>
      </c>
      <c r="M47" s="227">
        <f t="shared" si="10"/>
        <v>0</v>
      </c>
      <c r="N47" s="227">
        <f t="shared" si="10"/>
        <v>0</v>
      </c>
      <c r="O47" s="227">
        <f t="shared" si="10"/>
        <v>0</v>
      </c>
      <c r="P47" s="227">
        <f t="shared" si="10"/>
        <v>0</v>
      </c>
      <c r="Q47" s="227">
        <f t="shared" si="10"/>
        <v>0</v>
      </c>
      <c r="R47" s="227">
        <f t="shared" si="10"/>
        <v>0</v>
      </c>
      <c r="S47" s="227">
        <f t="shared" si="10"/>
        <v>0</v>
      </c>
      <c r="T47" s="227">
        <f t="shared" si="10"/>
        <v>0</v>
      </c>
    </row>
    <row r="48" spans="1:20" s="227" customFormat="1" ht="13.15" x14ac:dyDescent="0.35">
      <c r="A48" s="228"/>
      <c r="B48" s="229"/>
      <c r="C48" s="230"/>
      <c r="E48" s="227" t="s">
        <v>216</v>
      </c>
      <c r="G48" s="227" t="s">
        <v>117</v>
      </c>
      <c r="H48" s="227">
        <f xml:space="preserve"> SUM( J48:T48 )</f>
        <v>0</v>
      </c>
      <c r="J48" s="235">
        <f xml:space="preserve"> J46 + J47</f>
        <v>0</v>
      </c>
      <c r="K48" s="235">
        <f t="shared" ref="K48:T48" si="11" xml:space="preserve"> K46 + K47</f>
        <v>0</v>
      </c>
      <c r="L48" s="235">
        <f t="shared" si="11"/>
        <v>0</v>
      </c>
      <c r="M48" s="235">
        <f t="shared" si="11"/>
        <v>0</v>
      </c>
      <c r="N48" s="235">
        <f t="shared" si="11"/>
        <v>0</v>
      </c>
      <c r="O48" s="235">
        <f t="shared" si="11"/>
        <v>0</v>
      </c>
      <c r="P48" s="235">
        <f t="shared" si="11"/>
        <v>0</v>
      </c>
      <c r="Q48" s="235">
        <f t="shared" si="11"/>
        <v>0</v>
      </c>
      <c r="R48" s="235">
        <f t="shared" si="11"/>
        <v>0</v>
      </c>
      <c r="S48" s="235">
        <f t="shared" si="11"/>
        <v>0</v>
      </c>
      <c r="T48" s="235">
        <f t="shared" si="11"/>
        <v>0</v>
      </c>
    </row>
    <row r="49" spans="1:20" ht="13.15" x14ac:dyDescent="0.35">
      <c r="B49" s="127"/>
      <c r="E49" s="121"/>
      <c r="H49" s="117"/>
      <c r="I49" s="117"/>
    </row>
    <row r="50" spans="1:20" ht="13.15" x14ac:dyDescent="0.35">
      <c r="B50" s="127" t="s">
        <v>222</v>
      </c>
      <c r="E50" s="121"/>
      <c r="H50" s="117"/>
      <c r="I50" s="117"/>
    </row>
    <row r="51" spans="1:20" s="114" customFormat="1" ht="13.15" x14ac:dyDescent="0.35">
      <c r="A51" s="122"/>
      <c r="B51" s="123"/>
      <c r="C51" s="124"/>
      <c r="D51" s="91"/>
      <c r="E51" s="233" t="str">
        <f>Inputs!E93</f>
        <v>Total revenue (TRt in last determination)</v>
      </c>
      <c r="F51" s="233"/>
      <c r="G51" s="233" t="str">
        <f>Inputs!G93</f>
        <v>£m (nominal)</v>
      </c>
      <c r="H51" s="233"/>
      <c r="I51" s="233"/>
      <c r="J51" s="233">
        <f>Inputs!J93</f>
        <v>0</v>
      </c>
      <c r="K51" s="233">
        <f>Inputs!K93</f>
        <v>0</v>
      </c>
      <c r="L51" s="233">
        <f>Inputs!L93</f>
        <v>0</v>
      </c>
      <c r="M51" s="233">
        <f>Inputs!M93</f>
        <v>0</v>
      </c>
      <c r="N51" s="233">
        <f>Inputs!N93</f>
        <v>0</v>
      </c>
      <c r="O51" s="233">
        <f>Inputs!O93</f>
        <v>0</v>
      </c>
      <c r="P51" s="233">
        <f>Inputs!P93</f>
        <v>0</v>
      </c>
      <c r="Q51" s="233">
        <f>Inputs!Q93</f>
        <v>0</v>
      </c>
      <c r="R51" s="233">
        <f>Inputs!R93</f>
        <v>0</v>
      </c>
      <c r="S51" s="233">
        <f>Inputs!S93</f>
        <v>0</v>
      </c>
      <c r="T51" s="233">
        <f>Inputs!T93</f>
        <v>0</v>
      </c>
    </row>
    <row r="52" spans="1:20" ht="13.15" x14ac:dyDescent="0.35">
      <c r="B52" s="1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</row>
    <row r="53" spans="1:20" s="61" customFormat="1" ht="13.15" x14ac:dyDescent="0.35">
      <c r="A53" s="206"/>
      <c r="B53" s="207"/>
      <c r="C53" s="208"/>
      <c r="D53" s="148"/>
      <c r="E53" s="256" t="s">
        <v>223</v>
      </c>
      <c r="F53" s="256"/>
      <c r="G53" s="256" t="s">
        <v>117</v>
      </c>
      <c r="H53" s="256"/>
      <c r="I53" s="256"/>
      <c r="J53" s="256">
        <f xml:space="preserve"> J48 + J51</f>
        <v>0</v>
      </c>
      <c r="K53" s="256">
        <f t="shared" ref="K53:T53" si="12" xml:space="preserve"> K48 + K51</f>
        <v>0</v>
      </c>
      <c r="L53" s="256">
        <f t="shared" si="12"/>
        <v>0</v>
      </c>
      <c r="M53" s="256">
        <f t="shared" si="12"/>
        <v>0</v>
      </c>
      <c r="N53" s="256">
        <f t="shared" si="12"/>
        <v>0</v>
      </c>
      <c r="O53" s="256">
        <f t="shared" si="12"/>
        <v>0</v>
      </c>
      <c r="P53" s="256">
        <f t="shared" si="12"/>
        <v>0</v>
      </c>
      <c r="Q53" s="256">
        <f t="shared" si="12"/>
        <v>0</v>
      </c>
      <c r="R53" s="256">
        <f t="shared" si="12"/>
        <v>0</v>
      </c>
      <c r="S53" s="256">
        <f t="shared" si="12"/>
        <v>0</v>
      </c>
      <c r="T53" s="256">
        <f t="shared" si="12"/>
        <v>0</v>
      </c>
    </row>
    <row r="54" spans="1:20" ht="13.15" x14ac:dyDescent="0.35">
      <c r="B54" s="127"/>
      <c r="E54" s="121"/>
      <c r="H54" s="117"/>
      <c r="I54" s="117"/>
    </row>
    <row r="55" spans="1:20" ht="13.15" x14ac:dyDescent="0.35">
      <c r="A55" s="2" t="s">
        <v>83</v>
      </c>
      <c r="B55" s="203"/>
      <c r="C55" s="189"/>
      <c r="D55" s="204"/>
      <c r="E55" s="191"/>
      <c r="F55" s="191"/>
      <c r="G55" s="19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35"/>
  </sheetData>
  <conditionalFormatting sqref="J3:T3">
    <cfRule type="cellIs" dxfId="20" priority="1" operator="equal">
      <formula>"Post-Fcst"</formula>
    </cfRule>
    <cfRule type="cellIs" dxfId="19" priority="2" operator="equal">
      <formula>"Forecast"</formula>
    </cfRule>
    <cfRule type="cellIs" dxfId="18" priority="3" operator="equal">
      <formula>"Pre Fcst"</formula>
    </cfRule>
  </conditionalFormatting>
  <printOptions headings="1"/>
  <pageMargins left="0.7" right="0.7" top="0.75" bottom="0.75" header="0.3" footer="0.3"/>
  <pageSetup paperSize="9" scale="57" orientation="landscape" blackAndWhite="1" r:id="rId1"/>
  <headerFooter>
    <oddHeader xml:space="preserve">&amp;L&amp;F &amp;CSheet: &amp;A &amp;ROFFICIAL </oddHeader>
    <oddFooter xml:space="preserve">&amp;L&amp;D at &amp;T &amp;C&amp;P of &amp;N &amp;ROfwat </oddFooter>
  </headerFooter>
  <ignoredErrors>
    <ignoredError sqref="H4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 summaryRight="0"/>
    <pageSetUpPr fitToPage="1"/>
  </sheetPr>
  <dimension ref="A1:T102"/>
  <sheetViews>
    <sheetView view="pageBreakPreview" zoomScale="60" zoomScaleNormal="90" workbookViewId="0">
      <pane xSplit="9" ySplit="5" topLeftCell="J66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35"/>
  <cols>
    <col min="1" max="1" width="1.625" style="126" customWidth="1"/>
    <col min="2" max="2" width="1.625" style="205" customWidth="1"/>
    <col min="3" max="3" width="1.625" style="128" customWidth="1"/>
    <col min="4" max="4" width="1.625" style="117" customWidth="1"/>
    <col min="5" max="5" width="89.125" style="117" bestFit="1" customWidth="1"/>
    <col min="6" max="7" width="15.625" style="117" customWidth="1"/>
    <col min="8" max="8" width="15.625" style="34" customWidth="1"/>
    <col min="9" max="9" width="2.625" style="34" customWidth="1"/>
    <col min="10" max="20" width="9.625" style="34" customWidth="1"/>
    <col min="21" max="16384" width="9.625" style="34" hidden="1"/>
  </cols>
  <sheetData>
    <row r="1" spans="1:20" s="135" customFormat="1" ht="29.25" x14ac:dyDescent="0.35">
      <c r="A1" s="194" t="str">
        <f ca="1" xml:space="preserve"> RIGHT(CELL("filename", $A$1), LEN(CELL("filename", $A$1)) - SEARCH("]", CELL("filename", $A$1)))</f>
        <v>Business retail</v>
      </c>
      <c r="B1" s="195"/>
      <c r="C1" s="196"/>
      <c r="D1" s="192"/>
      <c r="E1" s="192"/>
      <c r="F1" s="192"/>
      <c r="G1" s="192"/>
      <c r="H1" s="92">
        <f>Inputs!F9</f>
        <v>0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s="18" customFormat="1" ht="13.15" x14ac:dyDescent="0.35">
      <c r="A2" s="197"/>
      <c r="B2" s="198"/>
      <c r="C2" s="199"/>
      <c r="D2" s="200"/>
      <c r="E2" s="167" t="str">
        <f>Time!E$22</f>
        <v>Model Period END</v>
      </c>
      <c r="F2" s="167"/>
      <c r="G2" s="167"/>
      <c r="H2" s="17"/>
      <c r="I2" s="17"/>
      <c r="J2" s="17">
        <f>Time!J$22</f>
        <v>42460</v>
      </c>
      <c r="K2" s="17">
        <f>Time!K$22</f>
        <v>42825</v>
      </c>
      <c r="L2" s="17">
        <f>Time!L$22</f>
        <v>43190</v>
      </c>
      <c r="M2" s="17">
        <f>Time!M$22</f>
        <v>43555</v>
      </c>
      <c r="N2" s="17">
        <f>Time!N$22</f>
        <v>43921</v>
      </c>
      <c r="O2" s="17">
        <f>Time!O$22</f>
        <v>44286</v>
      </c>
      <c r="P2" s="17">
        <f>Time!P$22</f>
        <v>44651</v>
      </c>
      <c r="Q2" s="17">
        <f>Time!Q$22</f>
        <v>45016</v>
      </c>
      <c r="R2" s="17">
        <f>Time!R$22</f>
        <v>45382</v>
      </c>
      <c r="S2" s="17">
        <f>Time!S$22</f>
        <v>45747</v>
      </c>
      <c r="T2" s="17">
        <f>Time!T$22</f>
        <v>46112</v>
      </c>
    </row>
    <row r="3" spans="1:20" s="23" customFormat="1" ht="13.15" x14ac:dyDescent="0.35">
      <c r="A3" s="193"/>
      <c r="B3" s="198"/>
      <c r="C3" s="199"/>
      <c r="D3" s="200"/>
      <c r="E3" s="167" t="str">
        <f>Time!E$58</f>
        <v>Pre Forecast vs Forecast</v>
      </c>
      <c r="F3" s="167"/>
      <c r="G3" s="167"/>
      <c r="H3" s="17"/>
      <c r="I3" s="17"/>
      <c r="J3" s="1" t="str">
        <f>Time!J$58</f>
        <v>Pre Fcst</v>
      </c>
      <c r="K3" s="1" t="str">
        <f>Time!K$58</f>
        <v>Pre Fcst</v>
      </c>
      <c r="L3" s="1" t="str">
        <f>Time!L$58</f>
        <v>Pre Fcst</v>
      </c>
      <c r="M3" s="1" t="str">
        <f>Time!M$58</f>
        <v>Pre Fcst</v>
      </c>
      <c r="N3" s="1" t="str">
        <f>Time!N$58</f>
        <v>Pre Fcst</v>
      </c>
      <c r="O3" s="1" t="str">
        <f>Time!O$58</f>
        <v>Forecast</v>
      </c>
      <c r="P3" s="1" t="str">
        <f>Time!P$58</f>
        <v>Forecast</v>
      </c>
      <c r="Q3" s="1" t="str">
        <f>Time!Q$58</f>
        <v>Forecast</v>
      </c>
      <c r="R3" s="1" t="str">
        <f>Time!R$58</f>
        <v>Forecast</v>
      </c>
      <c r="S3" s="1" t="str">
        <f>Time!S$58</f>
        <v>Forecast</v>
      </c>
      <c r="T3" s="1" t="str">
        <f>Time!T$58</f>
        <v>Post-Fcst</v>
      </c>
    </row>
    <row r="4" spans="1:20" s="166" customFormat="1" ht="13.15" x14ac:dyDescent="0.35">
      <c r="A4" s="193"/>
      <c r="B4" s="201"/>
      <c r="C4" s="199"/>
      <c r="D4" s="202"/>
      <c r="E4" s="168" t="str">
        <f>Time!E$85</f>
        <v>Financial Year Ending</v>
      </c>
      <c r="F4" s="168"/>
      <c r="G4" s="168"/>
      <c r="H4" s="164"/>
      <c r="I4" s="164"/>
      <c r="J4" s="165">
        <f>Time!J$85</f>
        <v>2016</v>
      </c>
      <c r="K4" s="165">
        <f>Time!K$85</f>
        <v>2017</v>
      </c>
      <c r="L4" s="165">
        <f>Time!L$85</f>
        <v>2018</v>
      </c>
      <c r="M4" s="165">
        <f>Time!M$85</f>
        <v>2019</v>
      </c>
      <c r="N4" s="165">
        <f>Time!N$85</f>
        <v>2020</v>
      </c>
      <c r="O4" s="165">
        <f>Time!O$85</f>
        <v>2021</v>
      </c>
      <c r="P4" s="165">
        <f>Time!P$85</f>
        <v>2022</v>
      </c>
      <c r="Q4" s="165">
        <f>Time!Q$85</f>
        <v>2023</v>
      </c>
      <c r="R4" s="165">
        <f>Time!R$85</f>
        <v>2024</v>
      </c>
      <c r="S4" s="165">
        <f>Time!S$85</f>
        <v>2025</v>
      </c>
      <c r="T4" s="165">
        <f>Time!T$85</f>
        <v>2026</v>
      </c>
    </row>
    <row r="5" spans="1:20" s="33" customFormat="1" ht="13.15" x14ac:dyDescent="0.35">
      <c r="A5" s="193"/>
      <c r="B5" s="198"/>
      <c r="C5" s="199"/>
      <c r="D5" s="200"/>
      <c r="E5" s="168" t="str">
        <f>Time!E$10</f>
        <v>Model column counter</v>
      </c>
      <c r="F5" s="193" t="s">
        <v>84</v>
      </c>
      <c r="G5" s="193" t="s">
        <v>85</v>
      </c>
      <c r="H5" s="23" t="s">
        <v>86</v>
      </c>
      <c r="I5" s="28"/>
      <c r="J5" s="28">
        <f>Time!J$10</f>
        <v>1</v>
      </c>
      <c r="K5" s="28">
        <f>Time!K$10</f>
        <v>2</v>
      </c>
      <c r="L5" s="28">
        <f>Time!L$10</f>
        <v>3</v>
      </c>
      <c r="M5" s="28">
        <f>Time!M$10</f>
        <v>4</v>
      </c>
      <c r="N5" s="28">
        <f>Time!N$10</f>
        <v>5</v>
      </c>
      <c r="O5" s="28">
        <f>Time!O$10</f>
        <v>6</v>
      </c>
      <c r="P5" s="28">
        <f>Time!P$10</f>
        <v>7</v>
      </c>
      <c r="Q5" s="28">
        <f>Time!Q$10</f>
        <v>8</v>
      </c>
      <c r="R5" s="28">
        <f>Time!R$10</f>
        <v>9</v>
      </c>
      <c r="S5" s="28">
        <f>Time!S$10</f>
        <v>10</v>
      </c>
      <c r="T5" s="28">
        <f>Time!T$10</f>
        <v>11</v>
      </c>
    </row>
    <row r="6" spans="1:20" s="33" customFormat="1" ht="13.15" x14ac:dyDescent="0.35">
      <c r="A6" s="193"/>
      <c r="B6" s="198"/>
      <c r="C6" s="199"/>
      <c r="D6" s="200"/>
      <c r="E6" s="168"/>
      <c r="F6" s="193"/>
      <c r="G6" s="193"/>
      <c r="H6" s="23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9" customFormat="1" ht="13.15" x14ac:dyDescent="0.35">
      <c r="A7" s="224" t="s">
        <v>95</v>
      </c>
      <c r="B7" s="175"/>
      <c r="C7" s="175"/>
      <c r="D7" s="175"/>
      <c r="E7" s="176"/>
      <c r="F7" s="87"/>
      <c r="G7" s="96"/>
      <c r="H7" s="97"/>
      <c r="I7" s="89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ht="13.15" x14ac:dyDescent="0.35">
      <c r="B8" s="127"/>
      <c r="E8" s="121"/>
    </row>
    <row r="9" spans="1:20" s="227" customFormat="1" ht="13.15" x14ac:dyDescent="0.35">
      <c r="A9" s="228"/>
      <c r="B9" s="229" t="s">
        <v>202</v>
      </c>
      <c r="C9" s="230"/>
    </row>
    <row r="10" spans="1:20" s="233" customFormat="1" ht="13.15" x14ac:dyDescent="0.35">
      <c r="A10" s="231"/>
      <c r="B10" s="232"/>
      <c r="E10" s="233" t="str">
        <f>'Abatements and deferrals'!E111</f>
        <v>Water resources</v>
      </c>
      <c r="G10" s="233" t="str">
        <f>'Abatements and deferrals'!G111</f>
        <v>£m (2017-18 prices)</v>
      </c>
      <c r="H10" s="233">
        <f>'Abatements and deferrals'!H111</f>
        <v>0</v>
      </c>
    </row>
    <row r="11" spans="1:20" s="227" customFormat="1" ht="13.15" x14ac:dyDescent="0.35">
      <c r="A11" s="228"/>
      <c r="B11" s="229"/>
      <c r="C11" s="230"/>
      <c r="E11" s="233" t="str">
        <f>'Abatements and deferrals'!E112</f>
        <v>Water network plus</v>
      </c>
      <c r="F11" s="233"/>
      <c r="G11" s="233" t="str">
        <f>'Abatements and deferrals'!G112</f>
        <v>£m (2017-18 prices)</v>
      </c>
      <c r="H11" s="233">
        <f>'Abatements and deferrals'!H112</f>
        <v>0</v>
      </c>
    </row>
    <row r="12" spans="1:20" s="227" customFormat="1" ht="13.15" x14ac:dyDescent="0.35">
      <c r="A12" s="228"/>
      <c r="B12" s="229"/>
      <c r="C12" s="230"/>
      <c r="E12" s="233" t="str">
        <f>'Abatements and deferrals'!E113</f>
        <v>Wastewater network plus</v>
      </c>
      <c r="F12" s="233"/>
      <c r="G12" s="233" t="str">
        <f>'Abatements and deferrals'!G113</f>
        <v>£m (2017-18 prices)</v>
      </c>
      <c r="H12" s="233">
        <f>'Abatements and deferrals'!H113</f>
        <v>0</v>
      </c>
    </row>
    <row r="13" spans="1:20" s="227" customFormat="1" ht="13.15" x14ac:dyDescent="0.35">
      <c r="A13" s="228"/>
      <c r="B13" s="229"/>
      <c r="C13" s="230"/>
      <c r="E13" s="233" t="str">
        <f>'Abatements and deferrals'!E114</f>
        <v>Bioresources (sludge)</v>
      </c>
      <c r="F13" s="233"/>
      <c r="G13" s="233" t="str">
        <f>'Abatements and deferrals'!G114</f>
        <v>£m (2017-18 prices)</v>
      </c>
      <c r="H13" s="233">
        <f>'Abatements and deferrals'!H114</f>
        <v>0</v>
      </c>
    </row>
    <row r="14" spans="1:20" s="227" customFormat="1" ht="13.15" x14ac:dyDescent="0.35">
      <c r="A14" s="228"/>
      <c r="B14" s="229"/>
      <c r="C14" s="230"/>
      <c r="E14" s="233" t="str">
        <f>'Abatements and deferrals'!E115</f>
        <v>Residential retail</v>
      </c>
      <c r="F14" s="233"/>
      <c r="G14" s="233" t="str">
        <f>'Abatements and deferrals'!G115</f>
        <v>£m (2017-18 prices)</v>
      </c>
      <c r="H14" s="233">
        <f>'Abatements and deferrals'!H115</f>
        <v>0</v>
      </c>
    </row>
    <row r="15" spans="1:20" s="227" customFormat="1" ht="13.15" x14ac:dyDescent="0.35">
      <c r="A15" s="228"/>
      <c r="B15" s="229"/>
      <c r="C15" s="230"/>
      <c r="E15" s="233" t="str">
        <f>'Abatements and deferrals'!E116</f>
        <v>Business retail</v>
      </c>
      <c r="F15" s="233"/>
      <c r="G15" s="233" t="str">
        <f>'Abatements and deferrals'!G116</f>
        <v>£m (2017-18 prices)</v>
      </c>
      <c r="H15" s="233">
        <f>'Abatements and deferrals'!H116</f>
        <v>0</v>
      </c>
    </row>
    <row r="16" spans="1:20" s="227" customFormat="1" ht="13.15" x14ac:dyDescent="0.35">
      <c r="A16" s="228"/>
      <c r="B16" s="229"/>
      <c r="C16" s="230"/>
      <c r="E16" s="233" t="str">
        <f>'Abatements and deferrals'!E117</f>
        <v>Dummy control</v>
      </c>
      <c r="F16" s="233"/>
      <c r="G16" s="233" t="str">
        <f>'Abatements and deferrals'!G117</f>
        <v>£m (2017-18 prices)</v>
      </c>
      <c r="H16" s="233">
        <f>'Abatements and deferrals'!H117</f>
        <v>0</v>
      </c>
    </row>
    <row r="17" spans="1:20" s="227" customFormat="1" ht="13.15" x14ac:dyDescent="0.35">
      <c r="A17" s="228"/>
      <c r="B17" s="229"/>
      <c r="C17" s="230"/>
      <c r="E17" s="233"/>
    </row>
    <row r="18" spans="1:20" s="227" customFormat="1" ht="13.15" x14ac:dyDescent="0.35">
      <c r="A18" s="228"/>
      <c r="B18" s="229"/>
      <c r="E18" s="227" t="s">
        <v>203</v>
      </c>
      <c r="F18" s="234" t="s">
        <v>77</v>
      </c>
    </row>
    <row r="19" spans="1:20" s="227" customFormat="1" ht="13.15" x14ac:dyDescent="0.35">
      <c r="A19" s="228"/>
      <c r="B19" s="229"/>
      <c r="C19" s="230"/>
      <c r="E19" s="227" t="s">
        <v>204</v>
      </c>
      <c r="G19" s="227" t="str">
        <f>VLOOKUP($F18,$E$10:$H$16,3,FALSE)</f>
        <v>£m (2017-18 prices)</v>
      </c>
      <c r="H19" s="227">
        <f>VLOOKUP($F18,$E$10:$H$16,4,FALSE)</f>
        <v>0</v>
      </c>
    </row>
    <row r="20" spans="1:20" s="227" customFormat="1" ht="13.15" x14ac:dyDescent="0.35">
      <c r="A20" s="228"/>
      <c r="B20" s="229"/>
      <c r="C20" s="230"/>
    </row>
    <row r="21" spans="1:20" s="227" customFormat="1" ht="13.15" x14ac:dyDescent="0.35">
      <c r="A21" s="228"/>
      <c r="B21" s="229" t="s">
        <v>205</v>
      </c>
      <c r="C21" s="230"/>
    </row>
    <row r="22" spans="1:20" s="227" customFormat="1" ht="13.15" x14ac:dyDescent="0.35">
      <c r="A22" s="228"/>
      <c r="B22" s="229"/>
      <c r="C22" s="230"/>
    </row>
    <row r="23" spans="1:20" s="233" customFormat="1" ht="13.15" x14ac:dyDescent="0.35">
      <c r="A23" s="231"/>
      <c r="B23" s="232"/>
      <c r="E23" s="233" t="str">
        <f xml:space="preserve"> Inputs!E$12</f>
        <v>Reporting year</v>
      </c>
      <c r="F23" s="233">
        <f xml:space="preserve"> Inputs!F$12</f>
        <v>0</v>
      </c>
      <c r="G23" s="233" t="str">
        <f xml:space="preserve"> Inputs!G$12</f>
        <v>Financial year</v>
      </c>
    </row>
    <row r="24" spans="1:20" s="227" customFormat="1" ht="13.15" x14ac:dyDescent="0.35">
      <c r="A24" s="228"/>
      <c r="B24" s="229"/>
      <c r="C24" s="230"/>
      <c r="E24" s="227" t="s">
        <v>206</v>
      </c>
      <c r="F24" s="331">
        <f>_xlfn.NUMBERVALUE(CONCATENATE(20,RIGHT(F23,2)))</f>
        <v>200</v>
      </c>
    </row>
    <row r="25" spans="1:20" s="233" customFormat="1" ht="13.15" x14ac:dyDescent="0.35">
      <c r="A25" s="231"/>
      <c r="B25" s="232"/>
      <c r="E25" s="246" t="str">
        <f xml:space="preserve"> Time!E$85</f>
        <v>Financial Year Ending</v>
      </c>
      <c r="F25" s="244">
        <f xml:space="preserve"> Time!F$85</f>
        <v>0</v>
      </c>
      <c r="G25" s="244" t="str">
        <f xml:space="preserve"> Time!G$85</f>
        <v>year #</v>
      </c>
      <c r="H25" s="244">
        <f xml:space="preserve"> Time!H$85</f>
        <v>0</v>
      </c>
      <c r="I25" s="244">
        <f xml:space="preserve"> Time!I$85</f>
        <v>0</v>
      </c>
      <c r="J25" s="330">
        <f xml:space="preserve"> Time!J$85</f>
        <v>2016</v>
      </c>
      <c r="K25" s="330">
        <f xml:space="preserve"> Time!K$85</f>
        <v>2017</v>
      </c>
      <c r="L25" s="330">
        <f xml:space="preserve"> Time!L$85</f>
        <v>2018</v>
      </c>
      <c r="M25" s="330">
        <f xml:space="preserve"> Time!M$85</f>
        <v>2019</v>
      </c>
      <c r="N25" s="330">
        <f xml:space="preserve"> Time!N$85</f>
        <v>2020</v>
      </c>
      <c r="O25" s="330">
        <f xml:space="preserve"> Time!O$85</f>
        <v>2021</v>
      </c>
      <c r="P25" s="330">
        <f xml:space="preserve"> Time!P$85</f>
        <v>2022</v>
      </c>
      <c r="Q25" s="330">
        <f xml:space="preserve"> Time!Q$85</f>
        <v>2023</v>
      </c>
      <c r="R25" s="330">
        <f xml:space="preserve"> Time!R$85</f>
        <v>2024</v>
      </c>
      <c r="S25" s="330">
        <f xml:space="preserve"> Time!S$85</f>
        <v>2025</v>
      </c>
      <c r="T25" s="330">
        <f xml:space="preserve"> Time!T$85</f>
        <v>2026</v>
      </c>
    </row>
    <row r="26" spans="1:20" s="227" customFormat="1" ht="13.15" x14ac:dyDescent="0.35">
      <c r="A26" s="228"/>
      <c r="B26" s="229"/>
      <c r="C26" s="230"/>
      <c r="E26" s="227" t="s">
        <v>207</v>
      </c>
      <c r="G26" s="227" t="s">
        <v>158</v>
      </c>
      <c r="J26" s="245">
        <f xml:space="preserve"> IF( J25 = $F24, 1, 0 )</f>
        <v>0</v>
      </c>
      <c r="K26" s="245">
        <f t="shared" ref="K26:T26" si="0" xml:space="preserve"> IF( K25 = $F24, 1, 0 )</f>
        <v>0</v>
      </c>
      <c r="L26" s="245">
        <f t="shared" si="0"/>
        <v>0</v>
      </c>
      <c r="M26" s="245">
        <f t="shared" si="0"/>
        <v>0</v>
      </c>
      <c r="N26" s="245">
        <f t="shared" si="0"/>
        <v>0</v>
      </c>
      <c r="O26" s="245">
        <f t="shared" si="0"/>
        <v>0</v>
      </c>
      <c r="P26" s="245">
        <f t="shared" si="0"/>
        <v>0</v>
      </c>
      <c r="Q26" s="245">
        <f t="shared" si="0"/>
        <v>0</v>
      </c>
      <c r="R26" s="245">
        <f t="shared" si="0"/>
        <v>0</v>
      </c>
      <c r="S26" s="245">
        <f t="shared" si="0"/>
        <v>0</v>
      </c>
      <c r="T26" s="245">
        <f t="shared" si="0"/>
        <v>0</v>
      </c>
    </row>
    <row r="27" spans="1:20" s="227" customFormat="1" ht="13.15" x14ac:dyDescent="0.35">
      <c r="A27" s="228"/>
      <c r="B27" s="229"/>
      <c r="C27" s="230"/>
      <c r="E27" s="227" t="s">
        <v>208</v>
      </c>
      <c r="G27" s="227" t="s">
        <v>158</v>
      </c>
      <c r="J27" s="245">
        <f xml:space="preserve"> IF( H26 = 1, 1, 0 )</f>
        <v>0</v>
      </c>
      <c r="K27" s="245">
        <f t="shared" ref="K27:T27" si="1" xml:space="preserve"> IF( I26 = 1, 1, 0 )</f>
        <v>0</v>
      </c>
      <c r="L27" s="245">
        <f t="shared" si="1"/>
        <v>0</v>
      </c>
      <c r="M27" s="245">
        <f t="shared" si="1"/>
        <v>0</v>
      </c>
      <c r="N27" s="245">
        <f t="shared" si="1"/>
        <v>0</v>
      </c>
      <c r="O27" s="245">
        <f t="shared" si="1"/>
        <v>0</v>
      </c>
      <c r="P27" s="245">
        <f t="shared" si="1"/>
        <v>0</v>
      </c>
      <c r="Q27" s="245">
        <f t="shared" si="1"/>
        <v>0</v>
      </c>
      <c r="R27" s="245">
        <f t="shared" si="1"/>
        <v>0</v>
      </c>
      <c r="S27" s="245">
        <f t="shared" si="1"/>
        <v>0</v>
      </c>
      <c r="T27" s="245">
        <f t="shared" si="1"/>
        <v>0</v>
      </c>
    </row>
    <row r="28" spans="1:20" s="227" customFormat="1" ht="13.15" x14ac:dyDescent="0.35">
      <c r="A28" s="228"/>
      <c r="B28" s="229"/>
      <c r="C28" s="230"/>
    </row>
    <row r="29" spans="1:20" s="227" customFormat="1" ht="13.15" x14ac:dyDescent="0.35">
      <c r="A29" s="228"/>
      <c r="B29" s="229"/>
      <c r="C29" s="230"/>
      <c r="E29" s="227" t="str">
        <f xml:space="preserve"> E19</f>
        <v>ODI payments for this price control</v>
      </c>
      <c r="G29" s="227" t="str">
        <f xml:space="preserve"> G19</f>
        <v>£m (2017-18 prices)</v>
      </c>
      <c r="J29" s="227">
        <f xml:space="preserve"> IF( J27 = 1, $H19, 0 )</f>
        <v>0</v>
      </c>
      <c r="K29" s="227">
        <f t="shared" ref="K29:T29" si="2" xml:space="preserve"> IF( K27 = 1, $H19, 0 )</f>
        <v>0</v>
      </c>
      <c r="L29" s="227">
        <f t="shared" si="2"/>
        <v>0</v>
      </c>
      <c r="M29" s="227">
        <f t="shared" si="2"/>
        <v>0</v>
      </c>
      <c r="N29" s="227">
        <f t="shared" si="2"/>
        <v>0</v>
      </c>
      <c r="O29" s="227">
        <f t="shared" si="2"/>
        <v>0</v>
      </c>
      <c r="P29" s="227">
        <f t="shared" si="2"/>
        <v>0</v>
      </c>
      <c r="Q29" s="227">
        <f t="shared" si="2"/>
        <v>0</v>
      </c>
      <c r="R29" s="227">
        <f t="shared" si="2"/>
        <v>0</v>
      </c>
      <c r="S29" s="227">
        <f t="shared" si="2"/>
        <v>0</v>
      </c>
      <c r="T29" s="227">
        <f t="shared" si="2"/>
        <v>0</v>
      </c>
    </row>
    <row r="30" spans="1:20" ht="13.15" x14ac:dyDescent="0.35">
      <c r="B30" s="127"/>
      <c r="E30" s="121"/>
    </row>
    <row r="31" spans="1:20" s="9" customFormat="1" ht="13.15" x14ac:dyDescent="0.35">
      <c r="A31" s="84" t="s">
        <v>209</v>
      </c>
      <c r="B31" s="175"/>
      <c r="C31" s="175"/>
      <c r="D31" s="175"/>
      <c r="E31" s="176"/>
      <c r="F31" s="87"/>
      <c r="G31" s="96"/>
      <c r="H31" s="97"/>
      <c r="I31" s="89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1:20" ht="13.15" x14ac:dyDescent="0.35">
      <c r="B32" s="127"/>
      <c r="E32" s="121"/>
    </row>
    <row r="33" spans="1:20" ht="13.15" x14ac:dyDescent="0.35">
      <c r="B33" s="127" t="s">
        <v>211</v>
      </c>
      <c r="E33" s="121"/>
    </row>
    <row r="34" spans="1:20" s="117" customFormat="1" ht="13.15" x14ac:dyDescent="0.35">
      <c r="A34" s="132"/>
      <c r="B34" s="127"/>
      <c r="C34" s="133"/>
      <c r="E34" s="291" t="str">
        <f t="shared" ref="E34:T34" si="3" xml:space="preserve"> E$29</f>
        <v>ODI payments for this price control</v>
      </c>
      <c r="F34" s="291">
        <f t="shared" si="3"/>
        <v>0</v>
      </c>
      <c r="G34" s="291" t="str">
        <f t="shared" si="3"/>
        <v>£m (2017-18 prices)</v>
      </c>
      <c r="H34" s="291">
        <f t="shared" si="3"/>
        <v>0</v>
      </c>
      <c r="I34" s="291">
        <f t="shared" si="3"/>
        <v>0</v>
      </c>
      <c r="J34" s="291">
        <f t="shared" si="3"/>
        <v>0</v>
      </c>
      <c r="K34" s="291">
        <f t="shared" si="3"/>
        <v>0</v>
      </c>
      <c r="L34" s="291">
        <f t="shared" si="3"/>
        <v>0</v>
      </c>
      <c r="M34" s="291">
        <f t="shared" si="3"/>
        <v>0</v>
      </c>
      <c r="N34" s="291">
        <f t="shared" si="3"/>
        <v>0</v>
      </c>
      <c r="O34" s="291">
        <f t="shared" si="3"/>
        <v>0</v>
      </c>
      <c r="P34" s="291">
        <f t="shared" si="3"/>
        <v>0</v>
      </c>
      <c r="Q34" s="291">
        <f t="shared" si="3"/>
        <v>0</v>
      </c>
      <c r="R34" s="291">
        <f t="shared" si="3"/>
        <v>0</v>
      </c>
      <c r="S34" s="291">
        <f t="shared" si="3"/>
        <v>0</v>
      </c>
      <c r="T34" s="291">
        <f t="shared" si="3"/>
        <v>0</v>
      </c>
    </row>
    <row r="35" spans="1:20" s="114" customFormat="1" ht="13.15" x14ac:dyDescent="0.35">
      <c r="A35" s="122"/>
      <c r="B35" s="123"/>
      <c r="C35" s="124"/>
      <c r="D35" s="91"/>
      <c r="E35" s="290" t="str">
        <f xml:space="preserve"> Index!E$13</f>
        <v>Cumulative inflation factor</v>
      </c>
      <c r="F35" s="290">
        <f xml:space="preserve"> Index!F$13</f>
        <v>0</v>
      </c>
      <c r="G35" s="290" t="str">
        <f xml:space="preserve"> Index!G$13</f>
        <v>Percentage</v>
      </c>
      <c r="H35" s="290">
        <f xml:space="preserve"> Index!H$13</f>
        <v>0</v>
      </c>
      <c r="I35" s="290">
        <f xml:space="preserve"> Index!I$13</f>
        <v>0</v>
      </c>
      <c r="J35" s="248">
        <f xml:space="preserve"> Index!J$13</f>
        <v>0</v>
      </c>
      <c r="K35" s="248">
        <f xml:space="preserve"> Index!K$13</f>
        <v>0</v>
      </c>
      <c r="L35" s="248">
        <f xml:space="preserve"> Index!L$13</f>
        <v>1</v>
      </c>
      <c r="M35" s="248">
        <f xml:space="preserve"> Index!M$13</f>
        <v>1.0333944954128442</v>
      </c>
      <c r="N35" s="248">
        <f xml:space="preserve"> Index!N$13</f>
        <v>1.0333944954128442</v>
      </c>
      <c r="O35" s="248">
        <f xml:space="preserve"> Index!O$13</f>
        <v>1.0333944954128442</v>
      </c>
      <c r="P35" s="248">
        <f xml:space="preserve"> Index!P$13</f>
        <v>1.0333944954128442</v>
      </c>
      <c r="Q35" s="248">
        <f xml:space="preserve"> Index!Q$13</f>
        <v>1.0333944954128442</v>
      </c>
      <c r="R35" s="248">
        <f xml:space="preserve"> Index!R$13</f>
        <v>1.0333944954128442</v>
      </c>
      <c r="S35" s="248">
        <f xml:space="preserve"> Index!S$13</f>
        <v>1.0333944954128442</v>
      </c>
      <c r="T35" s="248">
        <f xml:space="preserve"> Index!T$13</f>
        <v>1.0333944954128442</v>
      </c>
    </row>
    <row r="36" spans="1:20" s="227" customFormat="1" ht="13.15" x14ac:dyDescent="0.35">
      <c r="A36" s="228"/>
      <c r="B36" s="229"/>
      <c r="C36" s="230"/>
      <c r="E36" s="227" t="s">
        <v>212</v>
      </c>
      <c r="G36" s="227" t="s">
        <v>117</v>
      </c>
      <c r="J36" s="227">
        <f t="shared" ref="J36:P36" si="4" xml:space="preserve"> J34 * J35</f>
        <v>0</v>
      </c>
      <c r="K36" s="227">
        <f t="shared" si="4"/>
        <v>0</v>
      </c>
      <c r="L36" s="227">
        <f t="shared" si="4"/>
        <v>0</v>
      </c>
      <c r="M36" s="227">
        <f t="shared" si="4"/>
        <v>0</v>
      </c>
      <c r="N36" s="227">
        <f t="shared" si="4"/>
        <v>0</v>
      </c>
      <c r="O36" s="227">
        <f t="shared" si="4"/>
        <v>0</v>
      </c>
      <c r="P36" s="227">
        <f t="shared" si="4"/>
        <v>0</v>
      </c>
      <c r="Q36" s="227">
        <f xml:space="preserve"> Q34 * Q35</f>
        <v>0</v>
      </c>
      <c r="R36" s="227">
        <f xml:space="preserve"> R34 * R35</f>
        <v>0</v>
      </c>
      <c r="S36" s="227">
        <f xml:space="preserve"> S34 * S35</f>
        <v>0</v>
      </c>
      <c r="T36" s="227">
        <f xml:space="preserve"> T34 * T35</f>
        <v>0</v>
      </c>
    </row>
    <row r="37" spans="1:20" ht="13.15" x14ac:dyDescent="0.35">
      <c r="B37" s="127"/>
      <c r="E37" s="121"/>
    </row>
    <row r="38" spans="1:20" ht="13.15" x14ac:dyDescent="0.35">
      <c r="B38" s="127" t="s">
        <v>213</v>
      </c>
      <c r="E38" s="121"/>
    </row>
    <row r="39" spans="1:20" s="114" customFormat="1" ht="13.15" x14ac:dyDescent="0.35">
      <c r="A39" s="122"/>
      <c r="B39" s="127"/>
      <c r="C39" s="124"/>
      <c r="D39" s="91"/>
      <c r="E39" s="290" t="str">
        <f xml:space="preserve"> Inputs!E$71</f>
        <v>Marginal tax rate</v>
      </c>
      <c r="F39" s="290">
        <f xml:space="preserve"> Inputs!F$71</f>
        <v>0</v>
      </c>
      <c r="G39" s="290" t="str">
        <f xml:space="preserve"> Inputs!G$71</f>
        <v>Percentage</v>
      </c>
      <c r="H39" s="290">
        <f xml:space="preserve"> Inputs!H$71</f>
        <v>0</v>
      </c>
      <c r="I39" s="290">
        <f xml:space="preserve"> Inputs!I$71</f>
        <v>0</v>
      </c>
      <c r="J39" s="290">
        <f xml:space="preserve"> Inputs!J$71</f>
        <v>0</v>
      </c>
      <c r="K39" s="290">
        <f xml:space="preserve"> Inputs!K$71</f>
        <v>0</v>
      </c>
      <c r="L39" s="290">
        <f xml:space="preserve"> Inputs!L$71</f>
        <v>0</v>
      </c>
      <c r="M39" s="290">
        <f xml:space="preserve"> Inputs!M$71</f>
        <v>0</v>
      </c>
      <c r="N39" s="290">
        <f xml:space="preserve"> Inputs!N$71</f>
        <v>0</v>
      </c>
      <c r="O39" s="290">
        <f xml:space="preserve"> Inputs!O$71</f>
        <v>0</v>
      </c>
      <c r="P39" s="290">
        <f xml:space="preserve"> Inputs!P$71</f>
        <v>0</v>
      </c>
      <c r="Q39" s="290">
        <f xml:space="preserve"> Inputs!Q$71</f>
        <v>0.19</v>
      </c>
      <c r="R39" s="290">
        <f xml:space="preserve"> Inputs!R$71</f>
        <v>0</v>
      </c>
      <c r="S39" s="290">
        <f xml:space="preserve"> Inputs!S$71</f>
        <v>0</v>
      </c>
      <c r="T39" s="290">
        <f xml:space="preserve"> Inputs!T$71</f>
        <v>0</v>
      </c>
    </row>
    <row r="40" spans="1:20" ht="13.15" x14ac:dyDescent="0.35">
      <c r="B40" s="127"/>
      <c r="E40" s="121" t="s">
        <v>214</v>
      </c>
      <c r="G40" s="117" t="s">
        <v>109</v>
      </c>
      <c r="J40" s="125">
        <f xml:space="preserve"> 1 / ( 1 - J39 ) - 1</f>
        <v>0</v>
      </c>
      <c r="K40" s="125">
        <f t="shared" ref="K40:T40" si="5" xml:space="preserve"> 1 / ( 1 - K39 ) - 1</f>
        <v>0</v>
      </c>
      <c r="L40" s="125">
        <f t="shared" si="5"/>
        <v>0</v>
      </c>
      <c r="M40" s="125">
        <f t="shared" si="5"/>
        <v>0</v>
      </c>
      <c r="N40" s="125">
        <f t="shared" si="5"/>
        <v>0</v>
      </c>
      <c r="O40" s="125">
        <f t="shared" si="5"/>
        <v>0</v>
      </c>
      <c r="P40" s="125">
        <f t="shared" si="5"/>
        <v>0</v>
      </c>
      <c r="Q40" s="125">
        <f t="shared" si="5"/>
        <v>0.23456790123456783</v>
      </c>
      <c r="R40" s="125">
        <f t="shared" si="5"/>
        <v>0</v>
      </c>
      <c r="S40" s="125">
        <f t="shared" si="5"/>
        <v>0</v>
      </c>
      <c r="T40" s="125">
        <f t="shared" si="5"/>
        <v>0</v>
      </c>
    </row>
    <row r="41" spans="1:20" ht="13.15" x14ac:dyDescent="0.35">
      <c r="B41" s="127"/>
      <c r="E41" s="121"/>
    </row>
    <row r="42" spans="1:20" s="227" customFormat="1" ht="13.15" x14ac:dyDescent="0.35">
      <c r="A42" s="228"/>
      <c r="B42" s="229"/>
      <c r="C42" s="230"/>
      <c r="E42" s="227" t="str">
        <f xml:space="preserve"> E$36</f>
        <v>ODI value nominal prices</v>
      </c>
      <c r="G42" s="227" t="str">
        <f xml:space="preserve"> G$36</f>
        <v>£m (nominal)</v>
      </c>
      <c r="H42" s="227">
        <f t="shared" ref="H42:T42" si="6" xml:space="preserve"> H$36</f>
        <v>0</v>
      </c>
      <c r="I42" s="227">
        <f t="shared" si="6"/>
        <v>0</v>
      </c>
      <c r="J42" s="227">
        <f t="shared" si="6"/>
        <v>0</v>
      </c>
      <c r="K42" s="227">
        <f t="shared" si="6"/>
        <v>0</v>
      </c>
      <c r="L42" s="227">
        <f t="shared" si="6"/>
        <v>0</v>
      </c>
      <c r="M42" s="227">
        <f t="shared" si="6"/>
        <v>0</v>
      </c>
      <c r="N42" s="227">
        <f t="shared" si="6"/>
        <v>0</v>
      </c>
      <c r="O42" s="227">
        <f t="shared" si="6"/>
        <v>0</v>
      </c>
      <c r="P42" s="227">
        <f t="shared" si="6"/>
        <v>0</v>
      </c>
      <c r="Q42" s="227">
        <f t="shared" si="6"/>
        <v>0</v>
      </c>
      <c r="R42" s="227">
        <f t="shared" si="6"/>
        <v>0</v>
      </c>
      <c r="S42" s="227">
        <f t="shared" si="6"/>
        <v>0</v>
      </c>
      <c r="T42" s="227">
        <f t="shared" si="6"/>
        <v>0</v>
      </c>
    </row>
    <row r="43" spans="1:20" s="276" customFormat="1" ht="13.15" x14ac:dyDescent="0.35">
      <c r="A43" s="281"/>
      <c r="B43" s="282"/>
      <c r="E43" s="276" t="str">
        <f xml:space="preserve"> E$40</f>
        <v>Tax on Tax geometric uplift</v>
      </c>
      <c r="F43" s="276">
        <f t="shared" ref="F43:T43" si="7" xml:space="preserve"> F$40</f>
        <v>0</v>
      </c>
      <c r="G43" s="276" t="str">
        <f t="shared" si="7"/>
        <v>Percentage</v>
      </c>
      <c r="H43" s="276">
        <f t="shared" si="7"/>
        <v>0</v>
      </c>
      <c r="I43" s="276">
        <f t="shared" si="7"/>
        <v>0</v>
      </c>
      <c r="J43" s="276">
        <f t="shared" si="7"/>
        <v>0</v>
      </c>
      <c r="K43" s="276">
        <f t="shared" si="7"/>
        <v>0</v>
      </c>
      <c r="L43" s="276">
        <f t="shared" si="7"/>
        <v>0</v>
      </c>
      <c r="M43" s="276">
        <f t="shared" si="7"/>
        <v>0</v>
      </c>
      <c r="N43" s="276">
        <f t="shared" si="7"/>
        <v>0</v>
      </c>
      <c r="O43" s="276">
        <f t="shared" si="7"/>
        <v>0</v>
      </c>
      <c r="P43" s="276">
        <f t="shared" si="7"/>
        <v>0</v>
      </c>
      <c r="Q43" s="276">
        <f t="shared" si="7"/>
        <v>0.23456790123456783</v>
      </c>
      <c r="R43" s="276">
        <f t="shared" si="7"/>
        <v>0</v>
      </c>
      <c r="S43" s="276">
        <f t="shared" si="7"/>
        <v>0</v>
      </c>
      <c r="T43" s="276">
        <f t="shared" si="7"/>
        <v>0</v>
      </c>
    </row>
    <row r="44" spans="1:20" s="227" customFormat="1" ht="13.15" x14ac:dyDescent="0.35">
      <c r="A44" s="228"/>
      <c r="B44" s="229"/>
      <c r="C44" s="230"/>
      <c r="E44" s="227" t="s">
        <v>215</v>
      </c>
      <c r="G44" s="227" t="s">
        <v>117</v>
      </c>
      <c r="H44" s="227">
        <f xml:space="preserve"> SUM( J44:T44 )</f>
        <v>0</v>
      </c>
      <c r="J44" s="227">
        <f t="shared" ref="J44:T44" si="8" xml:space="preserve"> J42 * J43</f>
        <v>0</v>
      </c>
      <c r="K44" s="227">
        <f t="shared" si="8"/>
        <v>0</v>
      </c>
      <c r="L44" s="227">
        <f t="shared" si="8"/>
        <v>0</v>
      </c>
      <c r="M44" s="227">
        <f t="shared" si="8"/>
        <v>0</v>
      </c>
      <c r="N44" s="227">
        <f t="shared" si="8"/>
        <v>0</v>
      </c>
      <c r="O44" s="227">
        <f t="shared" si="8"/>
        <v>0</v>
      </c>
      <c r="P44" s="227">
        <f t="shared" si="8"/>
        <v>0</v>
      </c>
      <c r="Q44" s="227">
        <f t="shared" si="8"/>
        <v>0</v>
      </c>
      <c r="R44" s="227">
        <f t="shared" si="8"/>
        <v>0</v>
      </c>
      <c r="S44" s="227">
        <f t="shared" si="8"/>
        <v>0</v>
      </c>
      <c r="T44" s="227">
        <f t="shared" si="8"/>
        <v>0</v>
      </c>
    </row>
    <row r="45" spans="1:20" s="227" customFormat="1" ht="13.15" x14ac:dyDescent="0.35">
      <c r="A45" s="228"/>
      <c r="B45" s="229"/>
      <c r="C45" s="230"/>
    </row>
    <row r="46" spans="1:20" s="227" customFormat="1" ht="13.15" x14ac:dyDescent="0.35">
      <c r="A46" s="228"/>
      <c r="B46" s="229"/>
      <c r="C46" s="230"/>
      <c r="E46" s="227" t="str">
        <f xml:space="preserve"> E$36</f>
        <v>ODI value nominal prices</v>
      </c>
      <c r="F46" s="227">
        <f t="shared" ref="F46:T46" si="9" xml:space="preserve"> F$36</f>
        <v>0</v>
      </c>
      <c r="G46" s="227" t="str">
        <f t="shared" si="9"/>
        <v>£m (nominal)</v>
      </c>
      <c r="H46" s="227">
        <f t="shared" si="9"/>
        <v>0</v>
      </c>
      <c r="I46" s="227">
        <f t="shared" si="9"/>
        <v>0</v>
      </c>
      <c r="J46" s="227">
        <f t="shared" si="9"/>
        <v>0</v>
      </c>
      <c r="K46" s="227">
        <f t="shared" si="9"/>
        <v>0</v>
      </c>
      <c r="L46" s="227">
        <f t="shared" si="9"/>
        <v>0</v>
      </c>
      <c r="M46" s="227">
        <f t="shared" si="9"/>
        <v>0</v>
      </c>
      <c r="N46" s="227">
        <f t="shared" si="9"/>
        <v>0</v>
      </c>
      <c r="O46" s="227">
        <f t="shared" si="9"/>
        <v>0</v>
      </c>
      <c r="P46" s="227">
        <f t="shared" si="9"/>
        <v>0</v>
      </c>
      <c r="Q46" s="227">
        <f t="shared" si="9"/>
        <v>0</v>
      </c>
      <c r="R46" s="227">
        <f t="shared" si="9"/>
        <v>0</v>
      </c>
      <c r="S46" s="227">
        <f t="shared" si="9"/>
        <v>0</v>
      </c>
      <c r="T46" s="227">
        <f t="shared" si="9"/>
        <v>0</v>
      </c>
    </row>
    <row r="47" spans="1:20" s="227" customFormat="1" ht="13.15" x14ac:dyDescent="0.35">
      <c r="A47" s="228"/>
      <c r="B47" s="229"/>
      <c r="C47" s="230"/>
      <c r="E47" s="227" t="str">
        <f xml:space="preserve"> E$44</f>
        <v>Tax on nominal ODI</v>
      </c>
      <c r="F47" s="227">
        <f t="shared" ref="F47:T47" si="10" xml:space="preserve"> F$44</f>
        <v>0</v>
      </c>
      <c r="G47" s="227" t="str">
        <f t="shared" si="10"/>
        <v>£m (nominal)</v>
      </c>
      <c r="H47" s="227">
        <f t="shared" si="10"/>
        <v>0</v>
      </c>
      <c r="I47" s="227">
        <f t="shared" si="10"/>
        <v>0</v>
      </c>
      <c r="J47" s="227">
        <f t="shared" si="10"/>
        <v>0</v>
      </c>
      <c r="K47" s="227">
        <f t="shared" si="10"/>
        <v>0</v>
      </c>
      <c r="L47" s="227">
        <f t="shared" si="10"/>
        <v>0</v>
      </c>
      <c r="M47" s="227">
        <f t="shared" si="10"/>
        <v>0</v>
      </c>
      <c r="N47" s="227">
        <f t="shared" si="10"/>
        <v>0</v>
      </c>
      <c r="O47" s="227">
        <f t="shared" si="10"/>
        <v>0</v>
      </c>
      <c r="P47" s="227">
        <f t="shared" si="10"/>
        <v>0</v>
      </c>
      <c r="Q47" s="227">
        <f t="shared" si="10"/>
        <v>0</v>
      </c>
      <c r="R47" s="227">
        <f t="shared" si="10"/>
        <v>0</v>
      </c>
      <c r="S47" s="227">
        <f t="shared" si="10"/>
        <v>0</v>
      </c>
      <c r="T47" s="227">
        <f t="shared" si="10"/>
        <v>0</v>
      </c>
    </row>
    <row r="48" spans="1:20" s="227" customFormat="1" ht="13.15" x14ac:dyDescent="0.35">
      <c r="A48" s="228"/>
      <c r="B48" s="229"/>
      <c r="C48" s="230"/>
      <c r="E48" s="227" t="s">
        <v>216</v>
      </c>
      <c r="G48" s="227" t="s">
        <v>117</v>
      </c>
      <c r="H48" s="227">
        <f xml:space="preserve"> SUM( J48:T48 )</f>
        <v>0</v>
      </c>
      <c r="J48" s="235">
        <f xml:space="preserve"> J46 + J47</f>
        <v>0</v>
      </c>
      <c r="K48" s="235">
        <f t="shared" ref="K48:T48" si="11" xml:space="preserve"> K46 + K47</f>
        <v>0</v>
      </c>
      <c r="L48" s="235">
        <f t="shared" si="11"/>
        <v>0</v>
      </c>
      <c r="M48" s="235">
        <f t="shared" si="11"/>
        <v>0</v>
      </c>
      <c r="N48" s="235">
        <f t="shared" si="11"/>
        <v>0</v>
      </c>
      <c r="O48" s="235">
        <f t="shared" si="11"/>
        <v>0</v>
      </c>
      <c r="P48" s="235">
        <f t="shared" si="11"/>
        <v>0</v>
      </c>
      <c r="Q48" s="235">
        <f t="shared" si="11"/>
        <v>0</v>
      </c>
      <c r="R48" s="235">
        <f t="shared" si="11"/>
        <v>0</v>
      </c>
      <c r="S48" s="235">
        <f t="shared" si="11"/>
        <v>0</v>
      </c>
      <c r="T48" s="235">
        <f t="shared" si="11"/>
        <v>0</v>
      </c>
    </row>
    <row r="49" spans="1:20" ht="13.15" x14ac:dyDescent="0.35">
      <c r="B49" s="127"/>
      <c r="E49" s="121"/>
      <c r="H49" s="117"/>
      <c r="I49" s="117"/>
    </row>
    <row r="50" spans="1:20" ht="13.15" x14ac:dyDescent="0.35">
      <c r="B50" s="127"/>
      <c r="E50" s="222" t="str">
        <f xml:space="preserve"> Inputs!E108</f>
        <v>Customer type 1 - proportion of revenue expected to be collected from these customers in year adjustment to be made</v>
      </c>
      <c r="F50" s="222">
        <f xml:space="preserve"> Inputs!F108</f>
        <v>0</v>
      </c>
      <c r="G50" s="222" t="str">
        <f xml:space="preserve"> Inputs!G108</f>
        <v>Percentage</v>
      </c>
      <c r="H50" s="222">
        <f xml:space="preserve"> Inputs!H108</f>
        <v>0</v>
      </c>
      <c r="I50" s="222">
        <f xml:space="preserve"> Inputs!I108</f>
        <v>0</v>
      </c>
      <c r="J50" s="222">
        <f xml:space="preserve"> Inputs!J108</f>
        <v>0</v>
      </c>
      <c r="K50" s="222">
        <f xml:space="preserve"> Inputs!K108</f>
        <v>0</v>
      </c>
      <c r="L50" s="222">
        <f xml:space="preserve"> Inputs!L108</f>
        <v>0</v>
      </c>
      <c r="M50" s="222">
        <f xml:space="preserve"> Inputs!M108</f>
        <v>0</v>
      </c>
      <c r="N50" s="222">
        <f xml:space="preserve"> Inputs!N108</f>
        <v>0</v>
      </c>
      <c r="O50" s="222">
        <f xml:space="preserve"> Inputs!O108</f>
        <v>0</v>
      </c>
      <c r="P50" s="222">
        <f xml:space="preserve"> Inputs!P108</f>
        <v>0</v>
      </c>
      <c r="Q50" s="222">
        <f xml:space="preserve"> Inputs!Q108</f>
        <v>0</v>
      </c>
      <c r="R50" s="222">
        <f xml:space="preserve"> Inputs!R108</f>
        <v>0</v>
      </c>
      <c r="S50" s="222">
        <f xml:space="preserve"> Inputs!S108</f>
        <v>0</v>
      </c>
      <c r="T50" s="222">
        <f xml:space="preserve"> Inputs!T108</f>
        <v>0</v>
      </c>
    </row>
    <row r="51" spans="1:20" ht="13.15" x14ac:dyDescent="0.35">
      <c r="B51" s="127"/>
      <c r="E51" s="222" t="str">
        <f xml:space="preserve"> Inputs!E109</f>
        <v>Customer type 2 - proportion of revenue expected to be collected from these customers in year adjustment to be made</v>
      </c>
      <c r="F51" s="222">
        <f xml:space="preserve"> Inputs!F109</f>
        <v>0</v>
      </c>
      <c r="G51" s="222" t="str">
        <f xml:space="preserve"> Inputs!G109</f>
        <v>Percentage</v>
      </c>
      <c r="H51" s="222">
        <f xml:space="preserve"> Inputs!H109</f>
        <v>0</v>
      </c>
      <c r="I51" s="222">
        <f xml:space="preserve"> Inputs!I109</f>
        <v>0</v>
      </c>
      <c r="J51" s="222">
        <f xml:space="preserve"> Inputs!J109</f>
        <v>0</v>
      </c>
      <c r="K51" s="222">
        <f xml:space="preserve"> Inputs!K109</f>
        <v>0</v>
      </c>
      <c r="L51" s="222">
        <f xml:space="preserve"> Inputs!L109</f>
        <v>0</v>
      </c>
      <c r="M51" s="222">
        <f xml:space="preserve"> Inputs!M109</f>
        <v>0</v>
      </c>
      <c r="N51" s="222">
        <f xml:space="preserve"> Inputs!N109</f>
        <v>0</v>
      </c>
      <c r="O51" s="222">
        <f xml:space="preserve"> Inputs!O109</f>
        <v>0</v>
      </c>
      <c r="P51" s="222">
        <f xml:space="preserve"> Inputs!P109</f>
        <v>0</v>
      </c>
      <c r="Q51" s="222">
        <f xml:space="preserve"> Inputs!Q109</f>
        <v>0</v>
      </c>
      <c r="R51" s="222">
        <f xml:space="preserve"> Inputs!R109</f>
        <v>0</v>
      </c>
      <c r="S51" s="222">
        <f xml:space="preserve"> Inputs!S109</f>
        <v>0</v>
      </c>
      <c r="T51" s="222">
        <f xml:space="preserve"> Inputs!T109</f>
        <v>0</v>
      </c>
    </row>
    <row r="52" spans="1:20" ht="13.15" x14ac:dyDescent="0.35">
      <c r="B52" s="127"/>
      <c r="E52" s="222" t="str">
        <f xml:space="preserve"> Inputs!E110</f>
        <v>Customer type 3 - proportion of revenue expected to be collected from these customers in year adjustment to be made</v>
      </c>
      <c r="F52" s="222">
        <f xml:space="preserve"> Inputs!F110</f>
        <v>0</v>
      </c>
      <c r="G52" s="222" t="str">
        <f xml:space="preserve"> Inputs!G110</f>
        <v>Percentage</v>
      </c>
      <c r="H52" s="222">
        <f xml:space="preserve"> Inputs!H110</f>
        <v>0</v>
      </c>
      <c r="I52" s="222">
        <f xml:space="preserve"> Inputs!I110</f>
        <v>0</v>
      </c>
      <c r="J52" s="222">
        <f xml:space="preserve"> Inputs!J110</f>
        <v>0</v>
      </c>
      <c r="K52" s="222">
        <f xml:space="preserve"> Inputs!K110</f>
        <v>0</v>
      </c>
      <c r="L52" s="222">
        <f xml:space="preserve"> Inputs!L110</f>
        <v>0</v>
      </c>
      <c r="M52" s="222">
        <f xml:space="preserve"> Inputs!M110</f>
        <v>0</v>
      </c>
      <c r="N52" s="222">
        <f xml:space="preserve"> Inputs!N110</f>
        <v>0</v>
      </c>
      <c r="O52" s="222">
        <f xml:space="preserve"> Inputs!O110</f>
        <v>0</v>
      </c>
      <c r="P52" s="222">
        <f xml:space="preserve"> Inputs!P110</f>
        <v>0</v>
      </c>
      <c r="Q52" s="222">
        <f xml:space="preserve"> Inputs!Q110</f>
        <v>0</v>
      </c>
      <c r="R52" s="222">
        <f xml:space="preserve"> Inputs!R110</f>
        <v>0</v>
      </c>
      <c r="S52" s="222">
        <f xml:space="preserve"> Inputs!S110</f>
        <v>0</v>
      </c>
      <c r="T52" s="222">
        <f xml:space="preserve"> Inputs!T110</f>
        <v>0</v>
      </c>
    </row>
    <row r="53" spans="1:20" ht="13.15" x14ac:dyDescent="0.35">
      <c r="B53" s="127"/>
      <c r="E53" s="222" t="str">
        <f xml:space="preserve"> Inputs!E111</f>
        <v>Customer type 4 - proportion of revenue expected to be collected from these customers in year adjustment to be made</v>
      </c>
      <c r="F53" s="222">
        <f xml:space="preserve"> Inputs!F111</f>
        <v>0</v>
      </c>
      <c r="G53" s="222" t="str">
        <f xml:space="preserve"> Inputs!G111</f>
        <v>Percentage</v>
      </c>
      <c r="H53" s="222">
        <f xml:space="preserve"> Inputs!H111</f>
        <v>0</v>
      </c>
      <c r="I53" s="222">
        <f xml:space="preserve"> Inputs!I111</f>
        <v>0</v>
      </c>
      <c r="J53" s="222">
        <f xml:space="preserve"> Inputs!J111</f>
        <v>0</v>
      </c>
      <c r="K53" s="222">
        <f xml:space="preserve"> Inputs!K111</f>
        <v>0</v>
      </c>
      <c r="L53" s="222">
        <f xml:space="preserve"> Inputs!L111</f>
        <v>0</v>
      </c>
      <c r="M53" s="222">
        <f xml:space="preserve"> Inputs!M111</f>
        <v>0</v>
      </c>
      <c r="N53" s="222">
        <f xml:space="preserve"> Inputs!N111</f>
        <v>0</v>
      </c>
      <c r="O53" s="222">
        <f xml:space="preserve"> Inputs!O111</f>
        <v>0</v>
      </c>
      <c r="P53" s="222">
        <f xml:space="preserve"> Inputs!P111</f>
        <v>0</v>
      </c>
      <c r="Q53" s="222">
        <f xml:space="preserve"> Inputs!Q111</f>
        <v>0</v>
      </c>
      <c r="R53" s="222">
        <f xml:space="preserve"> Inputs!R111</f>
        <v>0</v>
      </c>
      <c r="S53" s="222">
        <f xml:space="preserve"> Inputs!S111</f>
        <v>0</v>
      </c>
      <c r="T53" s="222">
        <f xml:space="preserve"> Inputs!T111</f>
        <v>0</v>
      </c>
    </row>
    <row r="54" spans="1:20" ht="13.15" x14ac:dyDescent="0.35">
      <c r="B54" s="127"/>
      <c r="E54" s="222" t="str">
        <f xml:space="preserve"> Inputs!E112</f>
        <v>Customer type 5 - proportion of revenue expected to be collected from these customers in year adjustment to be made</v>
      </c>
      <c r="F54" s="222">
        <f xml:space="preserve"> Inputs!F112</f>
        <v>0</v>
      </c>
      <c r="G54" s="222" t="str">
        <f xml:space="preserve"> Inputs!G112</f>
        <v>Percentage</v>
      </c>
      <c r="H54" s="222">
        <f xml:space="preserve"> Inputs!H112</f>
        <v>0</v>
      </c>
      <c r="I54" s="222">
        <f xml:space="preserve"> Inputs!I112</f>
        <v>0</v>
      </c>
      <c r="J54" s="222">
        <f xml:space="preserve"> Inputs!J112</f>
        <v>0</v>
      </c>
      <c r="K54" s="222">
        <f xml:space="preserve"> Inputs!K112</f>
        <v>0</v>
      </c>
      <c r="L54" s="222">
        <f xml:space="preserve"> Inputs!L112</f>
        <v>0</v>
      </c>
      <c r="M54" s="222">
        <f xml:space="preserve"> Inputs!M112</f>
        <v>0</v>
      </c>
      <c r="N54" s="222">
        <f xml:space="preserve"> Inputs!N112</f>
        <v>0</v>
      </c>
      <c r="O54" s="222">
        <f xml:space="preserve"> Inputs!O112</f>
        <v>0</v>
      </c>
      <c r="P54" s="222">
        <f xml:space="preserve"> Inputs!P112</f>
        <v>0</v>
      </c>
      <c r="Q54" s="222">
        <f xml:space="preserve"> Inputs!Q112</f>
        <v>0</v>
      </c>
      <c r="R54" s="222">
        <f xml:space="preserve"> Inputs!R112</f>
        <v>0</v>
      </c>
      <c r="S54" s="222">
        <f xml:space="preserve"> Inputs!S112</f>
        <v>0</v>
      </c>
      <c r="T54" s="222">
        <f xml:space="preserve"> Inputs!T112</f>
        <v>0</v>
      </c>
    </row>
    <row r="55" spans="1:20" ht="13.15" x14ac:dyDescent="0.35">
      <c r="B55" s="127"/>
      <c r="E55" s="121"/>
      <c r="H55" s="117"/>
      <c r="I55" s="117"/>
    </row>
    <row r="56" spans="1:20" ht="13.15" x14ac:dyDescent="0.35">
      <c r="B56" s="127"/>
      <c r="E56" s="291" t="str">
        <f t="shared" ref="E56:T56" si="12" xml:space="preserve"> E$48</f>
        <v xml:space="preserve">Total value of ODI </v>
      </c>
      <c r="F56" s="291">
        <f t="shared" si="12"/>
        <v>0</v>
      </c>
      <c r="G56" s="291" t="str">
        <f t="shared" si="12"/>
        <v>£m (nominal)</v>
      </c>
      <c r="H56" s="291">
        <f t="shared" si="12"/>
        <v>0</v>
      </c>
      <c r="I56" s="291">
        <f t="shared" si="12"/>
        <v>0</v>
      </c>
      <c r="J56" s="291">
        <f t="shared" si="12"/>
        <v>0</v>
      </c>
      <c r="K56" s="291">
        <f t="shared" si="12"/>
        <v>0</v>
      </c>
      <c r="L56" s="291">
        <f t="shared" si="12"/>
        <v>0</v>
      </c>
      <c r="M56" s="291">
        <f t="shared" si="12"/>
        <v>0</v>
      </c>
      <c r="N56" s="291">
        <f t="shared" si="12"/>
        <v>0</v>
      </c>
      <c r="O56" s="291">
        <f t="shared" si="12"/>
        <v>0</v>
      </c>
      <c r="P56" s="291">
        <f t="shared" si="12"/>
        <v>0</v>
      </c>
      <c r="Q56" s="291">
        <f t="shared" si="12"/>
        <v>0</v>
      </c>
      <c r="R56" s="291">
        <f t="shared" si="12"/>
        <v>0</v>
      </c>
      <c r="S56" s="291">
        <f t="shared" si="12"/>
        <v>0</v>
      </c>
      <c r="T56" s="291">
        <f t="shared" si="12"/>
        <v>0</v>
      </c>
    </row>
    <row r="57" spans="1:20" ht="13.15" x14ac:dyDescent="0.35">
      <c r="B57" s="127"/>
      <c r="E57" s="121"/>
      <c r="F57" s="121"/>
      <c r="G57" s="121"/>
      <c r="H57" s="121"/>
      <c r="I57" s="121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</row>
    <row r="58" spans="1:20" s="227" customFormat="1" ht="13.15" x14ac:dyDescent="0.35">
      <c r="A58" s="228"/>
      <c r="B58" s="229"/>
      <c r="C58" s="230"/>
      <c r="E58" s="227" t="s">
        <v>224</v>
      </c>
      <c r="G58" s="227" t="s">
        <v>117</v>
      </c>
      <c r="J58" s="227">
        <f xml:space="preserve"> J$56 * J50</f>
        <v>0</v>
      </c>
      <c r="K58" s="227">
        <f t="shared" ref="K58:T58" si="13" xml:space="preserve"> K$56 * K50</f>
        <v>0</v>
      </c>
      <c r="L58" s="227">
        <f t="shared" si="13"/>
        <v>0</v>
      </c>
      <c r="M58" s="227">
        <f t="shared" si="13"/>
        <v>0</v>
      </c>
      <c r="N58" s="227">
        <f t="shared" si="13"/>
        <v>0</v>
      </c>
      <c r="O58" s="227">
        <f t="shared" si="13"/>
        <v>0</v>
      </c>
      <c r="P58" s="227">
        <f t="shared" si="13"/>
        <v>0</v>
      </c>
      <c r="Q58" s="227">
        <f t="shared" si="13"/>
        <v>0</v>
      </c>
      <c r="R58" s="227">
        <f t="shared" si="13"/>
        <v>0</v>
      </c>
      <c r="S58" s="227">
        <f t="shared" si="13"/>
        <v>0</v>
      </c>
      <c r="T58" s="227">
        <f t="shared" si="13"/>
        <v>0</v>
      </c>
    </row>
    <row r="59" spans="1:20" s="227" customFormat="1" ht="13.15" x14ac:dyDescent="0.35">
      <c r="A59" s="228"/>
      <c r="B59" s="229"/>
      <c r="C59" s="230"/>
      <c r="E59" s="227" t="s">
        <v>225</v>
      </c>
      <c r="G59" s="227" t="s">
        <v>117</v>
      </c>
      <c r="J59" s="227">
        <f t="shared" ref="J59:T62" si="14" xml:space="preserve"> J$56 * J51</f>
        <v>0</v>
      </c>
      <c r="K59" s="227">
        <f t="shared" si="14"/>
        <v>0</v>
      </c>
      <c r="L59" s="227">
        <f t="shared" si="14"/>
        <v>0</v>
      </c>
      <c r="M59" s="227">
        <f t="shared" si="14"/>
        <v>0</v>
      </c>
      <c r="N59" s="227">
        <f t="shared" si="14"/>
        <v>0</v>
      </c>
      <c r="O59" s="227">
        <f t="shared" si="14"/>
        <v>0</v>
      </c>
      <c r="P59" s="227">
        <f t="shared" si="14"/>
        <v>0</v>
      </c>
      <c r="Q59" s="227">
        <f t="shared" si="14"/>
        <v>0</v>
      </c>
      <c r="R59" s="227">
        <f t="shared" si="14"/>
        <v>0</v>
      </c>
      <c r="S59" s="227">
        <f t="shared" si="14"/>
        <v>0</v>
      </c>
      <c r="T59" s="227">
        <f t="shared" si="14"/>
        <v>0</v>
      </c>
    </row>
    <row r="60" spans="1:20" s="227" customFormat="1" ht="13.15" x14ac:dyDescent="0.35">
      <c r="A60" s="228"/>
      <c r="B60" s="229"/>
      <c r="C60" s="230"/>
      <c r="E60" s="227" t="s">
        <v>226</v>
      </c>
      <c r="G60" s="227" t="s">
        <v>117</v>
      </c>
      <c r="J60" s="227">
        <f t="shared" si="14"/>
        <v>0</v>
      </c>
      <c r="K60" s="227">
        <f t="shared" si="14"/>
        <v>0</v>
      </c>
      <c r="L60" s="227">
        <f t="shared" si="14"/>
        <v>0</v>
      </c>
      <c r="M60" s="227">
        <f t="shared" si="14"/>
        <v>0</v>
      </c>
      <c r="N60" s="227">
        <f t="shared" si="14"/>
        <v>0</v>
      </c>
      <c r="O60" s="227">
        <f t="shared" si="14"/>
        <v>0</v>
      </c>
      <c r="P60" s="227">
        <f t="shared" si="14"/>
        <v>0</v>
      </c>
      <c r="Q60" s="227">
        <f t="shared" si="14"/>
        <v>0</v>
      </c>
      <c r="R60" s="227">
        <f t="shared" si="14"/>
        <v>0</v>
      </c>
      <c r="S60" s="227">
        <f t="shared" si="14"/>
        <v>0</v>
      </c>
      <c r="T60" s="227">
        <f t="shared" si="14"/>
        <v>0</v>
      </c>
    </row>
    <row r="61" spans="1:20" s="227" customFormat="1" ht="13.15" x14ac:dyDescent="0.35">
      <c r="A61" s="228"/>
      <c r="B61" s="229"/>
      <c r="C61" s="230"/>
      <c r="E61" s="227" t="s">
        <v>227</v>
      </c>
      <c r="G61" s="227" t="s">
        <v>117</v>
      </c>
      <c r="J61" s="227">
        <f t="shared" si="14"/>
        <v>0</v>
      </c>
      <c r="K61" s="227">
        <f t="shared" si="14"/>
        <v>0</v>
      </c>
      <c r="L61" s="227">
        <f t="shared" si="14"/>
        <v>0</v>
      </c>
      <c r="M61" s="227">
        <f t="shared" si="14"/>
        <v>0</v>
      </c>
      <c r="N61" s="227">
        <f t="shared" si="14"/>
        <v>0</v>
      </c>
      <c r="O61" s="227">
        <f t="shared" si="14"/>
        <v>0</v>
      </c>
      <c r="P61" s="227">
        <f t="shared" si="14"/>
        <v>0</v>
      </c>
      <c r="Q61" s="227">
        <f t="shared" si="14"/>
        <v>0</v>
      </c>
      <c r="R61" s="227">
        <f t="shared" si="14"/>
        <v>0</v>
      </c>
      <c r="S61" s="227">
        <f t="shared" si="14"/>
        <v>0</v>
      </c>
      <c r="T61" s="227">
        <f t="shared" si="14"/>
        <v>0</v>
      </c>
    </row>
    <row r="62" spans="1:20" s="227" customFormat="1" ht="13.15" x14ac:dyDescent="0.35">
      <c r="A62" s="228"/>
      <c r="B62" s="229"/>
      <c r="C62" s="230"/>
      <c r="E62" s="227" t="s">
        <v>228</v>
      </c>
      <c r="G62" s="227" t="s">
        <v>117</v>
      </c>
      <c r="J62" s="227">
        <f t="shared" si="14"/>
        <v>0</v>
      </c>
      <c r="K62" s="227">
        <f t="shared" si="14"/>
        <v>0</v>
      </c>
      <c r="L62" s="227">
        <f t="shared" si="14"/>
        <v>0</v>
      </c>
      <c r="M62" s="227">
        <f t="shared" si="14"/>
        <v>0</v>
      </c>
      <c r="N62" s="227">
        <f t="shared" si="14"/>
        <v>0</v>
      </c>
      <c r="O62" s="227">
        <f t="shared" si="14"/>
        <v>0</v>
      </c>
      <c r="P62" s="227">
        <f t="shared" si="14"/>
        <v>0</v>
      </c>
      <c r="Q62" s="227">
        <f t="shared" si="14"/>
        <v>0</v>
      </c>
      <c r="R62" s="227">
        <f t="shared" si="14"/>
        <v>0</v>
      </c>
      <c r="S62" s="227">
        <f t="shared" si="14"/>
        <v>0</v>
      </c>
      <c r="T62" s="227">
        <f t="shared" si="14"/>
        <v>0</v>
      </c>
    </row>
    <row r="63" spans="1:20" s="227" customFormat="1" ht="13.15" x14ac:dyDescent="0.35">
      <c r="A63" s="228"/>
      <c r="B63" s="229"/>
      <c r="C63" s="230"/>
    </row>
    <row r="64" spans="1:20" s="227" customFormat="1" ht="13.15" x14ac:dyDescent="0.35">
      <c r="A64" s="228"/>
      <c r="B64" s="229"/>
      <c r="C64" s="230"/>
      <c r="E64" s="233" t="str">
        <f xml:space="preserve"> Inputs!E96</f>
        <v>Customer type 1 - allowed average retail cost component (rct in last determination)</v>
      </c>
      <c r="F64" s="233">
        <f xml:space="preserve"> Inputs!F96</f>
        <v>0</v>
      </c>
      <c r="G64" s="233" t="str">
        <f xml:space="preserve"> Inputs!G96</f>
        <v>£ (nominal)</v>
      </c>
      <c r="H64" s="233">
        <f xml:space="preserve"> Inputs!H96</f>
        <v>0</v>
      </c>
      <c r="I64" s="233">
        <f xml:space="preserve"> Inputs!I96</f>
        <v>0</v>
      </c>
      <c r="J64" s="233">
        <f xml:space="preserve"> Inputs!J96</f>
        <v>0</v>
      </c>
      <c r="K64" s="233">
        <f xml:space="preserve"> Inputs!K96</f>
        <v>0</v>
      </c>
      <c r="L64" s="233">
        <f xml:space="preserve"> Inputs!L96</f>
        <v>0</v>
      </c>
      <c r="M64" s="233">
        <f xml:space="preserve"> Inputs!M96</f>
        <v>0</v>
      </c>
      <c r="N64" s="233">
        <f xml:space="preserve"> Inputs!N96</f>
        <v>0</v>
      </c>
      <c r="O64" s="233">
        <f xml:space="preserve"> Inputs!O96</f>
        <v>0</v>
      </c>
      <c r="P64" s="233">
        <f xml:space="preserve"> Inputs!P96</f>
        <v>0</v>
      </c>
      <c r="Q64" s="233">
        <f xml:space="preserve"> Inputs!Q96</f>
        <v>0</v>
      </c>
      <c r="R64" s="233">
        <f xml:space="preserve"> Inputs!R96</f>
        <v>0</v>
      </c>
      <c r="S64" s="233">
        <f xml:space="preserve"> Inputs!S96</f>
        <v>0</v>
      </c>
      <c r="T64" s="233">
        <f xml:space="preserve"> Inputs!T96</f>
        <v>0</v>
      </c>
    </row>
    <row r="65" spans="1:20" s="227" customFormat="1" ht="13.15" x14ac:dyDescent="0.35">
      <c r="A65" s="228"/>
      <c r="B65" s="229"/>
      <c r="C65" s="230"/>
      <c r="E65" s="233" t="str">
        <f xml:space="preserve"> Inputs!E97</f>
        <v>Customer type 2 - allowed average retail cost component (rct in last determination)</v>
      </c>
      <c r="F65" s="233">
        <f xml:space="preserve"> Inputs!F97</f>
        <v>0</v>
      </c>
      <c r="G65" s="233" t="str">
        <f xml:space="preserve"> Inputs!G97</f>
        <v>£ (nominal)</v>
      </c>
      <c r="H65" s="233">
        <f xml:space="preserve"> Inputs!H97</f>
        <v>0</v>
      </c>
      <c r="I65" s="233">
        <f xml:space="preserve"> Inputs!I97</f>
        <v>0</v>
      </c>
      <c r="J65" s="233">
        <f xml:space="preserve"> Inputs!J97</f>
        <v>0</v>
      </c>
      <c r="K65" s="233">
        <f xml:space="preserve"> Inputs!K97</f>
        <v>0</v>
      </c>
      <c r="L65" s="233">
        <f xml:space="preserve"> Inputs!L97</f>
        <v>0</v>
      </c>
      <c r="M65" s="233">
        <f xml:space="preserve"> Inputs!M97</f>
        <v>0</v>
      </c>
      <c r="N65" s="233">
        <f xml:space="preserve"> Inputs!N97</f>
        <v>0</v>
      </c>
      <c r="O65" s="233">
        <f xml:space="preserve"> Inputs!O97</f>
        <v>0</v>
      </c>
      <c r="P65" s="233">
        <f xml:space="preserve"> Inputs!P97</f>
        <v>0</v>
      </c>
      <c r="Q65" s="233">
        <f xml:space="preserve"> Inputs!Q97</f>
        <v>0</v>
      </c>
      <c r="R65" s="233">
        <f xml:space="preserve"> Inputs!R97</f>
        <v>0</v>
      </c>
      <c r="S65" s="233">
        <f xml:space="preserve"> Inputs!S97</f>
        <v>0</v>
      </c>
      <c r="T65" s="233">
        <f xml:space="preserve"> Inputs!T97</f>
        <v>0</v>
      </c>
    </row>
    <row r="66" spans="1:20" s="227" customFormat="1" ht="13.15" x14ac:dyDescent="0.35">
      <c r="A66" s="228"/>
      <c r="B66" s="229"/>
      <c r="C66" s="230"/>
      <c r="E66" s="233" t="str">
        <f xml:space="preserve"> Inputs!E98</f>
        <v>Customer type 3 - allowed average retail cost component (rct in last determination)</v>
      </c>
      <c r="F66" s="233">
        <f xml:space="preserve"> Inputs!F98</f>
        <v>0</v>
      </c>
      <c r="G66" s="233" t="str">
        <f xml:space="preserve"> Inputs!G98</f>
        <v>£ (nominal)</v>
      </c>
      <c r="H66" s="233">
        <f xml:space="preserve"> Inputs!H98</f>
        <v>0</v>
      </c>
      <c r="I66" s="233">
        <f xml:space="preserve"> Inputs!I98</f>
        <v>0</v>
      </c>
      <c r="J66" s="233">
        <f xml:space="preserve"> Inputs!J98</f>
        <v>0</v>
      </c>
      <c r="K66" s="233">
        <f xml:space="preserve"> Inputs!K98</f>
        <v>0</v>
      </c>
      <c r="L66" s="233">
        <f xml:space="preserve"> Inputs!L98</f>
        <v>0</v>
      </c>
      <c r="M66" s="233">
        <f xml:space="preserve"> Inputs!M98</f>
        <v>0</v>
      </c>
      <c r="N66" s="233">
        <f xml:space="preserve"> Inputs!N98</f>
        <v>0</v>
      </c>
      <c r="O66" s="233">
        <f xml:space="preserve"> Inputs!O98</f>
        <v>0</v>
      </c>
      <c r="P66" s="233">
        <f xml:space="preserve"> Inputs!P98</f>
        <v>0</v>
      </c>
      <c r="Q66" s="233">
        <f xml:space="preserve"> Inputs!Q98</f>
        <v>0</v>
      </c>
      <c r="R66" s="233">
        <f xml:space="preserve"> Inputs!R98</f>
        <v>0</v>
      </c>
      <c r="S66" s="233">
        <f xml:space="preserve"> Inputs!S98</f>
        <v>0</v>
      </c>
      <c r="T66" s="233">
        <f xml:space="preserve"> Inputs!T98</f>
        <v>0</v>
      </c>
    </row>
    <row r="67" spans="1:20" s="227" customFormat="1" ht="13.15" x14ac:dyDescent="0.35">
      <c r="A67" s="228"/>
      <c r="B67" s="229"/>
      <c r="C67" s="230"/>
      <c r="E67" s="233" t="str">
        <f xml:space="preserve"> Inputs!E99</f>
        <v>Customer type 4 - allowed average retail cost component (rct in last determination)</v>
      </c>
      <c r="F67" s="233">
        <f xml:space="preserve"> Inputs!F99</f>
        <v>0</v>
      </c>
      <c r="G67" s="233" t="str">
        <f xml:space="preserve"> Inputs!G99</f>
        <v>£ (nominal)</v>
      </c>
      <c r="H67" s="233">
        <f xml:space="preserve"> Inputs!H99</f>
        <v>0</v>
      </c>
      <c r="I67" s="233">
        <f xml:space="preserve"> Inputs!I99</f>
        <v>0</v>
      </c>
      <c r="J67" s="233">
        <f xml:space="preserve"> Inputs!J99</f>
        <v>0</v>
      </c>
      <c r="K67" s="233">
        <f xml:space="preserve"> Inputs!K99</f>
        <v>0</v>
      </c>
      <c r="L67" s="233">
        <f xml:space="preserve"> Inputs!L99</f>
        <v>0</v>
      </c>
      <c r="M67" s="233">
        <f xml:space="preserve"> Inputs!M99</f>
        <v>0</v>
      </c>
      <c r="N67" s="233">
        <f xml:space="preserve"> Inputs!N99</f>
        <v>0</v>
      </c>
      <c r="O67" s="233">
        <f xml:space="preserve"> Inputs!O99</f>
        <v>0</v>
      </c>
      <c r="P67" s="233">
        <f xml:space="preserve"> Inputs!P99</f>
        <v>0</v>
      </c>
      <c r="Q67" s="233">
        <f xml:space="preserve"> Inputs!Q99</f>
        <v>0</v>
      </c>
      <c r="R67" s="233">
        <f xml:space="preserve"> Inputs!R99</f>
        <v>0</v>
      </c>
      <c r="S67" s="233">
        <f xml:space="preserve"> Inputs!S99</f>
        <v>0</v>
      </c>
      <c r="T67" s="233">
        <f xml:space="preserve"> Inputs!T99</f>
        <v>0</v>
      </c>
    </row>
    <row r="68" spans="1:20" s="227" customFormat="1" ht="13.15" x14ac:dyDescent="0.35">
      <c r="A68" s="228"/>
      <c r="B68" s="229"/>
      <c r="C68" s="230"/>
      <c r="E68" s="233" t="str">
        <f xml:space="preserve"> Inputs!E100</f>
        <v>Customer type 5 - allowed average retail cost component (rct in last determination)</v>
      </c>
      <c r="F68" s="233">
        <f xml:space="preserve"> Inputs!F100</f>
        <v>0</v>
      </c>
      <c r="G68" s="233" t="str">
        <f xml:space="preserve"> Inputs!G100</f>
        <v>£ (nominal)</v>
      </c>
      <c r="H68" s="233">
        <f xml:space="preserve"> Inputs!H100</f>
        <v>0</v>
      </c>
      <c r="I68" s="233">
        <f xml:space="preserve"> Inputs!I100</f>
        <v>0</v>
      </c>
      <c r="J68" s="233">
        <f xml:space="preserve"> Inputs!J100</f>
        <v>0</v>
      </c>
      <c r="K68" s="233">
        <f xml:space="preserve"> Inputs!K100</f>
        <v>0</v>
      </c>
      <c r="L68" s="233">
        <f xml:space="preserve"> Inputs!L100</f>
        <v>0</v>
      </c>
      <c r="M68" s="233">
        <f xml:space="preserve"> Inputs!M100</f>
        <v>0</v>
      </c>
      <c r="N68" s="233">
        <f xml:space="preserve"> Inputs!N100</f>
        <v>0</v>
      </c>
      <c r="O68" s="233">
        <f xml:space="preserve"> Inputs!O100</f>
        <v>0</v>
      </c>
      <c r="P68" s="233">
        <f xml:space="preserve"> Inputs!P100</f>
        <v>0</v>
      </c>
      <c r="Q68" s="233">
        <f xml:space="preserve"> Inputs!Q100</f>
        <v>0</v>
      </c>
      <c r="R68" s="233">
        <f xml:space="preserve"> Inputs!R100</f>
        <v>0</v>
      </c>
      <c r="S68" s="233">
        <f xml:space="preserve"> Inputs!S100</f>
        <v>0</v>
      </c>
      <c r="T68" s="233">
        <f xml:space="preserve"> Inputs!T100</f>
        <v>0</v>
      </c>
    </row>
    <row r="69" spans="1:20" s="227" customFormat="1" ht="13.15" x14ac:dyDescent="0.35">
      <c r="A69" s="228"/>
      <c r="B69" s="229"/>
      <c r="C69" s="230"/>
    </row>
    <row r="70" spans="1:20" s="233" customFormat="1" ht="13.15" x14ac:dyDescent="0.35">
      <c r="A70" s="231"/>
      <c r="B70" s="232"/>
      <c r="E70" s="244" t="str">
        <f xml:space="preserve"> Inputs!E102</f>
        <v>Customer type 1 - number of customers (cnt in last determination)</v>
      </c>
      <c r="F70" s="244">
        <f xml:space="preserve"> Inputs!F102</f>
        <v>0</v>
      </c>
      <c r="G70" s="244" t="str">
        <f xml:space="preserve"> Inputs!G102</f>
        <v>Number</v>
      </c>
      <c r="H70" s="244">
        <f xml:space="preserve"> Inputs!H102</f>
        <v>0</v>
      </c>
      <c r="I70" s="244">
        <f xml:space="preserve"> Inputs!I102</f>
        <v>0</v>
      </c>
      <c r="J70" s="244">
        <f xml:space="preserve"> Inputs!J102</f>
        <v>0</v>
      </c>
      <c r="K70" s="244">
        <f xml:space="preserve"> Inputs!K102</f>
        <v>0</v>
      </c>
      <c r="L70" s="244">
        <f xml:space="preserve"> Inputs!L102</f>
        <v>0</v>
      </c>
      <c r="M70" s="244">
        <f xml:space="preserve"> Inputs!M102</f>
        <v>0</v>
      </c>
      <c r="N70" s="244">
        <f xml:space="preserve"> Inputs!N102</f>
        <v>0</v>
      </c>
      <c r="O70" s="244">
        <f xml:space="preserve"> Inputs!O102</f>
        <v>0</v>
      </c>
      <c r="P70" s="244">
        <f xml:space="preserve"> Inputs!P102</f>
        <v>0</v>
      </c>
      <c r="Q70" s="244">
        <f xml:space="preserve"> Inputs!Q102</f>
        <v>0</v>
      </c>
      <c r="R70" s="244">
        <f xml:space="preserve"> Inputs!R102</f>
        <v>0</v>
      </c>
      <c r="S70" s="244">
        <f xml:space="preserve"> Inputs!S102</f>
        <v>0</v>
      </c>
      <c r="T70" s="244">
        <f xml:space="preserve"> Inputs!T102</f>
        <v>0</v>
      </c>
    </row>
    <row r="71" spans="1:20" s="233" customFormat="1" ht="13.15" x14ac:dyDescent="0.35">
      <c r="A71" s="231"/>
      <c r="B71" s="232"/>
      <c r="E71" s="244" t="str">
        <f xml:space="preserve"> Inputs!E103</f>
        <v>Customer type 2 - number of customers (cnt in last determination)</v>
      </c>
      <c r="F71" s="244">
        <f xml:space="preserve"> Inputs!F103</f>
        <v>0</v>
      </c>
      <c r="G71" s="244" t="str">
        <f xml:space="preserve"> Inputs!G103</f>
        <v>Number</v>
      </c>
      <c r="H71" s="244">
        <f xml:space="preserve"> Inputs!H103</f>
        <v>0</v>
      </c>
      <c r="I71" s="244">
        <f xml:space="preserve"> Inputs!I103</f>
        <v>0</v>
      </c>
      <c r="J71" s="244">
        <f xml:space="preserve"> Inputs!J103</f>
        <v>0</v>
      </c>
      <c r="K71" s="244">
        <f xml:space="preserve"> Inputs!K103</f>
        <v>0</v>
      </c>
      <c r="L71" s="244">
        <f xml:space="preserve"> Inputs!L103</f>
        <v>0</v>
      </c>
      <c r="M71" s="244">
        <f xml:space="preserve"> Inputs!M103</f>
        <v>0</v>
      </c>
      <c r="N71" s="244">
        <f xml:space="preserve"> Inputs!N103</f>
        <v>0</v>
      </c>
      <c r="O71" s="244">
        <f xml:space="preserve"> Inputs!O103</f>
        <v>0</v>
      </c>
      <c r="P71" s="244">
        <f xml:space="preserve"> Inputs!P103</f>
        <v>0</v>
      </c>
      <c r="Q71" s="244">
        <f xml:space="preserve"> Inputs!Q103</f>
        <v>0</v>
      </c>
      <c r="R71" s="244">
        <f xml:space="preserve"> Inputs!R103</f>
        <v>0</v>
      </c>
      <c r="S71" s="244">
        <f xml:space="preserve"> Inputs!S103</f>
        <v>0</v>
      </c>
      <c r="T71" s="244">
        <f xml:space="preserve"> Inputs!T103</f>
        <v>0</v>
      </c>
    </row>
    <row r="72" spans="1:20" s="233" customFormat="1" ht="13.15" x14ac:dyDescent="0.35">
      <c r="A72" s="231"/>
      <c r="B72" s="232"/>
      <c r="E72" s="244" t="str">
        <f xml:space="preserve"> Inputs!E104</f>
        <v>Customer type 3 - number of customers (cnt in last determination)</v>
      </c>
      <c r="F72" s="244">
        <f xml:space="preserve"> Inputs!F104</f>
        <v>0</v>
      </c>
      <c r="G72" s="244" t="str">
        <f xml:space="preserve"> Inputs!G104</f>
        <v>Number</v>
      </c>
      <c r="H72" s="244">
        <f xml:space="preserve"> Inputs!H104</f>
        <v>0</v>
      </c>
      <c r="I72" s="244">
        <f xml:space="preserve"> Inputs!I104</f>
        <v>0</v>
      </c>
      <c r="J72" s="244">
        <f xml:space="preserve"> Inputs!J104</f>
        <v>0</v>
      </c>
      <c r="K72" s="244">
        <f xml:space="preserve"> Inputs!K104</f>
        <v>0</v>
      </c>
      <c r="L72" s="244">
        <f xml:space="preserve"> Inputs!L104</f>
        <v>0</v>
      </c>
      <c r="M72" s="244">
        <f xml:space="preserve"> Inputs!M104</f>
        <v>0</v>
      </c>
      <c r="N72" s="244">
        <f xml:space="preserve"> Inputs!N104</f>
        <v>0</v>
      </c>
      <c r="O72" s="244">
        <f xml:space="preserve"> Inputs!O104</f>
        <v>0</v>
      </c>
      <c r="P72" s="244">
        <f xml:space="preserve"> Inputs!P104</f>
        <v>0</v>
      </c>
      <c r="Q72" s="244">
        <f xml:space="preserve"> Inputs!Q104</f>
        <v>0</v>
      </c>
      <c r="R72" s="244">
        <f xml:space="preserve"> Inputs!R104</f>
        <v>0</v>
      </c>
      <c r="S72" s="244">
        <f xml:space="preserve"> Inputs!S104</f>
        <v>0</v>
      </c>
      <c r="T72" s="244">
        <f xml:space="preserve"> Inputs!T104</f>
        <v>0</v>
      </c>
    </row>
    <row r="73" spans="1:20" s="233" customFormat="1" ht="13.15" x14ac:dyDescent="0.35">
      <c r="A73" s="231"/>
      <c r="B73" s="232"/>
      <c r="E73" s="244" t="str">
        <f xml:space="preserve"> Inputs!E105</f>
        <v>Customer type 4 - number of customers (cnt in last determination)</v>
      </c>
      <c r="F73" s="244">
        <f xml:space="preserve"> Inputs!F105</f>
        <v>0</v>
      </c>
      <c r="G73" s="244" t="str">
        <f xml:space="preserve"> Inputs!G105</f>
        <v>Number</v>
      </c>
      <c r="H73" s="244">
        <f xml:space="preserve"> Inputs!H105</f>
        <v>0</v>
      </c>
      <c r="I73" s="244">
        <f xml:space="preserve"> Inputs!I105</f>
        <v>0</v>
      </c>
      <c r="J73" s="244">
        <f xml:space="preserve"> Inputs!J105</f>
        <v>0</v>
      </c>
      <c r="K73" s="244">
        <f xml:space="preserve"> Inputs!K105</f>
        <v>0</v>
      </c>
      <c r="L73" s="244">
        <f xml:space="preserve"> Inputs!L105</f>
        <v>0</v>
      </c>
      <c r="M73" s="244">
        <f xml:space="preserve"> Inputs!M105</f>
        <v>0</v>
      </c>
      <c r="N73" s="244">
        <f xml:space="preserve"> Inputs!N105</f>
        <v>0</v>
      </c>
      <c r="O73" s="244">
        <f xml:space="preserve"> Inputs!O105</f>
        <v>0</v>
      </c>
      <c r="P73" s="244">
        <f xml:space="preserve"> Inputs!P105</f>
        <v>0</v>
      </c>
      <c r="Q73" s="244">
        <f xml:space="preserve"> Inputs!Q105</f>
        <v>0</v>
      </c>
      <c r="R73" s="244">
        <f xml:space="preserve"> Inputs!R105</f>
        <v>0</v>
      </c>
      <c r="S73" s="244">
        <f xml:space="preserve"> Inputs!S105</f>
        <v>0</v>
      </c>
      <c r="T73" s="244">
        <f xml:space="preserve"> Inputs!T105</f>
        <v>0</v>
      </c>
    </row>
    <row r="74" spans="1:20" s="233" customFormat="1" ht="13.15" x14ac:dyDescent="0.35">
      <c r="A74" s="231"/>
      <c r="B74" s="232"/>
      <c r="E74" s="244" t="str">
        <f xml:space="preserve"> Inputs!E106</f>
        <v>Customer type 5 - number of customers (cnt in last determination)</v>
      </c>
      <c r="F74" s="244">
        <f xml:space="preserve"> Inputs!F106</f>
        <v>0</v>
      </c>
      <c r="G74" s="244" t="str">
        <f xml:space="preserve"> Inputs!G106</f>
        <v>Number</v>
      </c>
      <c r="H74" s="244">
        <f xml:space="preserve"> Inputs!H106</f>
        <v>0</v>
      </c>
      <c r="I74" s="244">
        <f xml:space="preserve"> Inputs!I106</f>
        <v>0</v>
      </c>
      <c r="J74" s="244">
        <f xml:space="preserve"> Inputs!J106</f>
        <v>0</v>
      </c>
      <c r="K74" s="244">
        <f xml:space="preserve"> Inputs!K106</f>
        <v>0</v>
      </c>
      <c r="L74" s="244">
        <f xml:space="preserve"> Inputs!L106</f>
        <v>0</v>
      </c>
      <c r="M74" s="244">
        <f xml:space="preserve"> Inputs!M106</f>
        <v>0</v>
      </c>
      <c r="N74" s="244">
        <f xml:space="preserve"> Inputs!N106</f>
        <v>0</v>
      </c>
      <c r="O74" s="244">
        <f xml:space="preserve"> Inputs!O106</f>
        <v>0</v>
      </c>
      <c r="P74" s="244">
        <f xml:space="preserve"> Inputs!P106</f>
        <v>0</v>
      </c>
      <c r="Q74" s="244">
        <f xml:space="preserve"> Inputs!Q106</f>
        <v>0</v>
      </c>
      <c r="R74" s="244">
        <f xml:space="preserve"> Inputs!R106</f>
        <v>0</v>
      </c>
      <c r="S74" s="244">
        <f xml:space="preserve"> Inputs!S106</f>
        <v>0</v>
      </c>
      <c r="T74" s="244">
        <f xml:space="preserve"> Inputs!T106</f>
        <v>0</v>
      </c>
    </row>
    <row r="75" spans="1:20" s="227" customFormat="1" ht="13.15" x14ac:dyDescent="0.35">
      <c r="A75" s="228"/>
      <c r="B75" s="229"/>
      <c r="C75" s="230"/>
    </row>
    <row r="76" spans="1:20" s="227" customFormat="1" ht="13.15" x14ac:dyDescent="0.35">
      <c r="A76" s="228"/>
      <c r="B76" s="229"/>
      <c r="C76" s="230"/>
      <c r="E76" s="227" t="s">
        <v>229</v>
      </c>
      <c r="G76" s="227" t="s">
        <v>117</v>
      </c>
      <c r="J76" s="227">
        <f xml:space="preserve"> J64 * J70 / 1000000</f>
        <v>0</v>
      </c>
      <c r="K76" s="227">
        <f t="shared" ref="K76:T76" si="15" xml:space="preserve"> K64 * K70 / 1000000</f>
        <v>0</v>
      </c>
      <c r="L76" s="227">
        <f t="shared" si="15"/>
        <v>0</v>
      </c>
      <c r="M76" s="227">
        <f t="shared" si="15"/>
        <v>0</v>
      </c>
      <c r="N76" s="227">
        <f t="shared" si="15"/>
        <v>0</v>
      </c>
      <c r="O76" s="227">
        <f t="shared" si="15"/>
        <v>0</v>
      </c>
      <c r="P76" s="227">
        <f t="shared" si="15"/>
        <v>0</v>
      </c>
      <c r="Q76" s="227">
        <f t="shared" si="15"/>
        <v>0</v>
      </c>
      <c r="R76" s="227">
        <f t="shared" si="15"/>
        <v>0</v>
      </c>
      <c r="S76" s="227">
        <f t="shared" si="15"/>
        <v>0</v>
      </c>
      <c r="T76" s="227">
        <f t="shared" si="15"/>
        <v>0</v>
      </c>
    </row>
    <row r="77" spans="1:20" s="227" customFormat="1" ht="13.15" x14ac:dyDescent="0.35">
      <c r="A77" s="228"/>
      <c r="B77" s="229"/>
      <c r="C77" s="230"/>
      <c r="E77" s="227" t="s">
        <v>230</v>
      </c>
      <c r="G77" s="227" t="s">
        <v>117</v>
      </c>
      <c r="J77" s="227">
        <f t="shared" ref="J77:T80" si="16" xml:space="preserve"> J65 * J71 / 1000000</f>
        <v>0</v>
      </c>
      <c r="K77" s="227">
        <f t="shared" si="16"/>
        <v>0</v>
      </c>
      <c r="L77" s="227">
        <f t="shared" si="16"/>
        <v>0</v>
      </c>
      <c r="M77" s="227">
        <f t="shared" si="16"/>
        <v>0</v>
      </c>
      <c r="N77" s="227">
        <f t="shared" si="16"/>
        <v>0</v>
      </c>
      <c r="O77" s="227">
        <f t="shared" si="16"/>
        <v>0</v>
      </c>
      <c r="P77" s="227">
        <f t="shared" si="16"/>
        <v>0</v>
      </c>
      <c r="Q77" s="227">
        <f t="shared" si="16"/>
        <v>0</v>
      </c>
      <c r="R77" s="227">
        <f t="shared" si="16"/>
        <v>0</v>
      </c>
      <c r="S77" s="227">
        <f t="shared" si="16"/>
        <v>0</v>
      </c>
      <c r="T77" s="227">
        <f t="shared" si="16"/>
        <v>0</v>
      </c>
    </row>
    <row r="78" spans="1:20" s="227" customFormat="1" ht="13.15" x14ac:dyDescent="0.35">
      <c r="A78" s="228"/>
      <c r="B78" s="229"/>
      <c r="C78" s="230"/>
      <c r="E78" s="227" t="s">
        <v>231</v>
      </c>
      <c r="G78" s="227" t="s">
        <v>117</v>
      </c>
      <c r="J78" s="227">
        <f t="shared" si="16"/>
        <v>0</v>
      </c>
      <c r="K78" s="227">
        <f t="shared" si="16"/>
        <v>0</v>
      </c>
      <c r="L78" s="227">
        <f t="shared" si="16"/>
        <v>0</v>
      </c>
      <c r="M78" s="227">
        <f t="shared" si="16"/>
        <v>0</v>
      </c>
      <c r="N78" s="227">
        <f t="shared" si="16"/>
        <v>0</v>
      </c>
      <c r="O78" s="227">
        <f t="shared" si="16"/>
        <v>0</v>
      </c>
      <c r="P78" s="227">
        <f t="shared" si="16"/>
        <v>0</v>
      </c>
      <c r="Q78" s="227">
        <f t="shared" si="16"/>
        <v>0</v>
      </c>
      <c r="R78" s="227">
        <f t="shared" si="16"/>
        <v>0</v>
      </c>
      <c r="S78" s="227">
        <f t="shared" si="16"/>
        <v>0</v>
      </c>
      <c r="T78" s="227">
        <f t="shared" si="16"/>
        <v>0</v>
      </c>
    </row>
    <row r="79" spans="1:20" s="227" customFormat="1" ht="13.15" x14ac:dyDescent="0.35">
      <c r="A79" s="228"/>
      <c r="B79" s="229"/>
      <c r="C79" s="230"/>
      <c r="E79" s="227" t="s">
        <v>232</v>
      </c>
      <c r="G79" s="227" t="s">
        <v>117</v>
      </c>
      <c r="J79" s="227">
        <f t="shared" si="16"/>
        <v>0</v>
      </c>
      <c r="K79" s="227">
        <f t="shared" si="16"/>
        <v>0</v>
      </c>
      <c r="L79" s="227">
        <f t="shared" si="16"/>
        <v>0</v>
      </c>
      <c r="M79" s="227">
        <f t="shared" si="16"/>
        <v>0</v>
      </c>
      <c r="N79" s="227">
        <f t="shared" si="16"/>
        <v>0</v>
      </c>
      <c r="O79" s="227">
        <f t="shared" si="16"/>
        <v>0</v>
      </c>
      <c r="P79" s="227">
        <f t="shared" si="16"/>
        <v>0</v>
      </c>
      <c r="Q79" s="227">
        <f t="shared" si="16"/>
        <v>0</v>
      </c>
      <c r="R79" s="227">
        <f t="shared" si="16"/>
        <v>0</v>
      </c>
      <c r="S79" s="227">
        <f t="shared" si="16"/>
        <v>0</v>
      </c>
      <c r="T79" s="227">
        <f t="shared" si="16"/>
        <v>0</v>
      </c>
    </row>
    <row r="80" spans="1:20" s="227" customFormat="1" ht="13.15" x14ac:dyDescent="0.35">
      <c r="A80" s="228"/>
      <c r="B80" s="229"/>
      <c r="C80" s="230"/>
      <c r="E80" s="227" t="s">
        <v>233</v>
      </c>
      <c r="G80" s="227" t="s">
        <v>117</v>
      </c>
      <c r="J80" s="227">
        <f t="shared" si="16"/>
        <v>0</v>
      </c>
      <c r="K80" s="227">
        <f t="shared" si="16"/>
        <v>0</v>
      </c>
      <c r="L80" s="227">
        <f t="shared" si="16"/>
        <v>0</v>
      </c>
      <c r="M80" s="227">
        <f t="shared" si="16"/>
        <v>0</v>
      </c>
      <c r="N80" s="227">
        <f t="shared" si="16"/>
        <v>0</v>
      </c>
      <c r="O80" s="227">
        <f t="shared" si="16"/>
        <v>0</v>
      </c>
      <c r="P80" s="227">
        <f t="shared" si="16"/>
        <v>0</v>
      </c>
      <c r="Q80" s="227">
        <f t="shared" si="16"/>
        <v>0</v>
      </c>
      <c r="R80" s="227">
        <f t="shared" si="16"/>
        <v>0</v>
      </c>
      <c r="S80" s="227">
        <f t="shared" si="16"/>
        <v>0</v>
      </c>
      <c r="T80" s="227">
        <f t="shared" si="16"/>
        <v>0</v>
      </c>
    </row>
    <row r="81" spans="1:20" s="227" customFormat="1" ht="13.15" x14ac:dyDescent="0.35">
      <c r="A81" s="228"/>
      <c r="B81" s="229"/>
      <c r="C81" s="230"/>
    </row>
    <row r="82" spans="1:20" s="227" customFormat="1" ht="13.15" x14ac:dyDescent="0.35">
      <c r="A82" s="228"/>
      <c r="B82" s="229"/>
      <c r="C82" s="230"/>
      <c r="E82" s="227" t="s">
        <v>234</v>
      </c>
      <c r="G82" s="227" t="s">
        <v>117</v>
      </c>
      <c r="J82" s="227">
        <f xml:space="preserve"> J58 + J76</f>
        <v>0</v>
      </c>
      <c r="K82" s="227">
        <f t="shared" ref="K82:T82" si="17" xml:space="preserve"> K58 + K76</f>
        <v>0</v>
      </c>
      <c r="L82" s="227">
        <f t="shared" si="17"/>
        <v>0</v>
      </c>
      <c r="M82" s="227">
        <f t="shared" si="17"/>
        <v>0</v>
      </c>
      <c r="N82" s="227">
        <f t="shared" si="17"/>
        <v>0</v>
      </c>
      <c r="O82" s="227">
        <f t="shared" si="17"/>
        <v>0</v>
      </c>
      <c r="P82" s="227">
        <f t="shared" si="17"/>
        <v>0</v>
      </c>
      <c r="Q82" s="227">
        <f t="shared" si="17"/>
        <v>0</v>
      </c>
      <c r="R82" s="227">
        <f t="shared" si="17"/>
        <v>0</v>
      </c>
      <c r="S82" s="227">
        <f t="shared" si="17"/>
        <v>0</v>
      </c>
      <c r="T82" s="227">
        <f t="shared" si="17"/>
        <v>0</v>
      </c>
    </row>
    <row r="83" spans="1:20" s="227" customFormat="1" ht="13.15" x14ac:dyDescent="0.35">
      <c r="A83" s="228"/>
      <c r="B83" s="229"/>
      <c r="C83" s="230"/>
      <c r="E83" s="227" t="s">
        <v>235</v>
      </c>
      <c r="G83" s="227" t="s">
        <v>117</v>
      </c>
      <c r="J83" s="227">
        <f t="shared" ref="J83:T86" si="18" xml:space="preserve"> J59 + J77</f>
        <v>0</v>
      </c>
      <c r="K83" s="227">
        <f t="shared" si="18"/>
        <v>0</v>
      </c>
      <c r="L83" s="227">
        <f t="shared" si="18"/>
        <v>0</v>
      </c>
      <c r="M83" s="227">
        <f t="shared" si="18"/>
        <v>0</v>
      </c>
      <c r="N83" s="227">
        <f t="shared" si="18"/>
        <v>0</v>
      </c>
      <c r="O83" s="227">
        <f t="shared" si="18"/>
        <v>0</v>
      </c>
      <c r="P83" s="227">
        <f t="shared" si="18"/>
        <v>0</v>
      </c>
      <c r="Q83" s="227">
        <f t="shared" si="18"/>
        <v>0</v>
      </c>
      <c r="R83" s="227">
        <f t="shared" si="18"/>
        <v>0</v>
      </c>
      <c r="S83" s="227">
        <f t="shared" si="18"/>
        <v>0</v>
      </c>
      <c r="T83" s="227">
        <f t="shared" si="18"/>
        <v>0</v>
      </c>
    </row>
    <row r="84" spans="1:20" s="227" customFormat="1" ht="13.15" x14ac:dyDescent="0.35">
      <c r="A84" s="228"/>
      <c r="B84" s="229"/>
      <c r="C84" s="230"/>
      <c r="E84" s="227" t="s">
        <v>236</v>
      </c>
      <c r="G84" s="227" t="s">
        <v>117</v>
      </c>
      <c r="J84" s="227">
        <f t="shared" si="18"/>
        <v>0</v>
      </c>
      <c r="K84" s="227">
        <f t="shared" si="18"/>
        <v>0</v>
      </c>
      <c r="L84" s="227">
        <f t="shared" si="18"/>
        <v>0</v>
      </c>
      <c r="M84" s="227">
        <f t="shared" si="18"/>
        <v>0</v>
      </c>
      <c r="N84" s="227">
        <f t="shared" si="18"/>
        <v>0</v>
      </c>
      <c r="O84" s="227">
        <f t="shared" si="18"/>
        <v>0</v>
      </c>
      <c r="P84" s="227">
        <f t="shared" si="18"/>
        <v>0</v>
      </c>
      <c r="Q84" s="227">
        <f t="shared" si="18"/>
        <v>0</v>
      </c>
      <c r="R84" s="227">
        <f t="shared" si="18"/>
        <v>0</v>
      </c>
      <c r="S84" s="227">
        <f t="shared" si="18"/>
        <v>0</v>
      </c>
      <c r="T84" s="227">
        <f t="shared" si="18"/>
        <v>0</v>
      </c>
    </row>
    <row r="85" spans="1:20" s="227" customFormat="1" ht="13.15" x14ac:dyDescent="0.35">
      <c r="A85" s="228"/>
      <c r="B85" s="229"/>
      <c r="C85" s="230"/>
      <c r="E85" s="227" t="s">
        <v>237</v>
      </c>
      <c r="G85" s="227" t="s">
        <v>117</v>
      </c>
      <c r="J85" s="227">
        <f t="shared" si="18"/>
        <v>0</v>
      </c>
      <c r="K85" s="227">
        <f t="shared" si="18"/>
        <v>0</v>
      </c>
      <c r="L85" s="227">
        <f t="shared" si="18"/>
        <v>0</v>
      </c>
      <c r="M85" s="227">
        <f t="shared" si="18"/>
        <v>0</v>
      </c>
      <c r="N85" s="227">
        <f t="shared" si="18"/>
        <v>0</v>
      </c>
      <c r="O85" s="227">
        <f t="shared" si="18"/>
        <v>0</v>
      </c>
      <c r="P85" s="227">
        <f t="shared" si="18"/>
        <v>0</v>
      </c>
      <c r="Q85" s="227">
        <f t="shared" si="18"/>
        <v>0</v>
      </c>
      <c r="R85" s="227">
        <f t="shared" si="18"/>
        <v>0</v>
      </c>
      <c r="S85" s="227">
        <f t="shared" si="18"/>
        <v>0</v>
      </c>
      <c r="T85" s="227">
        <f t="shared" si="18"/>
        <v>0</v>
      </c>
    </row>
    <row r="86" spans="1:20" s="227" customFormat="1" ht="13.15" x14ac:dyDescent="0.35">
      <c r="A86" s="228"/>
      <c r="B86" s="229"/>
      <c r="C86" s="230"/>
      <c r="E86" s="227" t="s">
        <v>238</v>
      </c>
      <c r="G86" s="227" t="s">
        <v>117</v>
      </c>
      <c r="J86" s="227">
        <f t="shared" si="18"/>
        <v>0</v>
      </c>
      <c r="K86" s="227">
        <f t="shared" si="18"/>
        <v>0</v>
      </c>
      <c r="L86" s="227">
        <f t="shared" si="18"/>
        <v>0</v>
      </c>
      <c r="M86" s="227">
        <f t="shared" si="18"/>
        <v>0</v>
      </c>
      <c r="N86" s="227">
        <f t="shared" si="18"/>
        <v>0</v>
      </c>
      <c r="O86" s="227">
        <f t="shared" si="18"/>
        <v>0</v>
      </c>
      <c r="P86" s="227">
        <f t="shared" si="18"/>
        <v>0</v>
      </c>
      <c r="Q86" s="227">
        <f t="shared" si="18"/>
        <v>0</v>
      </c>
      <c r="R86" s="227">
        <f t="shared" si="18"/>
        <v>0</v>
      </c>
      <c r="S86" s="227">
        <f t="shared" si="18"/>
        <v>0</v>
      </c>
      <c r="T86" s="227">
        <f t="shared" si="18"/>
        <v>0</v>
      </c>
    </row>
    <row r="87" spans="1:20" s="227" customFormat="1" ht="13.15" x14ac:dyDescent="0.35">
      <c r="A87" s="228"/>
      <c r="B87" s="229"/>
      <c r="C87" s="230"/>
    </row>
    <row r="88" spans="1:20" s="227" customFormat="1" ht="13.15" x14ac:dyDescent="0.35">
      <c r="A88" s="228"/>
      <c r="B88" s="229"/>
      <c r="C88" s="230"/>
      <c r="E88" s="227" t="s">
        <v>239</v>
      </c>
      <c r="G88" s="227" t="s">
        <v>123</v>
      </c>
      <c r="J88" s="227">
        <f xml:space="preserve"> IF( J70 = 0, 0, ( J82 * 1000000 ) / J70 )</f>
        <v>0</v>
      </c>
      <c r="K88" s="227">
        <f t="shared" ref="K88:T88" si="19" xml:space="preserve"> IF( K70 = 0, 0, ( K82 * 1000000 ) / K70 )</f>
        <v>0</v>
      </c>
      <c r="L88" s="227">
        <f t="shared" si="19"/>
        <v>0</v>
      </c>
      <c r="M88" s="227">
        <f t="shared" si="19"/>
        <v>0</v>
      </c>
      <c r="N88" s="227">
        <f t="shared" si="19"/>
        <v>0</v>
      </c>
      <c r="O88" s="227">
        <f t="shared" si="19"/>
        <v>0</v>
      </c>
      <c r="P88" s="227">
        <f t="shared" si="19"/>
        <v>0</v>
      </c>
      <c r="Q88" s="227">
        <f t="shared" si="19"/>
        <v>0</v>
      </c>
      <c r="R88" s="227">
        <f t="shared" si="19"/>
        <v>0</v>
      </c>
      <c r="S88" s="227">
        <f t="shared" si="19"/>
        <v>0</v>
      </c>
      <c r="T88" s="227">
        <f t="shared" si="19"/>
        <v>0</v>
      </c>
    </row>
    <row r="89" spans="1:20" s="227" customFormat="1" ht="13.15" x14ac:dyDescent="0.35">
      <c r="A89" s="228"/>
      <c r="B89" s="229"/>
      <c r="C89" s="230"/>
      <c r="E89" s="227" t="s">
        <v>240</v>
      </c>
      <c r="G89" s="227" t="s">
        <v>123</v>
      </c>
      <c r="J89" s="227">
        <f t="shared" ref="J89:T92" si="20" xml:space="preserve"> IF( J71 = 0, 0, ( J83 * 1000000 ) / J71 )</f>
        <v>0</v>
      </c>
      <c r="K89" s="227">
        <f t="shared" si="20"/>
        <v>0</v>
      </c>
      <c r="L89" s="227">
        <f t="shared" si="20"/>
        <v>0</v>
      </c>
      <c r="M89" s="227">
        <f t="shared" si="20"/>
        <v>0</v>
      </c>
      <c r="N89" s="227">
        <f t="shared" si="20"/>
        <v>0</v>
      </c>
      <c r="O89" s="227">
        <f t="shared" si="20"/>
        <v>0</v>
      </c>
      <c r="P89" s="227">
        <f t="shared" si="20"/>
        <v>0</v>
      </c>
      <c r="Q89" s="227">
        <f t="shared" si="20"/>
        <v>0</v>
      </c>
      <c r="R89" s="227">
        <f t="shared" si="20"/>
        <v>0</v>
      </c>
      <c r="S89" s="227">
        <f t="shared" si="20"/>
        <v>0</v>
      </c>
      <c r="T89" s="227">
        <f t="shared" si="20"/>
        <v>0</v>
      </c>
    </row>
    <row r="90" spans="1:20" s="227" customFormat="1" ht="13.15" x14ac:dyDescent="0.35">
      <c r="A90" s="228"/>
      <c r="B90" s="229"/>
      <c r="C90" s="230"/>
      <c r="E90" s="227" t="s">
        <v>241</v>
      </c>
      <c r="G90" s="227" t="s">
        <v>123</v>
      </c>
      <c r="J90" s="227">
        <f t="shared" si="20"/>
        <v>0</v>
      </c>
      <c r="K90" s="227">
        <f t="shared" si="20"/>
        <v>0</v>
      </c>
      <c r="L90" s="227">
        <f t="shared" si="20"/>
        <v>0</v>
      </c>
      <c r="M90" s="227">
        <f t="shared" si="20"/>
        <v>0</v>
      </c>
      <c r="N90" s="227">
        <f t="shared" si="20"/>
        <v>0</v>
      </c>
      <c r="O90" s="227">
        <f t="shared" si="20"/>
        <v>0</v>
      </c>
      <c r="P90" s="227">
        <f t="shared" si="20"/>
        <v>0</v>
      </c>
      <c r="Q90" s="227">
        <f t="shared" si="20"/>
        <v>0</v>
      </c>
      <c r="R90" s="227">
        <f t="shared" si="20"/>
        <v>0</v>
      </c>
      <c r="S90" s="227">
        <f t="shared" si="20"/>
        <v>0</v>
      </c>
      <c r="T90" s="227">
        <f t="shared" si="20"/>
        <v>0</v>
      </c>
    </row>
    <row r="91" spans="1:20" s="227" customFormat="1" ht="13.15" x14ac:dyDescent="0.35">
      <c r="A91" s="228"/>
      <c r="B91" s="229"/>
      <c r="C91" s="230"/>
      <c r="E91" s="227" t="s">
        <v>242</v>
      </c>
      <c r="G91" s="227" t="s">
        <v>123</v>
      </c>
      <c r="J91" s="227">
        <f t="shared" si="20"/>
        <v>0</v>
      </c>
      <c r="K91" s="227">
        <f t="shared" si="20"/>
        <v>0</v>
      </c>
      <c r="L91" s="227">
        <f t="shared" si="20"/>
        <v>0</v>
      </c>
      <c r="M91" s="227">
        <f t="shared" si="20"/>
        <v>0</v>
      </c>
      <c r="N91" s="227">
        <f t="shared" si="20"/>
        <v>0</v>
      </c>
      <c r="O91" s="227">
        <f t="shared" si="20"/>
        <v>0</v>
      </c>
      <c r="P91" s="227">
        <f t="shared" si="20"/>
        <v>0</v>
      </c>
      <c r="Q91" s="227">
        <f t="shared" si="20"/>
        <v>0</v>
      </c>
      <c r="R91" s="227">
        <f t="shared" si="20"/>
        <v>0</v>
      </c>
      <c r="S91" s="227">
        <f t="shared" si="20"/>
        <v>0</v>
      </c>
      <c r="T91" s="227">
        <f t="shared" si="20"/>
        <v>0</v>
      </c>
    </row>
    <row r="92" spans="1:20" s="227" customFormat="1" ht="13.15" x14ac:dyDescent="0.35">
      <c r="A92" s="228"/>
      <c r="B92" s="229"/>
      <c r="C92" s="230"/>
      <c r="E92" s="227" t="s">
        <v>243</v>
      </c>
      <c r="G92" s="227" t="s">
        <v>123</v>
      </c>
      <c r="J92" s="227">
        <f t="shared" si="20"/>
        <v>0</v>
      </c>
      <c r="K92" s="227">
        <f t="shared" si="20"/>
        <v>0</v>
      </c>
      <c r="L92" s="227">
        <f t="shared" si="20"/>
        <v>0</v>
      </c>
      <c r="M92" s="227">
        <f t="shared" si="20"/>
        <v>0</v>
      </c>
      <c r="N92" s="227">
        <f t="shared" si="20"/>
        <v>0</v>
      </c>
      <c r="O92" s="227">
        <f t="shared" si="20"/>
        <v>0</v>
      </c>
      <c r="P92" s="227">
        <f t="shared" si="20"/>
        <v>0</v>
      </c>
      <c r="Q92" s="227">
        <f t="shared" si="20"/>
        <v>0</v>
      </c>
      <c r="R92" s="227">
        <f t="shared" si="20"/>
        <v>0</v>
      </c>
      <c r="S92" s="227">
        <f t="shared" si="20"/>
        <v>0</v>
      </c>
      <c r="T92" s="227">
        <f t="shared" si="20"/>
        <v>0</v>
      </c>
    </row>
    <row r="93" spans="1:20" s="227" customFormat="1" ht="13.15" x14ac:dyDescent="0.35">
      <c r="A93" s="228"/>
      <c r="B93" s="229"/>
      <c r="C93" s="230"/>
    </row>
    <row r="94" spans="1:20" s="227" customFormat="1" ht="13.15" x14ac:dyDescent="0.35">
      <c r="A94" s="228"/>
      <c r="B94" s="229" t="s">
        <v>244</v>
      </c>
      <c r="C94" s="230"/>
    </row>
    <row r="95" spans="1:20" s="256" customFormat="1" ht="13.15" x14ac:dyDescent="0.35">
      <c r="A95" s="254"/>
      <c r="B95" s="255"/>
      <c r="E95" s="256" t="str">
        <f xml:space="preserve"> E88</f>
        <v>Customer type 1 - revised allowed average retail cost component (rct)</v>
      </c>
      <c r="F95" s="256">
        <f t="shared" ref="F95:T95" si="21" xml:space="preserve"> F88</f>
        <v>0</v>
      </c>
      <c r="G95" s="256" t="str">
        <f t="shared" si="21"/>
        <v>£ (nominal)</v>
      </c>
      <c r="H95" s="256">
        <f t="shared" si="21"/>
        <v>0</v>
      </c>
      <c r="I95" s="256">
        <f t="shared" si="21"/>
        <v>0</v>
      </c>
      <c r="J95" s="256">
        <f t="shared" si="21"/>
        <v>0</v>
      </c>
      <c r="K95" s="256">
        <f t="shared" si="21"/>
        <v>0</v>
      </c>
      <c r="L95" s="256">
        <f t="shared" si="21"/>
        <v>0</v>
      </c>
      <c r="M95" s="256">
        <f t="shared" si="21"/>
        <v>0</v>
      </c>
      <c r="N95" s="256">
        <f t="shared" si="21"/>
        <v>0</v>
      </c>
      <c r="O95" s="256">
        <f t="shared" si="21"/>
        <v>0</v>
      </c>
      <c r="P95" s="256">
        <f t="shared" si="21"/>
        <v>0</v>
      </c>
      <c r="Q95" s="256">
        <f t="shared" si="21"/>
        <v>0</v>
      </c>
      <c r="R95" s="256">
        <f t="shared" si="21"/>
        <v>0</v>
      </c>
      <c r="S95" s="256">
        <f t="shared" si="21"/>
        <v>0</v>
      </c>
      <c r="T95" s="256">
        <f t="shared" si="21"/>
        <v>0</v>
      </c>
    </row>
    <row r="96" spans="1:20" s="256" customFormat="1" ht="13.15" x14ac:dyDescent="0.35">
      <c r="A96" s="254"/>
      <c r="B96" s="255"/>
      <c r="E96" s="256" t="str">
        <f t="shared" ref="E96:T99" si="22" xml:space="preserve"> E89</f>
        <v>Customer type 2 - revised allowed average retail cost component (rct)</v>
      </c>
      <c r="F96" s="256">
        <f t="shared" si="22"/>
        <v>0</v>
      </c>
      <c r="G96" s="256" t="str">
        <f t="shared" si="22"/>
        <v>£ (nominal)</v>
      </c>
      <c r="H96" s="256">
        <f t="shared" si="22"/>
        <v>0</v>
      </c>
      <c r="I96" s="256">
        <f t="shared" si="22"/>
        <v>0</v>
      </c>
      <c r="J96" s="256">
        <f t="shared" si="22"/>
        <v>0</v>
      </c>
      <c r="K96" s="256">
        <f t="shared" si="22"/>
        <v>0</v>
      </c>
      <c r="L96" s="256">
        <f t="shared" si="22"/>
        <v>0</v>
      </c>
      <c r="M96" s="256">
        <f t="shared" si="22"/>
        <v>0</v>
      </c>
      <c r="N96" s="256">
        <f t="shared" si="22"/>
        <v>0</v>
      </c>
      <c r="O96" s="256">
        <f t="shared" si="22"/>
        <v>0</v>
      </c>
      <c r="P96" s="256">
        <f t="shared" si="22"/>
        <v>0</v>
      </c>
      <c r="Q96" s="256">
        <f t="shared" si="22"/>
        <v>0</v>
      </c>
      <c r="R96" s="256">
        <f t="shared" si="22"/>
        <v>0</v>
      </c>
      <c r="S96" s="256">
        <f t="shared" si="22"/>
        <v>0</v>
      </c>
      <c r="T96" s="256">
        <f t="shared" si="22"/>
        <v>0</v>
      </c>
    </row>
    <row r="97" spans="1:20" s="256" customFormat="1" ht="13.15" x14ac:dyDescent="0.35">
      <c r="A97" s="254"/>
      <c r="B97" s="255"/>
      <c r="E97" s="256" t="str">
        <f t="shared" si="22"/>
        <v>Customer type 3 - revised allowed average retail cost component (rct)</v>
      </c>
      <c r="F97" s="256">
        <f t="shared" si="22"/>
        <v>0</v>
      </c>
      <c r="G97" s="256" t="str">
        <f t="shared" si="22"/>
        <v>£ (nominal)</v>
      </c>
      <c r="H97" s="256">
        <f t="shared" si="22"/>
        <v>0</v>
      </c>
      <c r="I97" s="256">
        <f t="shared" si="22"/>
        <v>0</v>
      </c>
      <c r="J97" s="256">
        <f t="shared" si="22"/>
        <v>0</v>
      </c>
      <c r="K97" s="256">
        <f t="shared" si="22"/>
        <v>0</v>
      </c>
      <c r="L97" s="256">
        <f t="shared" si="22"/>
        <v>0</v>
      </c>
      <c r="M97" s="256">
        <f t="shared" si="22"/>
        <v>0</v>
      </c>
      <c r="N97" s="256">
        <f t="shared" si="22"/>
        <v>0</v>
      </c>
      <c r="O97" s="256">
        <f t="shared" si="22"/>
        <v>0</v>
      </c>
      <c r="P97" s="256">
        <f t="shared" si="22"/>
        <v>0</v>
      </c>
      <c r="Q97" s="256">
        <f t="shared" si="22"/>
        <v>0</v>
      </c>
      <c r="R97" s="256">
        <f t="shared" si="22"/>
        <v>0</v>
      </c>
      <c r="S97" s="256">
        <f t="shared" si="22"/>
        <v>0</v>
      </c>
      <c r="T97" s="256">
        <f t="shared" si="22"/>
        <v>0</v>
      </c>
    </row>
    <row r="98" spans="1:20" s="256" customFormat="1" ht="13.15" x14ac:dyDescent="0.35">
      <c r="A98" s="254"/>
      <c r="B98" s="255"/>
      <c r="E98" s="256" t="str">
        <f t="shared" si="22"/>
        <v>Customer type 4 - revised allowed average retail cost component (rct)</v>
      </c>
      <c r="F98" s="256">
        <f t="shared" si="22"/>
        <v>0</v>
      </c>
      <c r="G98" s="256" t="str">
        <f t="shared" si="22"/>
        <v>£ (nominal)</v>
      </c>
      <c r="H98" s="256">
        <f t="shared" si="22"/>
        <v>0</v>
      </c>
      <c r="I98" s="256">
        <f t="shared" si="22"/>
        <v>0</v>
      </c>
      <c r="J98" s="256">
        <f t="shared" si="22"/>
        <v>0</v>
      </c>
      <c r="K98" s="256">
        <f t="shared" si="22"/>
        <v>0</v>
      </c>
      <c r="L98" s="256">
        <f t="shared" si="22"/>
        <v>0</v>
      </c>
      <c r="M98" s="256">
        <f t="shared" si="22"/>
        <v>0</v>
      </c>
      <c r="N98" s="256">
        <f t="shared" si="22"/>
        <v>0</v>
      </c>
      <c r="O98" s="256">
        <f t="shared" si="22"/>
        <v>0</v>
      </c>
      <c r="P98" s="256">
        <f t="shared" si="22"/>
        <v>0</v>
      </c>
      <c r="Q98" s="256">
        <f t="shared" si="22"/>
        <v>0</v>
      </c>
      <c r="R98" s="256">
        <f t="shared" si="22"/>
        <v>0</v>
      </c>
      <c r="S98" s="256">
        <f t="shared" si="22"/>
        <v>0</v>
      </c>
      <c r="T98" s="256">
        <f t="shared" si="22"/>
        <v>0</v>
      </c>
    </row>
    <row r="99" spans="1:20" s="256" customFormat="1" ht="13.15" x14ac:dyDescent="0.35">
      <c r="A99" s="254"/>
      <c r="B99" s="255"/>
      <c r="E99" s="256" t="str">
        <f t="shared" si="22"/>
        <v>Customer type 5 - revised allowed average retail cost component (rct)</v>
      </c>
      <c r="F99" s="256">
        <f t="shared" si="22"/>
        <v>0</v>
      </c>
      <c r="G99" s="256" t="str">
        <f t="shared" si="22"/>
        <v>£ (nominal)</v>
      </c>
      <c r="H99" s="256">
        <f t="shared" si="22"/>
        <v>0</v>
      </c>
      <c r="I99" s="256">
        <f t="shared" si="22"/>
        <v>0</v>
      </c>
      <c r="J99" s="256">
        <f t="shared" si="22"/>
        <v>0</v>
      </c>
      <c r="K99" s="256">
        <f t="shared" si="22"/>
        <v>0</v>
      </c>
      <c r="L99" s="256">
        <f t="shared" si="22"/>
        <v>0</v>
      </c>
      <c r="M99" s="256">
        <f t="shared" si="22"/>
        <v>0</v>
      </c>
      <c r="N99" s="256">
        <f t="shared" si="22"/>
        <v>0</v>
      </c>
      <c r="O99" s="256">
        <f t="shared" si="22"/>
        <v>0</v>
      </c>
      <c r="P99" s="256">
        <f t="shared" si="22"/>
        <v>0</v>
      </c>
      <c r="Q99" s="256">
        <f t="shared" si="22"/>
        <v>0</v>
      </c>
      <c r="R99" s="256">
        <f t="shared" si="22"/>
        <v>0</v>
      </c>
      <c r="S99" s="256">
        <f t="shared" si="22"/>
        <v>0</v>
      </c>
      <c r="T99" s="256">
        <f t="shared" si="22"/>
        <v>0</v>
      </c>
    </row>
    <row r="100" spans="1:20" ht="13.15" x14ac:dyDescent="0.35">
      <c r="B100" s="127"/>
      <c r="E100" s="121"/>
    </row>
    <row r="101" spans="1:20" ht="13.15" x14ac:dyDescent="0.35">
      <c r="A101" s="2" t="s">
        <v>83</v>
      </c>
      <c r="B101" s="203"/>
      <c r="C101" s="189"/>
      <c r="D101" s="204"/>
      <c r="E101" s="191"/>
      <c r="F101" s="191"/>
      <c r="G101" s="19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35"/>
  </sheetData>
  <conditionalFormatting sqref="J3:T3">
    <cfRule type="cellIs" dxfId="17" priority="1" operator="equal">
      <formula>"Post-Fcst"</formula>
    </cfRule>
    <cfRule type="cellIs" dxfId="16" priority="2" operator="equal">
      <formula>"Forecast"</formula>
    </cfRule>
    <cfRule type="cellIs" dxfId="15" priority="3" operator="equal">
      <formula>"Pre Fcst"</formula>
    </cfRule>
  </conditionalFormatting>
  <printOptions headings="1"/>
  <pageMargins left="0.7" right="0.7" top="0.75" bottom="0.75" header="0.3" footer="0.3"/>
  <pageSetup paperSize="9" scale="35" orientation="landscape" blackAndWhite="1" r:id="rId1"/>
  <headerFooter>
    <oddHeader xml:space="preserve">&amp;L&amp;F &amp;CSheet: &amp;A &amp;ROFFICIAL </oddHeader>
    <oddFooter xml:space="preserve">&amp;L&amp;D at &amp;T &amp;C&amp;P of &amp;N &amp;ROfwat </oddFooter>
  </headerFooter>
  <ignoredErrors>
    <ignoredError sqref="H4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 summaryRight="0"/>
    <pageSetUpPr fitToPage="1"/>
  </sheetPr>
  <dimension ref="A1:T61"/>
  <sheetViews>
    <sheetView view="pageBreakPreview" zoomScale="60" zoomScaleNormal="100" workbookViewId="0">
      <pane xSplit="9" ySplit="5" topLeftCell="J30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35"/>
  <cols>
    <col min="1" max="1" width="1.625" style="126" customWidth="1"/>
    <col min="2" max="2" width="1.625" style="205" customWidth="1"/>
    <col min="3" max="3" width="1.625" style="128" customWidth="1"/>
    <col min="4" max="4" width="1.625" style="117" customWidth="1"/>
    <col min="5" max="5" width="45.625" style="117" customWidth="1"/>
    <col min="6" max="7" width="15.625" style="117" customWidth="1"/>
    <col min="8" max="8" width="15.625" style="34" customWidth="1"/>
    <col min="9" max="9" width="2.625" style="34" customWidth="1"/>
    <col min="10" max="20" width="9.625" style="34" customWidth="1"/>
    <col min="21" max="16384" width="9.625" style="34" hidden="1"/>
  </cols>
  <sheetData>
    <row r="1" spans="1:20" s="135" customFormat="1" ht="29.25" x14ac:dyDescent="0.35">
      <c r="A1" s="194" t="str">
        <f ca="1" xml:space="preserve"> RIGHT(CELL("filename", $A$1), LEN(CELL("filename", $A$1)) - SEARCH("]", CELL("filename", $A$1)))</f>
        <v>Bioresources (sludge)</v>
      </c>
      <c r="B1" s="195"/>
      <c r="C1" s="196"/>
      <c r="D1" s="192"/>
      <c r="E1" s="192"/>
      <c r="F1" s="192"/>
      <c r="G1" s="192"/>
      <c r="H1" s="92">
        <f>Inputs!F9</f>
        <v>0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s="18" customFormat="1" ht="13.15" x14ac:dyDescent="0.35">
      <c r="A2" s="197"/>
      <c r="B2" s="198"/>
      <c r="C2" s="199"/>
      <c r="D2" s="200"/>
      <c r="E2" s="167" t="str">
        <f>Time!E$22</f>
        <v>Model Period END</v>
      </c>
      <c r="F2" s="167"/>
      <c r="G2" s="167"/>
      <c r="H2" s="17"/>
      <c r="I2" s="17"/>
      <c r="J2" s="17">
        <f>Time!J$22</f>
        <v>42460</v>
      </c>
      <c r="K2" s="17">
        <f>Time!K$22</f>
        <v>42825</v>
      </c>
      <c r="L2" s="17">
        <f>Time!L$22</f>
        <v>43190</v>
      </c>
      <c r="M2" s="17">
        <f>Time!M$22</f>
        <v>43555</v>
      </c>
      <c r="N2" s="17">
        <f>Time!N$22</f>
        <v>43921</v>
      </c>
      <c r="O2" s="17">
        <f>Time!O$22</f>
        <v>44286</v>
      </c>
      <c r="P2" s="17">
        <f>Time!P$22</f>
        <v>44651</v>
      </c>
      <c r="Q2" s="17">
        <f>Time!Q$22</f>
        <v>45016</v>
      </c>
      <c r="R2" s="17">
        <f>Time!R$22</f>
        <v>45382</v>
      </c>
      <c r="S2" s="17">
        <f>Time!S$22</f>
        <v>45747</v>
      </c>
      <c r="T2" s="17">
        <f>Time!T$22</f>
        <v>46112</v>
      </c>
    </row>
    <row r="3" spans="1:20" s="23" customFormat="1" ht="13.15" x14ac:dyDescent="0.35">
      <c r="A3" s="193"/>
      <c r="B3" s="198"/>
      <c r="C3" s="199"/>
      <c r="D3" s="200"/>
      <c r="E3" s="167" t="str">
        <f>Time!E$58</f>
        <v>Pre Forecast vs Forecast</v>
      </c>
      <c r="F3" s="167"/>
      <c r="G3" s="167"/>
      <c r="H3" s="17"/>
      <c r="I3" s="17"/>
      <c r="J3" s="1" t="str">
        <f>Time!J$58</f>
        <v>Pre Fcst</v>
      </c>
      <c r="K3" s="1" t="str">
        <f>Time!K$58</f>
        <v>Pre Fcst</v>
      </c>
      <c r="L3" s="1" t="str">
        <f>Time!L$58</f>
        <v>Pre Fcst</v>
      </c>
      <c r="M3" s="1" t="str">
        <f>Time!M$58</f>
        <v>Pre Fcst</v>
      </c>
      <c r="N3" s="1" t="str">
        <f>Time!N$58</f>
        <v>Pre Fcst</v>
      </c>
      <c r="O3" s="1" t="str">
        <f>Time!O$58</f>
        <v>Forecast</v>
      </c>
      <c r="P3" s="1" t="str">
        <f>Time!P$58</f>
        <v>Forecast</v>
      </c>
      <c r="Q3" s="1" t="str">
        <f>Time!Q$58</f>
        <v>Forecast</v>
      </c>
      <c r="R3" s="1" t="str">
        <f>Time!R$58</f>
        <v>Forecast</v>
      </c>
      <c r="S3" s="1" t="str">
        <f>Time!S$58</f>
        <v>Forecast</v>
      </c>
      <c r="T3" s="1" t="str">
        <f>Time!T$58</f>
        <v>Post-Fcst</v>
      </c>
    </row>
    <row r="4" spans="1:20" s="166" customFormat="1" ht="13.15" x14ac:dyDescent="0.35">
      <c r="A4" s="193"/>
      <c r="B4" s="201"/>
      <c r="C4" s="199"/>
      <c r="D4" s="202"/>
      <c r="E4" s="168" t="str">
        <f>Time!E$85</f>
        <v>Financial Year Ending</v>
      </c>
      <c r="F4" s="168"/>
      <c r="G4" s="168"/>
      <c r="H4" s="164"/>
      <c r="I4" s="164"/>
      <c r="J4" s="165">
        <f>Time!J$85</f>
        <v>2016</v>
      </c>
      <c r="K4" s="165">
        <f>Time!K$85</f>
        <v>2017</v>
      </c>
      <c r="L4" s="165">
        <f>Time!L$85</f>
        <v>2018</v>
      </c>
      <c r="M4" s="165">
        <f>Time!M$85</f>
        <v>2019</v>
      </c>
      <c r="N4" s="165">
        <f>Time!N$85</f>
        <v>2020</v>
      </c>
      <c r="O4" s="165">
        <f>Time!O$85</f>
        <v>2021</v>
      </c>
      <c r="P4" s="165">
        <f>Time!P$85</f>
        <v>2022</v>
      </c>
      <c r="Q4" s="165">
        <f>Time!Q$85</f>
        <v>2023</v>
      </c>
      <c r="R4" s="165">
        <f>Time!R$85</f>
        <v>2024</v>
      </c>
      <c r="S4" s="165">
        <f>Time!S$85</f>
        <v>2025</v>
      </c>
      <c r="T4" s="165">
        <f>Time!T$85</f>
        <v>2026</v>
      </c>
    </row>
    <row r="5" spans="1:20" s="33" customFormat="1" ht="13.15" x14ac:dyDescent="0.35">
      <c r="A5" s="193"/>
      <c r="B5" s="198"/>
      <c r="C5" s="199"/>
      <c r="D5" s="200"/>
      <c r="E5" s="168" t="str">
        <f>Time!E$10</f>
        <v>Model column counter</v>
      </c>
      <c r="F5" s="193" t="s">
        <v>84</v>
      </c>
      <c r="G5" s="193" t="s">
        <v>85</v>
      </c>
      <c r="H5" s="23" t="s">
        <v>86</v>
      </c>
      <c r="I5" s="28"/>
      <c r="J5" s="28">
        <f>Time!J$10</f>
        <v>1</v>
      </c>
      <c r="K5" s="28">
        <f>Time!K$10</f>
        <v>2</v>
      </c>
      <c r="L5" s="28">
        <f>Time!L$10</f>
        <v>3</v>
      </c>
      <c r="M5" s="28">
        <f>Time!M$10</f>
        <v>4</v>
      </c>
      <c r="N5" s="28">
        <f>Time!N$10</f>
        <v>5</v>
      </c>
      <c r="O5" s="28">
        <f>Time!O$10</f>
        <v>6</v>
      </c>
      <c r="P5" s="28">
        <f>Time!P$10</f>
        <v>7</v>
      </c>
      <c r="Q5" s="28">
        <f>Time!Q$10</f>
        <v>8</v>
      </c>
      <c r="R5" s="28">
        <f>Time!R$10</f>
        <v>9</v>
      </c>
      <c r="S5" s="28">
        <f>Time!S$10</f>
        <v>10</v>
      </c>
      <c r="T5" s="28">
        <f>Time!T$10</f>
        <v>11</v>
      </c>
    </row>
    <row r="6" spans="1:20" s="33" customFormat="1" ht="13.15" x14ac:dyDescent="0.35">
      <c r="A6" s="193"/>
      <c r="B6" s="198"/>
      <c r="C6" s="199"/>
      <c r="D6" s="200"/>
      <c r="E6" s="168"/>
      <c r="F6" s="193"/>
      <c r="G6" s="193"/>
      <c r="H6" s="23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9" customFormat="1" ht="13.15" x14ac:dyDescent="0.35">
      <c r="A7" s="224" t="s">
        <v>95</v>
      </c>
      <c r="B7" s="175"/>
      <c r="C7" s="175"/>
      <c r="D7" s="175"/>
      <c r="E7" s="176"/>
      <c r="F7" s="87"/>
      <c r="G7" s="96"/>
      <c r="H7" s="97"/>
      <c r="I7" s="89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ht="13.15" x14ac:dyDescent="0.35">
      <c r="B8" s="127"/>
      <c r="E8" s="121"/>
    </row>
    <row r="9" spans="1:20" s="227" customFormat="1" ht="13.15" x14ac:dyDescent="0.35">
      <c r="A9" s="228"/>
      <c r="B9" s="229" t="s">
        <v>202</v>
      </c>
      <c r="C9" s="230"/>
    </row>
    <row r="10" spans="1:20" s="233" customFormat="1" ht="13.15" x14ac:dyDescent="0.35">
      <c r="A10" s="231"/>
      <c r="B10" s="232"/>
      <c r="E10" s="233" t="str">
        <f>'Abatements and deferrals'!E111</f>
        <v>Water resources</v>
      </c>
      <c r="G10" s="233" t="str">
        <f>'Abatements and deferrals'!G111</f>
        <v>£m (2017-18 prices)</v>
      </c>
      <c r="H10" s="233">
        <f>'Abatements and deferrals'!H111</f>
        <v>0</v>
      </c>
    </row>
    <row r="11" spans="1:20" s="227" customFormat="1" ht="13.15" x14ac:dyDescent="0.35">
      <c r="A11" s="228"/>
      <c r="B11" s="229"/>
      <c r="C11" s="230"/>
      <c r="E11" s="233" t="str">
        <f>'Abatements and deferrals'!E112</f>
        <v>Water network plus</v>
      </c>
      <c r="F11" s="233"/>
      <c r="G11" s="233" t="str">
        <f>'Abatements and deferrals'!G112</f>
        <v>£m (2017-18 prices)</v>
      </c>
      <c r="H11" s="233">
        <f>'Abatements and deferrals'!H112</f>
        <v>0</v>
      </c>
    </row>
    <row r="12" spans="1:20" s="227" customFormat="1" ht="13.15" x14ac:dyDescent="0.35">
      <c r="A12" s="228"/>
      <c r="B12" s="229"/>
      <c r="C12" s="230"/>
      <c r="E12" s="233" t="str">
        <f>'Abatements and deferrals'!E113</f>
        <v>Wastewater network plus</v>
      </c>
      <c r="F12" s="233"/>
      <c r="G12" s="233" t="str">
        <f>'Abatements and deferrals'!G113</f>
        <v>£m (2017-18 prices)</v>
      </c>
      <c r="H12" s="233">
        <f>'Abatements and deferrals'!H113</f>
        <v>0</v>
      </c>
    </row>
    <row r="13" spans="1:20" s="227" customFormat="1" ht="13.15" x14ac:dyDescent="0.35">
      <c r="A13" s="228"/>
      <c r="B13" s="229"/>
      <c r="C13" s="230"/>
      <c r="E13" s="233" t="str">
        <f>'Abatements and deferrals'!E114</f>
        <v>Bioresources (sludge)</v>
      </c>
      <c r="F13" s="233"/>
      <c r="G13" s="233" t="str">
        <f>'Abatements and deferrals'!G114</f>
        <v>£m (2017-18 prices)</v>
      </c>
      <c r="H13" s="233">
        <f>'Abatements and deferrals'!H114</f>
        <v>0</v>
      </c>
    </row>
    <row r="14" spans="1:20" s="227" customFormat="1" ht="13.15" x14ac:dyDescent="0.35">
      <c r="A14" s="228"/>
      <c r="B14" s="229"/>
      <c r="C14" s="230"/>
      <c r="E14" s="233" t="str">
        <f>'Abatements and deferrals'!E115</f>
        <v>Residential retail</v>
      </c>
      <c r="F14" s="233"/>
      <c r="G14" s="233" t="str">
        <f>'Abatements and deferrals'!G115</f>
        <v>£m (2017-18 prices)</v>
      </c>
      <c r="H14" s="233">
        <f>'Abatements and deferrals'!H115</f>
        <v>0</v>
      </c>
    </row>
    <row r="15" spans="1:20" s="227" customFormat="1" ht="13.15" x14ac:dyDescent="0.35">
      <c r="A15" s="228"/>
      <c r="B15" s="229"/>
      <c r="C15" s="230"/>
      <c r="E15" s="233" t="str">
        <f>'Abatements and deferrals'!E116</f>
        <v>Business retail</v>
      </c>
      <c r="F15" s="233"/>
      <c r="G15" s="233" t="str">
        <f>'Abatements and deferrals'!G116</f>
        <v>£m (2017-18 prices)</v>
      </c>
      <c r="H15" s="233">
        <f>'Abatements and deferrals'!H116</f>
        <v>0</v>
      </c>
    </row>
    <row r="16" spans="1:20" s="227" customFormat="1" ht="13.15" x14ac:dyDescent="0.35">
      <c r="A16" s="228"/>
      <c r="B16" s="229"/>
      <c r="C16" s="230"/>
      <c r="E16" s="233" t="str">
        <f>'Abatements and deferrals'!E117</f>
        <v>Dummy control</v>
      </c>
      <c r="F16" s="233"/>
      <c r="G16" s="233" t="str">
        <f>'Abatements and deferrals'!G117</f>
        <v>£m (2017-18 prices)</v>
      </c>
      <c r="H16" s="233">
        <f>'Abatements and deferrals'!H117</f>
        <v>0</v>
      </c>
    </row>
    <row r="17" spans="1:20" s="227" customFormat="1" ht="13.15" x14ac:dyDescent="0.35">
      <c r="A17" s="228"/>
      <c r="B17" s="229"/>
      <c r="C17" s="230"/>
      <c r="E17" s="233"/>
    </row>
    <row r="18" spans="1:20" s="227" customFormat="1" ht="13.15" x14ac:dyDescent="0.35">
      <c r="A18" s="228"/>
      <c r="B18" s="229"/>
      <c r="E18" s="227" t="s">
        <v>203</v>
      </c>
      <c r="F18" s="234" t="s">
        <v>79</v>
      </c>
    </row>
    <row r="19" spans="1:20" s="227" customFormat="1" ht="13.15" x14ac:dyDescent="0.35">
      <c r="A19" s="228"/>
      <c r="B19" s="229"/>
      <c r="C19" s="230"/>
      <c r="E19" s="227" t="s">
        <v>204</v>
      </c>
      <c r="G19" s="227" t="str">
        <f>VLOOKUP($F18,$E$10:$H$16,3,FALSE)</f>
        <v>£m (2017-18 prices)</v>
      </c>
      <c r="H19" s="227">
        <f>VLOOKUP($F18,$E$10:$H$16,4,FALSE)</f>
        <v>0</v>
      </c>
    </row>
    <row r="20" spans="1:20" s="227" customFormat="1" ht="13.15" x14ac:dyDescent="0.35">
      <c r="A20" s="228"/>
      <c r="B20" s="229"/>
      <c r="C20" s="230"/>
    </row>
    <row r="21" spans="1:20" s="227" customFormat="1" ht="13.15" x14ac:dyDescent="0.35">
      <c r="A21" s="228"/>
      <c r="B21" s="229" t="s">
        <v>205</v>
      </c>
      <c r="C21" s="230"/>
    </row>
    <row r="22" spans="1:20" s="227" customFormat="1" ht="13.15" x14ac:dyDescent="0.35">
      <c r="A22" s="228"/>
      <c r="B22" s="229"/>
      <c r="C22" s="230"/>
    </row>
    <row r="23" spans="1:20" s="233" customFormat="1" ht="13.15" x14ac:dyDescent="0.35">
      <c r="A23" s="231"/>
      <c r="B23" s="232"/>
      <c r="E23" s="233" t="str">
        <f xml:space="preserve"> Inputs!E$12</f>
        <v>Reporting year</v>
      </c>
      <c r="F23" s="233">
        <f xml:space="preserve"> Inputs!F$12</f>
        <v>0</v>
      </c>
      <c r="G23" s="233" t="str">
        <f xml:space="preserve"> Inputs!G$12</f>
        <v>Financial year</v>
      </c>
    </row>
    <row r="24" spans="1:20" s="227" customFormat="1" ht="13.15" x14ac:dyDescent="0.35">
      <c r="A24" s="228"/>
      <c r="B24" s="229"/>
      <c r="C24" s="230"/>
      <c r="E24" s="227" t="s">
        <v>206</v>
      </c>
      <c r="F24" s="331">
        <f>_xlfn.NUMBERVALUE(CONCATENATE(20,RIGHT(F23,2)))</f>
        <v>200</v>
      </c>
    </row>
    <row r="25" spans="1:20" s="233" customFormat="1" ht="13.15" x14ac:dyDescent="0.35">
      <c r="A25" s="231"/>
      <c r="B25" s="232"/>
      <c r="E25" s="246" t="str">
        <f xml:space="preserve"> Time!E$85</f>
        <v>Financial Year Ending</v>
      </c>
      <c r="F25" s="244">
        <f xml:space="preserve"> Time!F$85</f>
        <v>0</v>
      </c>
      <c r="G25" s="244" t="str">
        <f xml:space="preserve"> Time!G$85</f>
        <v>year #</v>
      </c>
      <c r="H25" s="244">
        <f xml:space="preserve"> Time!H$85</f>
        <v>0</v>
      </c>
      <c r="I25" s="244">
        <f xml:space="preserve"> Time!I$85</f>
        <v>0</v>
      </c>
      <c r="J25" s="330">
        <f xml:space="preserve"> Time!J$85</f>
        <v>2016</v>
      </c>
      <c r="K25" s="330">
        <f xml:space="preserve"> Time!K$85</f>
        <v>2017</v>
      </c>
      <c r="L25" s="330">
        <f xml:space="preserve"> Time!L$85</f>
        <v>2018</v>
      </c>
      <c r="M25" s="330">
        <f xml:space="preserve"> Time!M$85</f>
        <v>2019</v>
      </c>
      <c r="N25" s="330">
        <f xml:space="preserve"> Time!N$85</f>
        <v>2020</v>
      </c>
      <c r="O25" s="330">
        <f xml:space="preserve"> Time!O$85</f>
        <v>2021</v>
      </c>
      <c r="P25" s="330">
        <f xml:space="preserve"> Time!P$85</f>
        <v>2022</v>
      </c>
      <c r="Q25" s="330">
        <f xml:space="preserve"> Time!Q$85</f>
        <v>2023</v>
      </c>
      <c r="R25" s="330">
        <f xml:space="preserve"> Time!R$85</f>
        <v>2024</v>
      </c>
      <c r="S25" s="330">
        <f xml:space="preserve"> Time!S$85</f>
        <v>2025</v>
      </c>
      <c r="T25" s="330">
        <f xml:space="preserve"> Time!T$85</f>
        <v>2026</v>
      </c>
    </row>
    <row r="26" spans="1:20" s="227" customFormat="1" ht="13.15" x14ac:dyDescent="0.35">
      <c r="A26" s="228"/>
      <c r="B26" s="229"/>
      <c r="C26" s="230"/>
      <c r="E26" s="227" t="s">
        <v>207</v>
      </c>
      <c r="G26" s="227" t="s">
        <v>158</v>
      </c>
      <c r="J26" s="245">
        <f xml:space="preserve"> IF( J25 = $F24, 1, 0 )</f>
        <v>0</v>
      </c>
      <c r="K26" s="245">
        <f t="shared" ref="K26:T26" si="0" xml:space="preserve"> IF( K25 = $F24, 1, 0 )</f>
        <v>0</v>
      </c>
      <c r="L26" s="245">
        <f t="shared" si="0"/>
        <v>0</v>
      </c>
      <c r="M26" s="245">
        <f t="shared" si="0"/>
        <v>0</v>
      </c>
      <c r="N26" s="245">
        <f t="shared" si="0"/>
        <v>0</v>
      </c>
      <c r="O26" s="245">
        <f t="shared" si="0"/>
        <v>0</v>
      </c>
      <c r="P26" s="245">
        <f t="shared" si="0"/>
        <v>0</v>
      </c>
      <c r="Q26" s="245">
        <f t="shared" si="0"/>
        <v>0</v>
      </c>
      <c r="R26" s="245">
        <f t="shared" si="0"/>
        <v>0</v>
      </c>
      <c r="S26" s="245">
        <f t="shared" si="0"/>
        <v>0</v>
      </c>
      <c r="T26" s="245">
        <f t="shared" si="0"/>
        <v>0</v>
      </c>
    </row>
    <row r="27" spans="1:20" s="227" customFormat="1" ht="13.15" x14ac:dyDescent="0.35">
      <c r="A27" s="228"/>
      <c r="B27" s="229"/>
      <c r="C27" s="230"/>
      <c r="E27" s="227" t="s">
        <v>208</v>
      </c>
      <c r="G27" s="227" t="s">
        <v>158</v>
      </c>
      <c r="J27" s="245">
        <f xml:space="preserve"> IF( H26 = 1, 1, 0 )</f>
        <v>0</v>
      </c>
      <c r="K27" s="245">
        <f t="shared" ref="K27:T27" si="1" xml:space="preserve"> IF( I26 = 1, 1, 0 )</f>
        <v>0</v>
      </c>
      <c r="L27" s="245">
        <f t="shared" si="1"/>
        <v>0</v>
      </c>
      <c r="M27" s="245">
        <f t="shared" si="1"/>
        <v>0</v>
      </c>
      <c r="N27" s="245">
        <f t="shared" si="1"/>
        <v>0</v>
      </c>
      <c r="O27" s="245">
        <f t="shared" si="1"/>
        <v>0</v>
      </c>
      <c r="P27" s="245">
        <f t="shared" si="1"/>
        <v>0</v>
      </c>
      <c r="Q27" s="245">
        <f t="shared" si="1"/>
        <v>0</v>
      </c>
      <c r="R27" s="245">
        <f t="shared" si="1"/>
        <v>0</v>
      </c>
      <c r="S27" s="245">
        <f t="shared" si="1"/>
        <v>0</v>
      </c>
      <c r="T27" s="245">
        <f t="shared" si="1"/>
        <v>0</v>
      </c>
    </row>
    <row r="28" spans="1:20" s="227" customFormat="1" ht="13.15" x14ac:dyDescent="0.35">
      <c r="A28" s="228"/>
      <c r="B28" s="229"/>
      <c r="C28" s="230"/>
    </row>
    <row r="29" spans="1:20" s="227" customFormat="1" ht="13.15" x14ac:dyDescent="0.35">
      <c r="A29" s="228"/>
      <c r="B29" s="229"/>
      <c r="C29" s="230"/>
      <c r="E29" s="227" t="str">
        <f xml:space="preserve"> E19</f>
        <v>ODI payments for this price control</v>
      </c>
      <c r="G29" s="227" t="str">
        <f xml:space="preserve"> G19</f>
        <v>£m (2017-18 prices)</v>
      </c>
      <c r="J29" s="227">
        <f xml:space="preserve"> IF( J27 = 1, $H19, 0 )</f>
        <v>0</v>
      </c>
      <c r="K29" s="227">
        <f t="shared" ref="K29:T29" si="2" xml:space="preserve"> IF( K27 = 1, $H19, 0 )</f>
        <v>0</v>
      </c>
      <c r="L29" s="227">
        <f t="shared" si="2"/>
        <v>0</v>
      </c>
      <c r="M29" s="227">
        <f t="shared" si="2"/>
        <v>0</v>
      </c>
      <c r="N29" s="227">
        <f t="shared" si="2"/>
        <v>0</v>
      </c>
      <c r="O29" s="227">
        <f t="shared" si="2"/>
        <v>0</v>
      </c>
      <c r="P29" s="227">
        <f t="shared" si="2"/>
        <v>0</v>
      </c>
      <c r="Q29" s="227">
        <f t="shared" si="2"/>
        <v>0</v>
      </c>
      <c r="R29" s="227">
        <f t="shared" si="2"/>
        <v>0</v>
      </c>
      <c r="S29" s="227">
        <f t="shared" si="2"/>
        <v>0</v>
      </c>
      <c r="T29" s="227">
        <f t="shared" si="2"/>
        <v>0</v>
      </c>
    </row>
    <row r="30" spans="1:20" ht="13.15" x14ac:dyDescent="0.35">
      <c r="B30" s="127"/>
      <c r="E30" s="121"/>
    </row>
    <row r="31" spans="1:20" s="9" customFormat="1" ht="13.15" x14ac:dyDescent="0.35">
      <c r="A31" s="84" t="s">
        <v>209</v>
      </c>
      <c r="B31" s="175"/>
      <c r="C31" s="175"/>
      <c r="D31" s="175"/>
      <c r="E31" s="176"/>
      <c r="F31" s="87"/>
      <c r="G31" s="96"/>
      <c r="H31" s="97"/>
      <c r="I31" s="89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1:20" ht="13.15" x14ac:dyDescent="0.35">
      <c r="B32" s="127"/>
      <c r="E32" s="121"/>
    </row>
    <row r="33" spans="1:20" ht="13.15" x14ac:dyDescent="0.35">
      <c r="B33" s="127" t="s">
        <v>211</v>
      </c>
      <c r="E33" s="121"/>
    </row>
    <row r="34" spans="1:20" s="117" customFormat="1" ht="13.15" x14ac:dyDescent="0.35">
      <c r="A34" s="132"/>
      <c r="B34" s="127"/>
      <c r="C34" s="133"/>
      <c r="E34" s="291" t="str">
        <f t="shared" ref="E34:T34" si="3" xml:space="preserve"> E$29</f>
        <v>ODI payments for this price control</v>
      </c>
      <c r="F34" s="291">
        <f t="shared" si="3"/>
        <v>0</v>
      </c>
      <c r="G34" s="291" t="str">
        <f t="shared" si="3"/>
        <v>£m (2017-18 prices)</v>
      </c>
      <c r="H34" s="291">
        <f t="shared" si="3"/>
        <v>0</v>
      </c>
      <c r="I34" s="291">
        <f t="shared" si="3"/>
        <v>0</v>
      </c>
      <c r="J34" s="291">
        <f t="shared" si="3"/>
        <v>0</v>
      </c>
      <c r="K34" s="291">
        <f t="shared" si="3"/>
        <v>0</v>
      </c>
      <c r="L34" s="291">
        <f t="shared" si="3"/>
        <v>0</v>
      </c>
      <c r="M34" s="291">
        <f t="shared" si="3"/>
        <v>0</v>
      </c>
      <c r="N34" s="291">
        <f t="shared" si="3"/>
        <v>0</v>
      </c>
      <c r="O34" s="291">
        <f t="shared" si="3"/>
        <v>0</v>
      </c>
      <c r="P34" s="291">
        <f t="shared" si="3"/>
        <v>0</v>
      </c>
      <c r="Q34" s="291">
        <f t="shared" si="3"/>
        <v>0</v>
      </c>
      <c r="R34" s="291">
        <f t="shared" si="3"/>
        <v>0</v>
      </c>
      <c r="S34" s="291">
        <f t="shared" si="3"/>
        <v>0</v>
      </c>
      <c r="T34" s="291">
        <f t="shared" si="3"/>
        <v>0</v>
      </c>
    </row>
    <row r="35" spans="1:20" s="114" customFormat="1" ht="13.15" x14ac:dyDescent="0.35">
      <c r="A35" s="122"/>
      <c r="B35" s="123"/>
      <c r="C35" s="124"/>
      <c r="D35" s="91"/>
      <c r="E35" s="290" t="str">
        <f xml:space="preserve"> Index!E$13</f>
        <v>Cumulative inflation factor</v>
      </c>
      <c r="F35" s="290">
        <f xml:space="preserve"> Index!F$13</f>
        <v>0</v>
      </c>
      <c r="G35" s="290" t="str">
        <f xml:space="preserve"> Index!G$13</f>
        <v>Percentage</v>
      </c>
      <c r="H35" s="290">
        <f xml:space="preserve"> Index!H$13</f>
        <v>0</v>
      </c>
      <c r="I35" s="290">
        <f xml:space="preserve"> Index!I$13</f>
        <v>0</v>
      </c>
      <c r="J35" s="248">
        <f xml:space="preserve"> Index!J$13</f>
        <v>0</v>
      </c>
      <c r="K35" s="248">
        <f xml:space="preserve"> Index!K$13</f>
        <v>0</v>
      </c>
      <c r="L35" s="248">
        <f xml:space="preserve"> Index!L$13</f>
        <v>1</v>
      </c>
      <c r="M35" s="248">
        <f xml:space="preserve"> Index!M$13</f>
        <v>1.0333944954128442</v>
      </c>
      <c r="N35" s="248">
        <f xml:space="preserve"> Index!N$13</f>
        <v>1.0333944954128442</v>
      </c>
      <c r="O35" s="248">
        <f xml:space="preserve"> Index!O$13</f>
        <v>1.0333944954128442</v>
      </c>
      <c r="P35" s="248">
        <f xml:space="preserve"> Index!P$13</f>
        <v>1.0333944954128442</v>
      </c>
      <c r="Q35" s="248">
        <f xml:space="preserve"> Index!Q$13</f>
        <v>1.0333944954128442</v>
      </c>
      <c r="R35" s="248">
        <f xml:space="preserve"> Index!R$13</f>
        <v>1.0333944954128442</v>
      </c>
      <c r="S35" s="248">
        <f xml:space="preserve"> Index!S$13</f>
        <v>1.0333944954128442</v>
      </c>
      <c r="T35" s="248">
        <f xml:space="preserve"> Index!T$13</f>
        <v>1.0333944954128442</v>
      </c>
    </row>
    <row r="36" spans="1:20" s="227" customFormat="1" ht="13.15" x14ac:dyDescent="0.35">
      <c r="A36" s="228"/>
      <c r="B36" s="229"/>
      <c r="C36" s="230"/>
      <c r="E36" s="227" t="s">
        <v>212</v>
      </c>
      <c r="G36" s="227" t="s">
        <v>117</v>
      </c>
      <c r="J36" s="227">
        <f t="shared" ref="J36:P36" si="4" xml:space="preserve"> J34 * J35</f>
        <v>0</v>
      </c>
      <c r="K36" s="227">
        <f t="shared" si="4"/>
        <v>0</v>
      </c>
      <c r="L36" s="227">
        <f t="shared" si="4"/>
        <v>0</v>
      </c>
      <c r="M36" s="227">
        <f t="shared" si="4"/>
        <v>0</v>
      </c>
      <c r="N36" s="227">
        <f t="shared" si="4"/>
        <v>0</v>
      </c>
      <c r="O36" s="227">
        <f t="shared" si="4"/>
        <v>0</v>
      </c>
      <c r="P36" s="227">
        <f t="shared" si="4"/>
        <v>0</v>
      </c>
      <c r="Q36" s="227">
        <f xml:space="preserve"> Q34 * Q35</f>
        <v>0</v>
      </c>
      <c r="R36" s="227">
        <f xml:space="preserve"> R34 * R35</f>
        <v>0</v>
      </c>
      <c r="S36" s="227">
        <f xml:space="preserve"> S34 * S35</f>
        <v>0</v>
      </c>
      <c r="T36" s="227">
        <f xml:space="preserve"> T34 * T35</f>
        <v>0</v>
      </c>
    </row>
    <row r="37" spans="1:20" ht="13.15" x14ac:dyDescent="0.35">
      <c r="B37" s="127"/>
      <c r="E37" s="121"/>
    </row>
    <row r="38" spans="1:20" ht="13.15" x14ac:dyDescent="0.35">
      <c r="B38" s="127" t="s">
        <v>213</v>
      </c>
      <c r="E38" s="121"/>
    </row>
    <row r="39" spans="1:20" s="114" customFormat="1" ht="13.15" x14ac:dyDescent="0.35">
      <c r="A39" s="122"/>
      <c r="B39" s="127"/>
      <c r="C39" s="124"/>
      <c r="D39" s="91"/>
      <c r="E39" s="290" t="str">
        <f xml:space="preserve"> Inputs!E$71</f>
        <v>Marginal tax rate</v>
      </c>
      <c r="F39" s="290">
        <f xml:space="preserve"> Inputs!F$71</f>
        <v>0</v>
      </c>
      <c r="G39" s="290" t="str">
        <f xml:space="preserve"> Inputs!G$71</f>
        <v>Percentage</v>
      </c>
      <c r="H39" s="290">
        <f xml:space="preserve"> Inputs!H$71</f>
        <v>0</v>
      </c>
      <c r="I39" s="290">
        <f xml:space="preserve"> Inputs!I$71</f>
        <v>0</v>
      </c>
      <c r="J39" s="290">
        <f xml:space="preserve"> Inputs!J$71</f>
        <v>0</v>
      </c>
      <c r="K39" s="290">
        <f xml:space="preserve"> Inputs!K$71</f>
        <v>0</v>
      </c>
      <c r="L39" s="290">
        <f xml:space="preserve"> Inputs!L$71</f>
        <v>0</v>
      </c>
      <c r="M39" s="290">
        <f xml:space="preserve"> Inputs!M$71</f>
        <v>0</v>
      </c>
      <c r="N39" s="290">
        <f xml:space="preserve"> Inputs!N$71</f>
        <v>0</v>
      </c>
      <c r="O39" s="290">
        <f xml:space="preserve"> Inputs!O$71</f>
        <v>0</v>
      </c>
      <c r="P39" s="290">
        <f xml:space="preserve"> Inputs!P$71</f>
        <v>0</v>
      </c>
      <c r="Q39" s="290">
        <f xml:space="preserve"> Inputs!Q$71</f>
        <v>0.19</v>
      </c>
      <c r="R39" s="290">
        <f xml:space="preserve"> Inputs!R$71</f>
        <v>0</v>
      </c>
      <c r="S39" s="290">
        <f xml:space="preserve"> Inputs!S$71</f>
        <v>0</v>
      </c>
      <c r="T39" s="290">
        <f xml:space="preserve"> Inputs!T$71</f>
        <v>0</v>
      </c>
    </row>
    <row r="40" spans="1:20" ht="13.15" x14ac:dyDescent="0.35">
      <c r="B40" s="127"/>
      <c r="E40" s="121" t="s">
        <v>214</v>
      </c>
      <c r="G40" s="117" t="s">
        <v>109</v>
      </c>
      <c r="J40" s="125">
        <f xml:space="preserve"> 1 / ( 1 - J39 ) - 1</f>
        <v>0</v>
      </c>
      <c r="K40" s="125">
        <f t="shared" ref="K40:T40" si="5" xml:space="preserve"> 1 / ( 1 - K39 ) - 1</f>
        <v>0</v>
      </c>
      <c r="L40" s="125">
        <f t="shared" si="5"/>
        <v>0</v>
      </c>
      <c r="M40" s="125">
        <f t="shared" si="5"/>
        <v>0</v>
      </c>
      <c r="N40" s="125">
        <f t="shared" si="5"/>
        <v>0</v>
      </c>
      <c r="O40" s="125">
        <f t="shared" si="5"/>
        <v>0</v>
      </c>
      <c r="P40" s="125">
        <f t="shared" si="5"/>
        <v>0</v>
      </c>
      <c r="Q40" s="125">
        <f t="shared" si="5"/>
        <v>0.23456790123456783</v>
      </c>
      <c r="R40" s="125">
        <f t="shared" si="5"/>
        <v>0</v>
      </c>
      <c r="S40" s="125">
        <f t="shared" si="5"/>
        <v>0</v>
      </c>
      <c r="T40" s="125">
        <f t="shared" si="5"/>
        <v>0</v>
      </c>
    </row>
    <row r="41" spans="1:20" ht="13.15" x14ac:dyDescent="0.35">
      <c r="B41" s="127"/>
      <c r="E41" s="121"/>
    </row>
    <row r="42" spans="1:20" s="227" customFormat="1" ht="13.15" x14ac:dyDescent="0.35">
      <c r="A42" s="228"/>
      <c r="B42" s="229"/>
      <c r="C42" s="230"/>
      <c r="E42" s="227" t="str">
        <f xml:space="preserve"> E$36</f>
        <v>ODI value nominal prices</v>
      </c>
      <c r="G42" s="227" t="str">
        <f xml:space="preserve"> G$36</f>
        <v>£m (nominal)</v>
      </c>
      <c r="H42" s="227">
        <f t="shared" ref="H42:T42" si="6" xml:space="preserve"> H$36</f>
        <v>0</v>
      </c>
      <c r="I42" s="227">
        <f t="shared" si="6"/>
        <v>0</v>
      </c>
      <c r="J42" s="227">
        <f t="shared" si="6"/>
        <v>0</v>
      </c>
      <c r="K42" s="227">
        <f t="shared" si="6"/>
        <v>0</v>
      </c>
      <c r="L42" s="227">
        <f t="shared" si="6"/>
        <v>0</v>
      </c>
      <c r="M42" s="227">
        <f t="shared" si="6"/>
        <v>0</v>
      </c>
      <c r="N42" s="227">
        <f t="shared" si="6"/>
        <v>0</v>
      </c>
      <c r="O42" s="227">
        <f t="shared" si="6"/>
        <v>0</v>
      </c>
      <c r="P42" s="227">
        <f t="shared" si="6"/>
        <v>0</v>
      </c>
      <c r="Q42" s="227">
        <f t="shared" si="6"/>
        <v>0</v>
      </c>
      <c r="R42" s="227">
        <f t="shared" si="6"/>
        <v>0</v>
      </c>
      <c r="S42" s="227">
        <f t="shared" si="6"/>
        <v>0</v>
      </c>
      <c r="T42" s="227">
        <f t="shared" si="6"/>
        <v>0</v>
      </c>
    </row>
    <row r="43" spans="1:20" s="276" customFormat="1" ht="13.15" x14ac:dyDescent="0.35">
      <c r="A43" s="281"/>
      <c r="B43" s="282"/>
      <c r="E43" s="276" t="str">
        <f xml:space="preserve"> E$40</f>
        <v>Tax on Tax geometric uplift</v>
      </c>
      <c r="F43" s="276">
        <f t="shared" ref="F43:T43" si="7" xml:space="preserve"> F$40</f>
        <v>0</v>
      </c>
      <c r="G43" s="276" t="str">
        <f t="shared" si="7"/>
        <v>Percentage</v>
      </c>
      <c r="H43" s="276">
        <f t="shared" si="7"/>
        <v>0</v>
      </c>
      <c r="I43" s="276">
        <f t="shared" si="7"/>
        <v>0</v>
      </c>
      <c r="J43" s="276">
        <f t="shared" si="7"/>
        <v>0</v>
      </c>
      <c r="K43" s="276">
        <f t="shared" si="7"/>
        <v>0</v>
      </c>
      <c r="L43" s="276">
        <f t="shared" si="7"/>
        <v>0</v>
      </c>
      <c r="M43" s="276">
        <f t="shared" si="7"/>
        <v>0</v>
      </c>
      <c r="N43" s="276">
        <f t="shared" si="7"/>
        <v>0</v>
      </c>
      <c r="O43" s="276">
        <f t="shared" si="7"/>
        <v>0</v>
      </c>
      <c r="P43" s="276">
        <f t="shared" si="7"/>
        <v>0</v>
      </c>
      <c r="Q43" s="276">
        <f t="shared" si="7"/>
        <v>0.23456790123456783</v>
      </c>
      <c r="R43" s="276">
        <f t="shared" si="7"/>
        <v>0</v>
      </c>
      <c r="S43" s="276">
        <f t="shared" si="7"/>
        <v>0</v>
      </c>
      <c r="T43" s="276">
        <f t="shared" si="7"/>
        <v>0</v>
      </c>
    </row>
    <row r="44" spans="1:20" s="227" customFormat="1" ht="13.15" x14ac:dyDescent="0.35">
      <c r="A44" s="228"/>
      <c r="B44" s="229"/>
      <c r="C44" s="230"/>
      <c r="E44" s="227" t="s">
        <v>215</v>
      </c>
      <c r="G44" s="227" t="s">
        <v>117</v>
      </c>
      <c r="H44" s="227">
        <f xml:space="preserve"> SUM( J44:T44 )</f>
        <v>0</v>
      </c>
      <c r="J44" s="227">
        <f t="shared" ref="J44:T44" si="8" xml:space="preserve"> J42 * J43</f>
        <v>0</v>
      </c>
      <c r="K44" s="227">
        <f t="shared" si="8"/>
        <v>0</v>
      </c>
      <c r="L44" s="227">
        <f t="shared" si="8"/>
        <v>0</v>
      </c>
      <c r="M44" s="227">
        <f t="shared" si="8"/>
        <v>0</v>
      </c>
      <c r="N44" s="227">
        <f t="shared" si="8"/>
        <v>0</v>
      </c>
      <c r="O44" s="227">
        <f t="shared" si="8"/>
        <v>0</v>
      </c>
      <c r="P44" s="227">
        <f t="shared" si="8"/>
        <v>0</v>
      </c>
      <c r="Q44" s="227">
        <f t="shared" si="8"/>
        <v>0</v>
      </c>
      <c r="R44" s="227">
        <f t="shared" si="8"/>
        <v>0</v>
      </c>
      <c r="S44" s="227">
        <f t="shared" si="8"/>
        <v>0</v>
      </c>
      <c r="T44" s="227">
        <f t="shared" si="8"/>
        <v>0</v>
      </c>
    </row>
    <row r="45" spans="1:20" s="227" customFormat="1" ht="13.15" x14ac:dyDescent="0.35">
      <c r="A45" s="228"/>
      <c r="B45" s="229"/>
      <c r="C45" s="230"/>
    </row>
    <row r="46" spans="1:20" s="227" customFormat="1" ht="13.15" x14ac:dyDescent="0.35">
      <c r="A46" s="228"/>
      <c r="B46" s="229"/>
      <c r="C46" s="230"/>
      <c r="E46" s="227" t="str">
        <f xml:space="preserve"> E$36</f>
        <v>ODI value nominal prices</v>
      </c>
      <c r="F46" s="227">
        <f t="shared" ref="F46:T46" si="9" xml:space="preserve"> F$36</f>
        <v>0</v>
      </c>
      <c r="G46" s="227" t="str">
        <f t="shared" si="9"/>
        <v>£m (nominal)</v>
      </c>
      <c r="H46" s="227">
        <f t="shared" si="9"/>
        <v>0</v>
      </c>
      <c r="I46" s="227">
        <f t="shared" si="9"/>
        <v>0</v>
      </c>
      <c r="J46" s="227">
        <f t="shared" si="9"/>
        <v>0</v>
      </c>
      <c r="K46" s="227">
        <f t="shared" si="9"/>
        <v>0</v>
      </c>
      <c r="L46" s="227">
        <f t="shared" si="9"/>
        <v>0</v>
      </c>
      <c r="M46" s="227">
        <f t="shared" si="9"/>
        <v>0</v>
      </c>
      <c r="N46" s="227">
        <f t="shared" si="9"/>
        <v>0</v>
      </c>
      <c r="O46" s="227">
        <f t="shared" si="9"/>
        <v>0</v>
      </c>
      <c r="P46" s="227">
        <f t="shared" si="9"/>
        <v>0</v>
      </c>
      <c r="Q46" s="227">
        <f t="shared" si="9"/>
        <v>0</v>
      </c>
      <c r="R46" s="227">
        <f t="shared" si="9"/>
        <v>0</v>
      </c>
      <c r="S46" s="227">
        <f t="shared" si="9"/>
        <v>0</v>
      </c>
      <c r="T46" s="227">
        <f t="shared" si="9"/>
        <v>0</v>
      </c>
    </row>
    <row r="47" spans="1:20" s="227" customFormat="1" ht="13.15" x14ac:dyDescent="0.35">
      <c r="A47" s="228"/>
      <c r="B47" s="229"/>
      <c r="C47" s="230"/>
      <c r="E47" s="227" t="str">
        <f xml:space="preserve"> E$44</f>
        <v>Tax on nominal ODI</v>
      </c>
      <c r="F47" s="227">
        <f t="shared" ref="F47:T47" si="10" xml:space="preserve"> F$44</f>
        <v>0</v>
      </c>
      <c r="G47" s="227" t="str">
        <f t="shared" si="10"/>
        <v>£m (nominal)</v>
      </c>
      <c r="H47" s="227">
        <f t="shared" si="10"/>
        <v>0</v>
      </c>
      <c r="I47" s="227">
        <f t="shared" si="10"/>
        <v>0</v>
      </c>
      <c r="J47" s="227">
        <f t="shared" si="10"/>
        <v>0</v>
      </c>
      <c r="K47" s="227">
        <f t="shared" si="10"/>
        <v>0</v>
      </c>
      <c r="L47" s="227">
        <f t="shared" si="10"/>
        <v>0</v>
      </c>
      <c r="M47" s="227">
        <f t="shared" si="10"/>
        <v>0</v>
      </c>
      <c r="N47" s="227">
        <f t="shared" si="10"/>
        <v>0</v>
      </c>
      <c r="O47" s="227">
        <f t="shared" si="10"/>
        <v>0</v>
      </c>
      <c r="P47" s="227">
        <f t="shared" si="10"/>
        <v>0</v>
      </c>
      <c r="Q47" s="227">
        <f t="shared" si="10"/>
        <v>0</v>
      </c>
      <c r="R47" s="227">
        <f t="shared" si="10"/>
        <v>0</v>
      </c>
      <c r="S47" s="227">
        <f t="shared" si="10"/>
        <v>0</v>
      </c>
      <c r="T47" s="227">
        <f t="shared" si="10"/>
        <v>0</v>
      </c>
    </row>
    <row r="48" spans="1:20" s="227" customFormat="1" ht="13.15" x14ac:dyDescent="0.35">
      <c r="A48" s="228"/>
      <c r="B48" s="229"/>
      <c r="C48" s="230"/>
      <c r="E48" s="227" t="s">
        <v>216</v>
      </c>
      <c r="G48" s="227" t="s">
        <v>117</v>
      </c>
      <c r="H48" s="227">
        <f xml:space="preserve"> SUM( J48:T48 )</f>
        <v>0</v>
      </c>
      <c r="J48" s="235">
        <f xml:space="preserve"> J46 + J47</f>
        <v>0</v>
      </c>
      <c r="K48" s="235">
        <f t="shared" ref="K48:T48" si="11" xml:space="preserve"> K46 + K47</f>
        <v>0</v>
      </c>
      <c r="L48" s="235">
        <f t="shared" si="11"/>
        <v>0</v>
      </c>
      <c r="M48" s="235">
        <f t="shared" si="11"/>
        <v>0</v>
      </c>
      <c r="N48" s="235">
        <f t="shared" si="11"/>
        <v>0</v>
      </c>
      <c r="O48" s="235">
        <f t="shared" si="11"/>
        <v>0</v>
      </c>
      <c r="P48" s="235">
        <f t="shared" si="11"/>
        <v>0</v>
      </c>
      <c r="Q48" s="235">
        <f t="shared" si="11"/>
        <v>0</v>
      </c>
      <c r="R48" s="235">
        <f t="shared" si="11"/>
        <v>0</v>
      </c>
      <c r="S48" s="235">
        <f t="shared" si="11"/>
        <v>0</v>
      </c>
      <c r="T48" s="235">
        <f t="shared" si="11"/>
        <v>0</v>
      </c>
    </row>
    <row r="49" spans="1:20" ht="13.15" x14ac:dyDescent="0.35">
      <c r="B49" s="127"/>
      <c r="E49" s="121"/>
      <c r="H49" s="117"/>
      <c r="I49" s="117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</row>
    <row r="50" spans="1:20" ht="13.15" x14ac:dyDescent="0.35">
      <c r="B50" s="127" t="s">
        <v>245</v>
      </c>
      <c r="E50" s="121"/>
      <c r="H50" s="117"/>
      <c r="I50" s="117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</row>
    <row r="51" spans="1:20" s="227" customFormat="1" ht="13.15" x14ac:dyDescent="0.35">
      <c r="A51" s="228"/>
      <c r="B51" s="229"/>
      <c r="C51" s="230"/>
      <c r="E51" s="227" t="str">
        <f>E48</f>
        <v xml:space="preserve">Total value of ODI </v>
      </c>
      <c r="G51" s="227" t="str">
        <f t="shared" ref="G51" si="12">G48</f>
        <v>£m (nominal)</v>
      </c>
      <c r="J51" s="227">
        <f t="shared" ref="J51:T51" si="13">J48</f>
        <v>0</v>
      </c>
      <c r="K51" s="227">
        <f t="shared" si="13"/>
        <v>0</v>
      </c>
      <c r="L51" s="227">
        <f t="shared" si="13"/>
        <v>0</v>
      </c>
      <c r="M51" s="227">
        <f t="shared" si="13"/>
        <v>0</v>
      </c>
      <c r="N51" s="227">
        <f t="shared" si="13"/>
        <v>0</v>
      </c>
      <c r="O51" s="227">
        <f t="shared" si="13"/>
        <v>0</v>
      </c>
      <c r="P51" s="227">
        <f t="shared" si="13"/>
        <v>0</v>
      </c>
      <c r="Q51" s="227">
        <f t="shared" si="13"/>
        <v>0</v>
      </c>
      <c r="R51" s="227">
        <f t="shared" si="13"/>
        <v>0</v>
      </c>
      <c r="S51" s="227">
        <f t="shared" si="13"/>
        <v>0</v>
      </c>
      <c r="T51" s="227">
        <f t="shared" si="13"/>
        <v>0</v>
      </c>
    </row>
    <row r="52" spans="1:20" s="222" customFormat="1" ht="13.15" x14ac:dyDescent="0.35">
      <c r="A52" s="292"/>
      <c r="B52" s="293"/>
      <c r="E52" s="222" t="str">
        <f>Index!E13</f>
        <v>Cumulative inflation factor</v>
      </c>
      <c r="G52" s="222" t="str">
        <f>Index!G13</f>
        <v>Percentage</v>
      </c>
      <c r="J52" s="222">
        <f>Index!J13</f>
        <v>0</v>
      </c>
      <c r="K52" s="222">
        <f>Index!K13</f>
        <v>0</v>
      </c>
      <c r="L52" s="222">
        <f>Index!L13</f>
        <v>1</v>
      </c>
      <c r="M52" s="222">
        <f>Index!M13</f>
        <v>1.0333944954128442</v>
      </c>
      <c r="N52" s="222">
        <f>Index!N13</f>
        <v>1.0333944954128442</v>
      </c>
      <c r="O52" s="222">
        <f>Index!O13</f>
        <v>1.0333944954128442</v>
      </c>
      <c r="P52" s="222">
        <f>Index!P13</f>
        <v>1.0333944954128442</v>
      </c>
      <c r="Q52" s="222">
        <f>Index!Q13</f>
        <v>1.0333944954128442</v>
      </c>
      <c r="R52" s="222">
        <f>Index!R13</f>
        <v>1.0333944954128442</v>
      </c>
      <c r="S52" s="222">
        <f>Index!S13</f>
        <v>1.0333944954128442</v>
      </c>
      <c r="T52" s="222">
        <f>Index!T13</f>
        <v>1.0333944954128442</v>
      </c>
    </row>
    <row r="53" spans="1:20" s="227" customFormat="1" ht="13.15" x14ac:dyDescent="0.35">
      <c r="A53" s="228"/>
      <c r="B53" s="229"/>
      <c r="C53" s="230"/>
      <c r="E53" s="227" t="s">
        <v>246</v>
      </c>
      <c r="G53" s="227" t="str">
        <f>G19</f>
        <v>£m (2017-18 prices)</v>
      </c>
      <c r="J53" s="235">
        <f>IF(J52&lt;&gt;0,J51/J52,0)</f>
        <v>0</v>
      </c>
      <c r="K53" s="235">
        <f t="shared" ref="K53:T53" si="14">IF(K52&lt;&gt;0,K51/K52,0)</f>
        <v>0</v>
      </c>
      <c r="L53" s="235">
        <f t="shared" si="14"/>
        <v>0</v>
      </c>
      <c r="M53" s="235">
        <f t="shared" si="14"/>
        <v>0</v>
      </c>
      <c r="N53" s="235">
        <f t="shared" si="14"/>
        <v>0</v>
      </c>
      <c r="O53" s="235">
        <f>IF(O52&lt;&gt;0,O51/O52,0)</f>
        <v>0</v>
      </c>
      <c r="P53" s="235">
        <f t="shared" si="14"/>
        <v>0</v>
      </c>
      <c r="Q53" s="235">
        <f t="shared" si="14"/>
        <v>0</v>
      </c>
      <c r="R53" s="235">
        <f t="shared" si="14"/>
        <v>0</v>
      </c>
      <c r="S53" s="235">
        <f t="shared" si="14"/>
        <v>0</v>
      </c>
      <c r="T53" s="235">
        <f t="shared" si="14"/>
        <v>0</v>
      </c>
    </row>
    <row r="54" spans="1:20" s="227" customFormat="1" ht="13.15" x14ac:dyDescent="0.35">
      <c r="A54" s="228"/>
      <c r="B54" s="229"/>
      <c r="C54" s="230"/>
    </row>
    <row r="55" spans="1:20" s="227" customFormat="1" ht="13.15" x14ac:dyDescent="0.35">
      <c r="A55" s="228"/>
      <c r="B55" s="229" t="s">
        <v>222</v>
      </c>
      <c r="C55" s="230"/>
    </row>
    <row r="56" spans="1:20" s="227" customFormat="1" x14ac:dyDescent="0.35">
      <c r="A56" s="228"/>
      <c r="B56" s="236"/>
      <c r="C56" s="230"/>
      <c r="E56" s="227" t="str">
        <f>E53</f>
        <v>ODI value in original prices</v>
      </c>
      <c r="G56" s="227" t="str">
        <f>G53</f>
        <v>£m (2017-18 prices)</v>
      </c>
      <c r="J56" s="235">
        <f>J53</f>
        <v>0</v>
      </c>
      <c r="K56" s="235">
        <f t="shared" ref="K56:T56" si="15">K53</f>
        <v>0</v>
      </c>
      <c r="L56" s="235">
        <f t="shared" si="15"/>
        <v>0</v>
      </c>
      <c r="M56" s="235">
        <f t="shared" si="15"/>
        <v>0</v>
      </c>
      <c r="N56" s="235">
        <f t="shared" si="15"/>
        <v>0</v>
      </c>
      <c r="O56" s="235">
        <f t="shared" si="15"/>
        <v>0</v>
      </c>
      <c r="P56" s="235">
        <f t="shared" si="15"/>
        <v>0</v>
      </c>
      <c r="Q56" s="235">
        <f t="shared" si="15"/>
        <v>0</v>
      </c>
      <c r="R56" s="235">
        <f t="shared" si="15"/>
        <v>0</v>
      </c>
      <c r="S56" s="235">
        <f t="shared" si="15"/>
        <v>0</v>
      </c>
      <c r="T56" s="235">
        <f t="shared" si="15"/>
        <v>0</v>
      </c>
    </row>
    <row r="57" spans="1:20" s="233" customFormat="1" ht="13.15" x14ac:dyDescent="0.35">
      <c r="A57" s="231"/>
      <c r="B57" s="232"/>
      <c r="E57" s="233" t="str">
        <f>Inputs!E90</f>
        <v>Total revenue (URt in last determination)</v>
      </c>
      <c r="G57" s="233" t="str">
        <f>Inputs!$G$90</f>
        <v>£m (2017-18 prices)</v>
      </c>
      <c r="J57" s="233">
        <f>Inputs!J90</f>
        <v>0</v>
      </c>
      <c r="K57" s="233">
        <f>Inputs!K90</f>
        <v>0</v>
      </c>
      <c r="L57" s="233">
        <f>Inputs!L90</f>
        <v>0</v>
      </c>
      <c r="M57" s="233">
        <f>Inputs!M90</f>
        <v>0</v>
      </c>
      <c r="N57" s="233">
        <f>Inputs!N90</f>
        <v>0</v>
      </c>
      <c r="O57" s="233">
        <f>Inputs!O90</f>
        <v>0</v>
      </c>
      <c r="P57" s="233">
        <f>Inputs!P90</f>
        <v>0</v>
      </c>
      <c r="Q57" s="233">
        <f>Inputs!Q90</f>
        <v>0</v>
      </c>
      <c r="R57" s="233">
        <f>Inputs!R90</f>
        <v>0</v>
      </c>
      <c r="S57" s="233">
        <f>Inputs!S90</f>
        <v>0</v>
      </c>
      <c r="T57" s="233">
        <f>Inputs!T90</f>
        <v>0</v>
      </c>
    </row>
    <row r="58" spans="1:20" s="256" customFormat="1" ht="13.15" x14ac:dyDescent="0.35">
      <c r="A58" s="254"/>
      <c r="B58" s="255"/>
      <c r="E58" s="256" t="s">
        <v>247</v>
      </c>
      <c r="G58" s="256" t="str">
        <f>Inputs!$G$90</f>
        <v>£m (2017-18 prices)</v>
      </c>
      <c r="J58" s="256">
        <f>J56+J57</f>
        <v>0</v>
      </c>
      <c r="K58" s="256">
        <f t="shared" ref="K58" si="16">K56+K57</f>
        <v>0</v>
      </c>
      <c r="L58" s="256">
        <f t="shared" ref="L58:M58" si="17">L56+L57</f>
        <v>0</v>
      </c>
      <c r="M58" s="256">
        <f t="shared" si="17"/>
        <v>0</v>
      </c>
      <c r="N58" s="256">
        <f t="shared" ref="N58" si="18">N56+N57</f>
        <v>0</v>
      </c>
      <c r="O58" s="256">
        <f t="shared" ref="O58" si="19">O56+O57</f>
        <v>0</v>
      </c>
      <c r="P58" s="256">
        <f t="shared" ref="P58" si="20">P56+P57</f>
        <v>0</v>
      </c>
      <c r="Q58" s="256">
        <f>Q56+Q57</f>
        <v>0</v>
      </c>
      <c r="R58" s="256">
        <f t="shared" ref="R58:T58" si="21">R56+R57</f>
        <v>0</v>
      </c>
      <c r="S58" s="256">
        <f t="shared" si="21"/>
        <v>0</v>
      </c>
      <c r="T58" s="256">
        <f t="shared" si="21"/>
        <v>0</v>
      </c>
    </row>
    <row r="59" spans="1:20" ht="13.15" x14ac:dyDescent="0.35">
      <c r="B59" s="127"/>
      <c r="E59" s="121"/>
      <c r="H59" s="117"/>
      <c r="I59" s="117"/>
    </row>
    <row r="60" spans="1:20" ht="13.15" x14ac:dyDescent="0.35">
      <c r="A60" s="2" t="s">
        <v>83</v>
      </c>
      <c r="B60" s="203"/>
      <c r="C60" s="189"/>
      <c r="D60" s="204"/>
      <c r="E60" s="191"/>
      <c r="F60" s="191"/>
      <c r="G60" s="19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35"/>
  </sheetData>
  <conditionalFormatting sqref="J3:T3">
    <cfRule type="cellIs" dxfId="14" priority="1" operator="equal">
      <formula>"Post-Fcst"</formula>
    </cfRule>
    <cfRule type="cellIs" dxfId="13" priority="2" operator="equal">
      <formula>"Forecast"</formula>
    </cfRule>
    <cfRule type="cellIs" dxfId="12" priority="3" operator="equal">
      <formula>"Pre Fcst"</formula>
    </cfRule>
  </conditionalFormatting>
  <printOptions headings="1"/>
  <pageMargins left="0.7" right="0.7" top="0.75" bottom="0.75" header="0.3" footer="0.3"/>
  <pageSetup paperSize="9" scale="57" orientation="landscape" blackAndWhite="1" r:id="rId1"/>
  <headerFooter>
    <oddHeader xml:space="preserve">&amp;L&amp;F &amp;CSheet: &amp;A &amp;ROFFICIAL </oddHeader>
    <oddFooter xml:space="preserve">&amp;L&amp;D at &amp;T &amp;C&amp;P of &amp;N &amp;ROfwat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 summaryRight="0"/>
    <pageSetUpPr fitToPage="1"/>
  </sheetPr>
  <dimension ref="A1:T77"/>
  <sheetViews>
    <sheetView view="pageBreakPreview" zoomScale="60" zoomScaleNormal="100" workbookViewId="0">
      <pane xSplit="9" ySplit="5" topLeftCell="L45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35"/>
  <cols>
    <col min="1" max="1" width="1.625" style="126" customWidth="1"/>
    <col min="2" max="2" width="1.625" style="205" customWidth="1"/>
    <col min="3" max="3" width="1.625" style="128" customWidth="1"/>
    <col min="4" max="4" width="1.625" style="117" customWidth="1"/>
    <col min="5" max="5" width="45.625" style="117" customWidth="1"/>
    <col min="6" max="7" width="15.625" style="117" customWidth="1"/>
    <col min="8" max="8" width="15.625" style="34" customWidth="1"/>
    <col min="9" max="9" width="2.625" style="34" customWidth="1"/>
    <col min="10" max="20" width="9.625" style="34" customWidth="1"/>
    <col min="21" max="16384" width="9.625" style="34" hidden="1"/>
  </cols>
  <sheetData>
    <row r="1" spans="1:20" s="135" customFormat="1" ht="29.25" x14ac:dyDescent="0.35">
      <c r="A1" s="194" t="str">
        <f ca="1" xml:space="preserve"> RIGHT(CELL("filename", $A$1), LEN(CELL("filename", $A$1)) - SEARCH("]", CELL("filename", $A$1)))</f>
        <v>Dummy control</v>
      </c>
      <c r="B1" s="195"/>
      <c r="C1" s="196"/>
      <c r="D1" s="192"/>
      <c r="E1" s="192"/>
      <c r="F1" s="192"/>
      <c r="G1" s="192"/>
      <c r="H1" s="92">
        <f>Inputs!F9</f>
        <v>0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s="18" customFormat="1" ht="13.15" x14ac:dyDescent="0.35">
      <c r="A2" s="197"/>
      <c r="B2" s="198"/>
      <c r="C2" s="199"/>
      <c r="D2" s="200"/>
      <c r="E2" s="167" t="str">
        <f>Time!E$22</f>
        <v>Model Period END</v>
      </c>
      <c r="F2" s="167"/>
      <c r="G2" s="167"/>
      <c r="H2" s="17"/>
      <c r="I2" s="17"/>
      <c r="J2" s="17">
        <f>Time!J$22</f>
        <v>42460</v>
      </c>
      <c r="K2" s="17">
        <f>Time!K$22</f>
        <v>42825</v>
      </c>
      <c r="L2" s="17">
        <f>Time!L$22</f>
        <v>43190</v>
      </c>
      <c r="M2" s="17">
        <f>Time!M$22</f>
        <v>43555</v>
      </c>
      <c r="N2" s="17">
        <f>Time!N$22</f>
        <v>43921</v>
      </c>
      <c r="O2" s="17">
        <f>Time!O$22</f>
        <v>44286</v>
      </c>
      <c r="P2" s="17">
        <f>Time!P$22</f>
        <v>44651</v>
      </c>
      <c r="Q2" s="17">
        <f>Time!Q$22</f>
        <v>45016</v>
      </c>
      <c r="R2" s="17">
        <f>Time!R$22</f>
        <v>45382</v>
      </c>
      <c r="S2" s="17">
        <f>Time!S$22</f>
        <v>45747</v>
      </c>
      <c r="T2" s="17">
        <f>Time!T$22</f>
        <v>46112</v>
      </c>
    </row>
    <row r="3" spans="1:20" s="23" customFormat="1" ht="13.15" x14ac:dyDescent="0.35">
      <c r="A3" s="193"/>
      <c r="B3" s="198"/>
      <c r="C3" s="199"/>
      <c r="D3" s="200"/>
      <c r="E3" s="167" t="str">
        <f>Time!E$58</f>
        <v>Pre Forecast vs Forecast</v>
      </c>
      <c r="F3" s="167"/>
      <c r="G3" s="167"/>
      <c r="H3" s="17"/>
      <c r="I3" s="17"/>
      <c r="J3" s="1" t="str">
        <f>Time!J$58</f>
        <v>Pre Fcst</v>
      </c>
      <c r="K3" s="1" t="str">
        <f>Time!K$58</f>
        <v>Pre Fcst</v>
      </c>
      <c r="L3" s="1" t="str">
        <f>Time!L$58</f>
        <v>Pre Fcst</v>
      </c>
      <c r="M3" s="1" t="str">
        <f>Time!M$58</f>
        <v>Pre Fcst</v>
      </c>
      <c r="N3" s="1" t="str">
        <f>Time!N$58</f>
        <v>Pre Fcst</v>
      </c>
      <c r="O3" s="1" t="str">
        <f>Time!O$58</f>
        <v>Forecast</v>
      </c>
      <c r="P3" s="1" t="str">
        <f>Time!P$58</f>
        <v>Forecast</v>
      </c>
      <c r="Q3" s="1" t="str">
        <f>Time!Q$58</f>
        <v>Forecast</v>
      </c>
      <c r="R3" s="1" t="str">
        <f>Time!R$58</f>
        <v>Forecast</v>
      </c>
      <c r="S3" s="1" t="str">
        <f>Time!S$58</f>
        <v>Forecast</v>
      </c>
      <c r="T3" s="1" t="str">
        <f>Time!T$58</f>
        <v>Post-Fcst</v>
      </c>
    </row>
    <row r="4" spans="1:20" s="166" customFormat="1" ht="13.15" x14ac:dyDescent="0.35">
      <c r="A4" s="193"/>
      <c r="B4" s="201"/>
      <c r="C4" s="199"/>
      <c r="D4" s="202"/>
      <c r="E4" s="168" t="str">
        <f>Time!E$85</f>
        <v>Financial Year Ending</v>
      </c>
      <c r="F4" s="168"/>
      <c r="G4" s="168"/>
      <c r="H4" s="164"/>
      <c r="I4" s="164"/>
      <c r="J4" s="165">
        <f>Time!J$85</f>
        <v>2016</v>
      </c>
      <c r="K4" s="165">
        <f>Time!K$85</f>
        <v>2017</v>
      </c>
      <c r="L4" s="165">
        <f>Time!L$85</f>
        <v>2018</v>
      </c>
      <c r="M4" s="165">
        <f>Time!M$85</f>
        <v>2019</v>
      </c>
      <c r="N4" s="165">
        <f>Time!N$85</f>
        <v>2020</v>
      </c>
      <c r="O4" s="165">
        <f>Time!O$85</f>
        <v>2021</v>
      </c>
      <c r="P4" s="165">
        <f>Time!P$85</f>
        <v>2022</v>
      </c>
      <c r="Q4" s="165">
        <f>Time!Q$85</f>
        <v>2023</v>
      </c>
      <c r="R4" s="165">
        <f>Time!R$85</f>
        <v>2024</v>
      </c>
      <c r="S4" s="165">
        <f>Time!S$85</f>
        <v>2025</v>
      </c>
      <c r="T4" s="165">
        <f>Time!T$85</f>
        <v>2026</v>
      </c>
    </row>
    <row r="5" spans="1:20" s="33" customFormat="1" ht="13.15" x14ac:dyDescent="0.35">
      <c r="A5" s="193"/>
      <c r="B5" s="198"/>
      <c r="C5" s="199"/>
      <c r="D5" s="200"/>
      <c r="E5" s="168" t="str">
        <f>Time!E$10</f>
        <v>Model column counter</v>
      </c>
      <c r="F5" s="193" t="s">
        <v>84</v>
      </c>
      <c r="G5" s="193" t="s">
        <v>85</v>
      </c>
      <c r="H5" s="23" t="s">
        <v>86</v>
      </c>
      <c r="I5" s="28"/>
      <c r="J5" s="28">
        <f>Time!J$10</f>
        <v>1</v>
      </c>
      <c r="K5" s="28">
        <f>Time!K$10</f>
        <v>2</v>
      </c>
      <c r="L5" s="28">
        <f>Time!L$10</f>
        <v>3</v>
      </c>
      <c r="M5" s="28">
        <f>Time!M$10</f>
        <v>4</v>
      </c>
      <c r="N5" s="28">
        <f>Time!N$10</f>
        <v>5</v>
      </c>
      <c r="O5" s="28">
        <f>Time!O$10</f>
        <v>6</v>
      </c>
      <c r="P5" s="28">
        <f>Time!P$10</f>
        <v>7</v>
      </c>
      <c r="Q5" s="28">
        <f>Time!Q$10</f>
        <v>8</v>
      </c>
      <c r="R5" s="28">
        <f>Time!R$10</f>
        <v>9</v>
      </c>
      <c r="S5" s="28">
        <f>Time!S$10</f>
        <v>10</v>
      </c>
      <c r="T5" s="28">
        <f>Time!T$10</f>
        <v>11</v>
      </c>
    </row>
    <row r="6" spans="1:20" s="33" customFormat="1" ht="13.15" x14ac:dyDescent="0.35">
      <c r="A6" s="193"/>
      <c r="B6" s="198"/>
      <c r="C6" s="199"/>
      <c r="D6" s="200"/>
      <c r="E6" s="168"/>
      <c r="F6" s="193"/>
      <c r="G6" s="193"/>
      <c r="H6" s="23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9" customFormat="1" ht="13.15" x14ac:dyDescent="0.35">
      <c r="A7" s="224" t="s">
        <v>95</v>
      </c>
      <c r="B7" s="225"/>
      <c r="C7" s="225"/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</row>
    <row r="8" spans="1:20" ht="13.15" x14ac:dyDescent="0.35">
      <c r="A8" s="228"/>
      <c r="B8" s="229"/>
      <c r="C8" s="230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</row>
    <row r="9" spans="1:20" s="227" customFormat="1" ht="13.15" x14ac:dyDescent="0.35">
      <c r="A9" s="228"/>
      <c r="B9" s="229" t="s">
        <v>202</v>
      </c>
      <c r="C9" s="230"/>
    </row>
    <row r="10" spans="1:20" s="233" customFormat="1" ht="13.15" x14ac:dyDescent="0.35">
      <c r="A10" s="231"/>
      <c r="B10" s="232"/>
      <c r="E10" s="233" t="str">
        <f>'Abatements and deferrals'!E111</f>
        <v>Water resources</v>
      </c>
      <c r="G10" s="233" t="str">
        <f>'Abatements and deferrals'!G111</f>
        <v>£m (2017-18 prices)</v>
      </c>
      <c r="H10" s="233">
        <f>'Abatements and deferrals'!H111</f>
        <v>0</v>
      </c>
    </row>
    <row r="11" spans="1:20" s="227" customFormat="1" ht="13.15" x14ac:dyDescent="0.35">
      <c r="A11" s="228"/>
      <c r="B11" s="229"/>
      <c r="C11" s="230"/>
      <c r="E11" s="233" t="str">
        <f>'Abatements and deferrals'!E112</f>
        <v>Water network plus</v>
      </c>
      <c r="F11" s="233"/>
      <c r="G11" s="233" t="str">
        <f>'Abatements and deferrals'!G112</f>
        <v>£m (2017-18 prices)</v>
      </c>
      <c r="H11" s="233">
        <f>'Abatements and deferrals'!H112</f>
        <v>0</v>
      </c>
    </row>
    <row r="12" spans="1:20" s="227" customFormat="1" ht="13.15" x14ac:dyDescent="0.35">
      <c r="A12" s="228"/>
      <c r="B12" s="229"/>
      <c r="C12" s="230"/>
      <c r="E12" s="233" t="str">
        <f>'Abatements and deferrals'!E113</f>
        <v>Wastewater network plus</v>
      </c>
      <c r="F12" s="233"/>
      <c r="G12" s="233" t="str">
        <f>'Abatements and deferrals'!G113</f>
        <v>£m (2017-18 prices)</v>
      </c>
      <c r="H12" s="233">
        <f>'Abatements and deferrals'!H113</f>
        <v>0</v>
      </c>
    </row>
    <row r="13" spans="1:20" s="227" customFormat="1" ht="13.15" x14ac:dyDescent="0.35">
      <c r="A13" s="228"/>
      <c r="B13" s="229"/>
      <c r="C13" s="230"/>
      <c r="E13" s="233" t="str">
        <f>'Abatements and deferrals'!E114</f>
        <v>Bioresources (sludge)</v>
      </c>
      <c r="F13" s="233"/>
      <c r="G13" s="233" t="str">
        <f>'Abatements and deferrals'!G114</f>
        <v>£m (2017-18 prices)</v>
      </c>
      <c r="H13" s="233">
        <f>'Abatements and deferrals'!H114</f>
        <v>0</v>
      </c>
    </row>
    <row r="14" spans="1:20" s="227" customFormat="1" ht="13.15" x14ac:dyDescent="0.35">
      <c r="A14" s="228"/>
      <c r="B14" s="229"/>
      <c r="C14" s="230"/>
      <c r="E14" s="233" t="str">
        <f>'Abatements and deferrals'!E115</f>
        <v>Residential retail</v>
      </c>
      <c r="F14" s="233"/>
      <c r="G14" s="233" t="str">
        <f>'Abatements and deferrals'!G115</f>
        <v>£m (2017-18 prices)</v>
      </c>
      <c r="H14" s="233">
        <f>'Abatements and deferrals'!H115</f>
        <v>0</v>
      </c>
    </row>
    <row r="15" spans="1:20" s="227" customFormat="1" ht="13.15" x14ac:dyDescent="0.35">
      <c r="A15" s="228"/>
      <c r="B15" s="229"/>
      <c r="C15" s="230"/>
      <c r="E15" s="233" t="str">
        <f>'Abatements and deferrals'!E116</f>
        <v>Business retail</v>
      </c>
      <c r="F15" s="233"/>
      <c r="G15" s="233" t="str">
        <f>'Abatements and deferrals'!G116</f>
        <v>£m (2017-18 prices)</v>
      </c>
      <c r="H15" s="233">
        <f>'Abatements and deferrals'!H116</f>
        <v>0</v>
      </c>
    </row>
    <row r="16" spans="1:20" s="227" customFormat="1" ht="13.15" x14ac:dyDescent="0.35">
      <c r="A16" s="228"/>
      <c r="B16" s="229"/>
      <c r="C16" s="230"/>
      <c r="E16" s="233" t="str">
        <f>'Abatements and deferrals'!E117</f>
        <v>Dummy control</v>
      </c>
      <c r="F16" s="233"/>
      <c r="G16" s="233" t="str">
        <f>'Abatements and deferrals'!G117</f>
        <v>£m (2017-18 prices)</v>
      </c>
      <c r="H16" s="233">
        <f>'Abatements and deferrals'!H117</f>
        <v>0</v>
      </c>
    </row>
    <row r="17" spans="1:20" s="227" customFormat="1" ht="13.15" x14ac:dyDescent="0.35">
      <c r="A17" s="228"/>
      <c r="B17" s="229"/>
      <c r="C17" s="230"/>
      <c r="E17" s="233"/>
    </row>
    <row r="18" spans="1:20" s="227" customFormat="1" ht="13.15" x14ac:dyDescent="0.35">
      <c r="A18" s="228"/>
      <c r="B18" s="229"/>
      <c r="E18" s="227" t="s">
        <v>203</v>
      </c>
      <c r="F18" s="234" t="s">
        <v>81</v>
      </c>
    </row>
    <row r="19" spans="1:20" s="227" customFormat="1" ht="13.15" x14ac:dyDescent="0.35">
      <c r="A19" s="228"/>
      <c r="B19" s="229"/>
      <c r="C19" s="230"/>
      <c r="E19" s="227" t="s">
        <v>204</v>
      </c>
      <c r="G19" s="227" t="str">
        <f>VLOOKUP($F18,$E$10:$H$16,3,FALSE)</f>
        <v>£m (2017-18 prices)</v>
      </c>
      <c r="H19" s="227">
        <f>VLOOKUP($F18,$E$10:$H$16,4,FALSE)</f>
        <v>0</v>
      </c>
    </row>
    <row r="20" spans="1:20" s="227" customFormat="1" ht="13.15" x14ac:dyDescent="0.35">
      <c r="A20" s="228"/>
      <c r="B20" s="229"/>
      <c r="C20" s="230"/>
    </row>
    <row r="21" spans="1:20" s="227" customFormat="1" ht="13.15" x14ac:dyDescent="0.35">
      <c r="A21" s="228"/>
      <c r="B21" s="229" t="s">
        <v>205</v>
      </c>
      <c r="C21" s="230"/>
    </row>
    <row r="22" spans="1:20" s="227" customFormat="1" ht="13.15" x14ac:dyDescent="0.35">
      <c r="A22" s="228"/>
      <c r="B22" s="229"/>
      <c r="C22" s="230"/>
    </row>
    <row r="23" spans="1:20" s="233" customFormat="1" ht="13.15" x14ac:dyDescent="0.35">
      <c r="A23" s="231"/>
      <c r="B23" s="232"/>
      <c r="E23" s="233" t="str">
        <f xml:space="preserve"> Inputs!E$12</f>
        <v>Reporting year</v>
      </c>
      <c r="F23" s="233">
        <f xml:space="preserve"> Inputs!F$12</f>
        <v>0</v>
      </c>
      <c r="G23" s="233" t="str">
        <f xml:space="preserve"> Inputs!G$12</f>
        <v>Financial year</v>
      </c>
    </row>
    <row r="24" spans="1:20" s="227" customFormat="1" ht="13.15" x14ac:dyDescent="0.35">
      <c r="A24" s="228"/>
      <c r="B24" s="229"/>
      <c r="C24" s="230"/>
      <c r="E24" s="227" t="s">
        <v>206</v>
      </c>
      <c r="F24" s="331">
        <f>_xlfn.NUMBERVALUE(CONCATENATE(20,RIGHT(F23,2)))</f>
        <v>200</v>
      </c>
    </row>
    <row r="25" spans="1:20" s="233" customFormat="1" ht="13.15" x14ac:dyDescent="0.35">
      <c r="A25" s="231"/>
      <c r="B25" s="232"/>
      <c r="E25" s="246" t="str">
        <f xml:space="preserve"> Time!E$85</f>
        <v>Financial Year Ending</v>
      </c>
      <c r="F25" s="244">
        <f xml:space="preserve"> Time!F$85</f>
        <v>0</v>
      </c>
      <c r="G25" s="244" t="str">
        <f xml:space="preserve"> Time!G$85</f>
        <v>year #</v>
      </c>
      <c r="H25" s="244">
        <f xml:space="preserve"> Time!H$85</f>
        <v>0</v>
      </c>
      <c r="I25" s="244">
        <f xml:space="preserve"> Time!I$85</f>
        <v>0</v>
      </c>
      <c r="J25" s="330">
        <f xml:space="preserve"> Time!J$85</f>
        <v>2016</v>
      </c>
      <c r="K25" s="330">
        <f xml:space="preserve"> Time!K$85</f>
        <v>2017</v>
      </c>
      <c r="L25" s="330">
        <f xml:space="preserve"> Time!L$85</f>
        <v>2018</v>
      </c>
      <c r="M25" s="330">
        <f xml:space="preserve"> Time!M$85</f>
        <v>2019</v>
      </c>
      <c r="N25" s="330">
        <f xml:space="preserve"> Time!N$85</f>
        <v>2020</v>
      </c>
      <c r="O25" s="330">
        <f xml:space="preserve"> Time!O$85</f>
        <v>2021</v>
      </c>
      <c r="P25" s="330">
        <f xml:space="preserve"> Time!P$85</f>
        <v>2022</v>
      </c>
      <c r="Q25" s="330">
        <f xml:space="preserve"> Time!Q$85</f>
        <v>2023</v>
      </c>
      <c r="R25" s="330">
        <f xml:space="preserve"> Time!R$85</f>
        <v>2024</v>
      </c>
      <c r="S25" s="330">
        <f xml:space="preserve"> Time!S$85</f>
        <v>2025</v>
      </c>
      <c r="T25" s="330">
        <f xml:space="preserve"> Time!T$85</f>
        <v>2026</v>
      </c>
    </row>
    <row r="26" spans="1:20" s="227" customFormat="1" ht="13.15" x14ac:dyDescent="0.35">
      <c r="A26" s="228"/>
      <c r="B26" s="229"/>
      <c r="C26" s="230"/>
      <c r="E26" s="227" t="s">
        <v>207</v>
      </c>
      <c r="G26" s="227" t="s">
        <v>158</v>
      </c>
      <c r="J26" s="245">
        <f xml:space="preserve"> IF( J25 = $F24, 1, 0 )</f>
        <v>0</v>
      </c>
      <c r="K26" s="245">
        <f t="shared" ref="K26:T26" si="0" xml:space="preserve"> IF( K25 = $F24, 1, 0 )</f>
        <v>0</v>
      </c>
      <c r="L26" s="245">
        <f t="shared" si="0"/>
        <v>0</v>
      </c>
      <c r="M26" s="245">
        <f t="shared" si="0"/>
        <v>0</v>
      </c>
      <c r="N26" s="245">
        <f t="shared" si="0"/>
        <v>0</v>
      </c>
      <c r="O26" s="245">
        <f t="shared" si="0"/>
        <v>0</v>
      </c>
      <c r="P26" s="245">
        <f t="shared" si="0"/>
        <v>0</v>
      </c>
      <c r="Q26" s="245">
        <f t="shared" si="0"/>
        <v>0</v>
      </c>
      <c r="R26" s="245">
        <f t="shared" si="0"/>
        <v>0</v>
      </c>
      <c r="S26" s="245">
        <f t="shared" si="0"/>
        <v>0</v>
      </c>
      <c r="T26" s="245">
        <f t="shared" si="0"/>
        <v>0</v>
      </c>
    </row>
    <row r="27" spans="1:20" s="227" customFormat="1" ht="13.15" x14ac:dyDescent="0.35">
      <c r="A27" s="228"/>
      <c r="B27" s="229"/>
      <c r="C27" s="230"/>
      <c r="E27" s="227" t="s">
        <v>208</v>
      </c>
      <c r="G27" s="227" t="s">
        <v>158</v>
      </c>
      <c r="J27" s="245">
        <f xml:space="preserve"> IF( H26 = 1, 1, 0 )</f>
        <v>0</v>
      </c>
      <c r="K27" s="245">
        <f t="shared" ref="K27:T27" si="1" xml:space="preserve"> IF( I26 = 1, 1, 0 )</f>
        <v>0</v>
      </c>
      <c r="L27" s="245">
        <f t="shared" si="1"/>
        <v>0</v>
      </c>
      <c r="M27" s="245">
        <f t="shared" si="1"/>
        <v>0</v>
      </c>
      <c r="N27" s="245">
        <f t="shared" si="1"/>
        <v>0</v>
      </c>
      <c r="O27" s="245">
        <f t="shared" si="1"/>
        <v>0</v>
      </c>
      <c r="P27" s="245">
        <f t="shared" si="1"/>
        <v>0</v>
      </c>
      <c r="Q27" s="245">
        <f t="shared" si="1"/>
        <v>0</v>
      </c>
      <c r="R27" s="245">
        <f t="shared" si="1"/>
        <v>0</v>
      </c>
      <c r="S27" s="245">
        <f t="shared" si="1"/>
        <v>0</v>
      </c>
      <c r="T27" s="245">
        <f t="shared" si="1"/>
        <v>0</v>
      </c>
    </row>
    <row r="28" spans="1:20" s="227" customFormat="1" ht="13.15" x14ac:dyDescent="0.35">
      <c r="A28" s="228"/>
      <c r="B28" s="229"/>
      <c r="C28" s="230"/>
    </row>
    <row r="29" spans="1:20" s="227" customFormat="1" ht="13.15" x14ac:dyDescent="0.35">
      <c r="A29" s="228"/>
      <c r="B29" s="229"/>
      <c r="C29" s="230"/>
      <c r="E29" s="227" t="str">
        <f xml:space="preserve"> E19</f>
        <v>ODI payments for this price control</v>
      </c>
      <c r="G29" s="227" t="str">
        <f xml:space="preserve"> G19</f>
        <v>£m (2017-18 prices)</v>
      </c>
      <c r="J29" s="227">
        <f xml:space="preserve"> IF( J27 = 1, $H19, 0 )</f>
        <v>0</v>
      </c>
      <c r="K29" s="227">
        <f t="shared" ref="K29:T29" si="2" xml:space="preserve"> IF( K27 = 1, $H19, 0 )</f>
        <v>0</v>
      </c>
      <c r="L29" s="227">
        <f t="shared" si="2"/>
        <v>0</v>
      </c>
      <c r="M29" s="227">
        <f t="shared" si="2"/>
        <v>0</v>
      </c>
      <c r="N29" s="227">
        <f t="shared" si="2"/>
        <v>0</v>
      </c>
      <c r="O29" s="227">
        <f t="shared" si="2"/>
        <v>0</v>
      </c>
      <c r="P29" s="227">
        <f t="shared" si="2"/>
        <v>0</v>
      </c>
      <c r="Q29" s="227">
        <f t="shared" si="2"/>
        <v>0</v>
      </c>
      <c r="R29" s="227">
        <f t="shared" si="2"/>
        <v>0</v>
      </c>
      <c r="S29" s="227">
        <f t="shared" si="2"/>
        <v>0</v>
      </c>
      <c r="T29" s="227">
        <f t="shared" si="2"/>
        <v>0</v>
      </c>
    </row>
    <row r="30" spans="1:20" ht="13.15" x14ac:dyDescent="0.35">
      <c r="B30" s="127"/>
      <c r="E30" s="121"/>
    </row>
    <row r="31" spans="1:20" s="9" customFormat="1" ht="13.15" x14ac:dyDescent="0.35">
      <c r="A31" s="84" t="s">
        <v>209</v>
      </c>
      <c r="B31" s="175"/>
      <c r="C31" s="175"/>
      <c r="D31" s="175"/>
      <c r="E31" s="176"/>
      <c r="F31" s="87"/>
      <c r="G31" s="96"/>
      <c r="H31" s="97"/>
      <c r="I31" s="89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1:20" ht="13.15" x14ac:dyDescent="0.35">
      <c r="B32" s="127"/>
      <c r="E32" s="121"/>
    </row>
    <row r="33" spans="1:20" ht="13.15" x14ac:dyDescent="0.35">
      <c r="A33" s="132"/>
      <c r="B33" s="127"/>
      <c r="C33" s="133"/>
      <c r="E33" s="289" t="str">
        <f xml:space="preserve"> Inputs!E$116</f>
        <v>Allowed revenue starting point in FD</v>
      </c>
      <c r="F33" s="289">
        <f xml:space="preserve"> Inputs!F$116</f>
        <v>0</v>
      </c>
      <c r="G33" s="289" t="str">
        <f xml:space="preserve"> Inputs!G$116</f>
        <v>£m (nominal)</v>
      </c>
      <c r="H33" s="289">
        <f xml:space="preserve"> Inputs!H$116</f>
        <v>0</v>
      </c>
      <c r="I33" s="289">
        <f xml:space="preserve"> Inputs!I$116</f>
        <v>0</v>
      </c>
      <c r="J33" s="289">
        <f xml:space="preserve"> Inputs!J$116</f>
        <v>0</v>
      </c>
      <c r="K33" s="289">
        <f xml:space="preserve"> Inputs!K$116</f>
        <v>0</v>
      </c>
      <c r="L33" s="289">
        <f xml:space="preserve"> Inputs!L$116</f>
        <v>0</v>
      </c>
      <c r="M33" s="289">
        <f xml:space="preserve"> Inputs!M$116</f>
        <v>0</v>
      </c>
      <c r="N33" s="289">
        <f xml:space="preserve"> Inputs!N$116</f>
        <v>0</v>
      </c>
      <c r="O33" s="289">
        <f xml:space="preserve"> Inputs!O$116</f>
        <v>0</v>
      </c>
      <c r="P33" s="289">
        <f xml:space="preserve"> Inputs!P$116</f>
        <v>0</v>
      </c>
      <c r="Q33" s="289">
        <f xml:space="preserve"> Inputs!Q$116</f>
        <v>0</v>
      </c>
      <c r="R33" s="289">
        <f xml:space="preserve"> Inputs!R$116</f>
        <v>0</v>
      </c>
      <c r="S33" s="289">
        <f xml:space="preserve"> Inputs!S$116</f>
        <v>0</v>
      </c>
      <c r="T33" s="289">
        <f xml:space="preserve"> Inputs!T$116</f>
        <v>0</v>
      </c>
    </row>
    <row r="34" spans="1:20" ht="13.15" x14ac:dyDescent="0.35">
      <c r="A34" s="132"/>
      <c r="B34" s="127"/>
      <c r="C34" s="133"/>
      <c r="E34" s="121" t="str">
        <f>E33</f>
        <v>Allowed revenue starting point in FD</v>
      </c>
      <c r="F34" s="121"/>
      <c r="G34" s="121"/>
      <c r="H34" s="227">
        <f xml:space="preserve"> SUM( J33:T33 )</f>
        <v>0</v>
      </c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s="117" customFormat="1" ht="13.15" x14ac:dyDescent="0.35">
      <c r="A35" s="126"/>
      <c r="B35" s="127"/>
      <c r="C35" s="128"/>
      <c r="E35" s="244" t="str">
        <f xml:space="preserve"> Time!E$45</f>
        <v>1st Forecast Period Flag</v>
      </c>
      <c r="F35" s="244"/>
      <c r="G35" s="244" t="str">
        <f xml:space="preserve"> Time!G$45</f>
        <v>flag</v>
      </c>
      <c r="H35" s="244"/>
      <c r="I35" s="244"/>
      <c r="J35" s="244">
        <f xml:space="preserve"> Time!J$45</f>
        <v>0</v>
      </c>
      <c r="K35" s="244">
        <f xml:space="preserve"> Time!K$45</f>
        <v>0</v>
      </c>
      <c r="L35" s="244">
        <f xml:space="preserve"> Time!L$45</f>
        <v>0</v>
      </c>
      <c r="M35" s="244">
        <f xml:space="preserve"> Time!M$45</f>
        <v>0</v>
      </c>
      <c r="N35" s="244">
        <f xml:space="preserve"> Time!N$45</f>
        <v>0</v>
      </c>
      <c r="O35" s="244">
        <f xml:space="preserve"> Time!O$45</f>
        <v>1</v>
      </c>
      <c r="P35" s="244">
        <f xml:space="preserve"> Time!P$45</f>
        <v>0</v>
      </c>
      <c r="Q35" s="244">
        <f xml:space="preserve"> Time!Q$45</f>
        <v>0</v>
      </c>
      <c r="R35" s="244">
        <f xml:space="preserve"> Time!R$45</f>
        <v>0</v>
      </c>
      <c r="S35" s="244">
        <f xml:space="preserve"> Time!S$45</f>
        <v>0</v>
      </c>
      <c r="T35" s="244">
        <f xml:space="preserve"> Time!T$45</f>
        <v>0</v>
      </c>
    </row>
    <row r="36" spans="1:20" ht="13.15" x14ac:dyDescent="0.35">
      <c r="A36" s="132"/>
      <c r="B36" s="127"/>
      <c r="C36" s="133"/>
      <c r="E36" s="222" t="str">
        <f xml:space="preserve"> Inputs!E$117</f>
        <v>K factors (last determined)</v>
      </c>
      <c r="F36" s="222">
        <f xml:space="preserve"> Inputs!F$117</f>
        <v>0</v>
      </c>
      <c r="G36" s="222" t="str">
        <f xml:space="preserve"> Inputs!G$117</f>
        <v>Percentage</v>
      </c>
      <c r="H36" s="222">
        <f xml:space="preserve"> Inputs!H$117</f>
        <v>0</v>
      </c>
      <c r="I36" s="222">
        <f xml:space="preserve"> Inputs!I$117</f>
        <v>0</v>
      </c>
      <c r="J36" s="222">
        <f xml:space="preserve"> Inputs!J$117</f>
        <v>0</v>
      </c>
      <c r="K36" s="222">
        <f xml:space="preserve"> Inputs!K$117</f>
        <v>0</v>
      </c>
      <c r="L36" s="222">
        <f xml:space="preserve"> Inputs!L$117</f>
        <v>0</v>
      </c>
      <c r="M36" s="222">
        <f xml:space="preserve"> Inputs!M$117</f>
        <v>0</v>
      </c>
      <c r="N36" s="222">
        <f xml:space="preserve"> Inputs!N$117</f>
        <v>0</v>
      </c>
      <c r="O36" s="222">
        <f xml:space="preserve"> Inputs!O$117</f>
        <v>0</v>
      </c>
      <c r="P36" s="222">
        <f xml:space="preserve"> Inputs!P$117</f>
        <v>0</v>
      </c>
      <c r="Q36" s="222">
        <f xml:space="preserve"> Inputs!Q$117</f>
        <v>0</v>
      </c>
      <c r="R36" s="222">
        <f xml:space="preserve"> Inputs!R$117</f>
        <v>0</v>
      </c>
      <c r="S36" s="222">
        <f xml:space="preserve"> Inputs!S$117</f>
        <v>0</v>
      </c>
      <c r="T36" s="222">
        <f xml:space="preserve"> Inputs!T$117</f>
        <v>0</v>
      </c>
    </row>
    <row r="37" spans="1:20" s="114" customFormat="1" ht="13.15" x14ac:dyDescent="0.35">
      <c r="A37" s="122"/>
      <c r="B37" s="123"/>
      <c r="C37" s="124"/>
      <c r="D37" s="91"/>
      <c r="E37" s="247" t="str">
        <f xml:space="preserve"> Index!E$10</f>
        <v>Annual inflation figures</v>
      </c>
      <c r="F37" s="247">
        <f xml:space="preserve"> Index!F$10</f>
        <v>0</v>
      </c>
      <c r="G37" s="247" t="str">
        <f xml:space="preserve"> Index!G$10</f>
        <v>Percentage</v>
      </c>
      <c r="H37" s="247">
        <f xml:space="preserve"> Index!H$10</f>
        <v>0</v>
      </c>
      <c r="I37" s="247">
        <f xml:space="preserve"> Index!I$10</f>
        <v>0</v>
      </c>
      <c r="J37" s="247">
        <f xml:space="preserve"> Index!J$10</f>
        <v>0</v>
      </c>
      <c r="K37" s="247">
        <f xml:space="preserve"> Index!K$10</f>
        <v>0</v>
      </c>
      <c r="L37" s="247">
        <f xml:space="preserve"> Index!L$10</f>
        <v>3.572786012922835E-2</v>
      </c>
      <c r="M37" s="247">
        <f xml:space="preserve"> Index!M$10</f>
        <v>3.3394495412844227E-2</v>
      </c>
      <c r="N37" s="247">
        <f xml:space="preserve"> Index!N$10</f>
        <v>0</v>
      </c>
      <c r="O37" s="247">
        <f xml:space="preserve"> Index!O$10</f>
        <v>0</v>
      </c>
      <c r="P37" s="247">
        <f xml:space="preserve"> Index!P$10</f>
        <v>0</v>
      </c>
      <c r="Q37" s="247">
        <f xml:space="preserve"> Index!Q$10</f>
        <v>0</v>
      </c>
      <c r="R37" s="247">
        <f xml:space="preserve"> Index!R$10</f>
        <v>0</v>
      </c>
      <c r="S37" s="247">
        <f xml:space="preserve"> Index!S$10</f>
        <v>0</v>
      </c>
      <c r="T37" s="247">
        <f xml:space="preserve"> Index!T$10</f>
        <v>0</v>
      </c>
    </row>
    <row r="38" spans="1:20" s="121" customFormat="1" ht="13.15" x14ac:dyDescent="0.35">
      <c r="A38" s="129"/>
      <c r="B38" s="130"/>
      <c r="C38" s="131"/>
      <c r="E38" s="227" t="s">
        <v>210</v>
      </c>
      <c r="F38" s="227"/>
      <c r="G38" s="227" t="s">
        <v>117</v>
      </c>
      <c r="H38" s="227"/>
      <c r="I38" s="227"/>
      <c r="J38" s="227">
        <f xml:space="preserve"> IF(J35=1, $H34 * (1+J37+J36), I38 *  (1+J37+J36))</f>
        <v>0</v>
      </c>
      <c r="K38" s="227">
        <f xml:space="preserve"> IF(K35=1, $H34 * (1+K37+K36), J38 *  (1+K37+K36))</f>
        <v>0</v>
      </c>
      <c r="L38" s="227">
        <f t="shared" ref="L38:T38" si="3" xml:space="preserve"> IF(L35=1, $H34 * (1+L37+L36), K38 *  (1+L37+L36))</f>
        <v>0</v>
      </c>
      <c r="M38" s="227">
        <f t="shared" si="3"/>
        <v>0</v>
      </c>
      <c r="N38" s="227">
        <f t="shared" si="3"/>
        <v>0</v>
      </c>
      <c r="O38" s="227">
        <f t="shared" si="3"/>
        <v>0</v>
      </c>
      <c r="P38" s="227">
        <f xml:space="preserve"> IF(P35=1, $H34 * (1+P37+P36), O38 *  (1+P37+P36))</f>
        <v>0</v>
      </c>
      <c r="Q38" s="227">
        <f t="shared" si="3"/>
        <v>0</v>
      </c>
      <c r="R38" s="227">
        <f t="shared" si="3"/>
        <v>0</v>
      </c>
      <c r="S38" s="227">
        <f t="shared" si="3"/>
        <v>0</v>
      </c>
      <c r="T38" s="227">
        <f t="shared" si="3"/>
        <v>0</v>
      </c>
    </row>
    <row r="39" spans="1:20" ht="13.15" x14ac:dyDescent="0.35">
      <c r="B39" s="127"/>
      <c r="E39" s="121"/>
    </row>
    <row r="40" spans="1:20" s="227" customFormat="1" ht="13.15" x14ac:dyDescent="0.35">
      <c r="A40" s="228"/>
      <c r="B40" s="229" t="s">
        <v>211</v>
      </c>
      <c r="C40" s="230"/>
    </row>
    <row r="41" spans="1:20" s="227" customFormat="1" ht="13.15" x14ac:dyDescent="0.35">
      <c r="A41" s="228"/>
      <c r="B41" s="229"/>
      <c r="E41" s="227" t="str">
        <f xml:space="preserve"> E$29</f>
        <v>ODI payments for this price control</v>
      </c>
      <c r="F41" s="227">
        <f t="shared" ref="F41:T41" si="4" xml:space="preserve"> F$29</f>
        <v>0</v>
      </c>
      <c r="G41" s="227" t="str">
        <f t="shared" si="4"/>
        <v>£m (2017-18 prices)</v>
      </c>
      <c r="H41" s="227">
        <f t="shared" si="4"/>
        <v>0</v>
      </c>
      <c r="I41" s="227">
        <f t="shared" si="4"/>
        <v>0</v>
      </c>
      <c r="J41" s="227">
        <f t="shared" si="4"/>
        <v>0</v>
      </c>
      <c r="K41" s="227">
        <f t="shared" si="4"/>
        <v>0</v>
      </c>
      <c r="L41" s="227">
        <f t="shared" si="4"/>
        <v>0</v>
      </c>
      <c r="M41" s="227">
        <f t="shared" si="4"/>
        <v>0</v>
      </c>
      <c r="N41" s="227">
        <f t="shared" si="4"/>
        <v>0</v>
      </c>
      <c r="O41" s="227">
        <f t="shared" si="4"/>
        <v>0</v>
      </c>
      <c r="P41" s="227">
        <f t="shared" si="4"/>
        <v>0</v>
      </c>
      <c r="Q41" s="227">
        <f t="shared" si="4"/>
        <v>0</v>
      </c>
      <c r="R41" s="227">
        <f t="shared" si="4"/>
        <v>0</v>
      </c>
      <c r="S41" s="227">
        <f t="shared" si="4"/>
        <v>0</v>
      </c>
      <c r="T41" s="227">
        <f t="shared" si="4"/>
        <v>0</v>
      </c>
    </row>
    <row r="42" spans="1:20" s="233" customFormat="1" ht="13.15" x14ac:dyDescent="0.35">
      <c r="A42" s="231"/>
      <c r="B42" s="232"/>
      <c r="E42" s="222" t="str">
        <f xml:space="preserve"> Index!E$13</f>
        <v>Cumulative inflation factor</v>
      </c>
      <c r="F42" s="222">
        <f xml:space="preserve"> Index!F$13</f>
        <v>0</v>
      </c>
      <c r="G42" s="222" t="str">
        <f xml:space="preserve"> Index!G$13</f>
        <v>Percentage</v>
      </c>
      <c r="H42" s="222">
        <f xml:space="preserve"> Index!H$13</f>
        <v>0</v>
      </c>
      <c r="I42" s="222">
        <f xml:space="preserve"> Index!I$13</f>
        <v>0</v>
      </c>
      <c r="J42" s="222">
        <f xml:space="preserve"> Index!J$13</f>
        <v>0</v>
      </c>
      <c r="K42" s="222">
        <f xml:space="preserve"> Index!K$13</f>
        <v>0</v>
      </c>
      <c r="L42" s="222">
        <f xml:space="preserve"> Index!L$13</f>
        <v>1</v>
      </c>
      <c r="M42" s="222">
        <f xml:space="preserve"> Index!M$13</f>
        <v>1.0333944954128442</v>
      </c>
      <c r="N42" s="222">
        <f xml:space="preserve"> Index!N$13</f>
        <v>1.0333944954128442</v>
      </c>
      <c r="O42" s="222">
        <f xml:space="preserve"> Index!O$13</f>
        <v>1.0333944954128442</v>
      </c>
      <c r="P42" s="222">
        <f xml:space="preserve"> Index!P$13</f>
        <v>1.0333944954128442</v>
      </c>
      <c r="Q42" s="222">
        <f xml:space="preserve"> Index!Q$13</f>
        <v>1.0333944954128442</v>
      </c>
      <c r="R42" s="222">
        <f xml:space="preserve"> Index!R$13</f>
        <v>1.0333944954128442</v>
      </c>
      <c r="S42" s="222">
        <f xml:space="preserve"> Index!S$13</f>
        <v>1.0333944954128442</v>
      </c>
      <c r="T42" s="222">
        <f xml:space="preserve"> Index!T$13</f>
        <v>1.0333944954128442</v>
      </c>
    </row>
    <row r="43" spans="1:20" s="227" customFormat="1" ht="13.15" x14ac:dyDescent="0.35">
      <c r="A43" s="228"/>
      <c r="B43" s="229"/>
      <c r="C43" s="230"/>
      <c r="E43" s="227" t="s">
        <v>212</v>
      </c>
      <c r="G43" s="227" t="s">
        <v>117</v>
      </c>
      <c r="H43" s="227">
        <f xml:space="preserve"> SUM( J43:T43 )</f>
        <v>0</v>
      </c>
      <c r="J43" s="227">
        <f t="shared" ref="J43:P43" si="5" xml:space="preserve"> J41 * J42</f>
        <v>0</v>
      </c>
      <c r="K43" s="227">
        <f t="shared" si="5"/>
        <v>0</v>
      </c>
      <c r="L43" s="227">
        <f t="shared" si="5"/>
        <v>0</v>
      </c>
      <c r="M43" s="227">
        <f t="shared" si="5"/>
        <v>0</v>
      </c>
      <c r="N43" s="227">
        <f t="shared" si="5"/>
        <v>0</v>
      </c>
      <c r="O43" s="227">
        <f t="shared" si="5"/>
        <v>0</v>
      </c>
      <c r="P43" s="227">
        <f t="shared" si="5"/>
        <v>0</v>
      </c>
      <c r="Q43" s="227">
        <f xml:space="preserve"> Q41 * Q42</f>
        <v>0</v>
      </c>
      <c r="R43" s="227">
        <f xml:space="preserve"> R41 * R42</f>
        <v>0</v>
      </c>
      <c r="S43" s="227">
        <f xml:space="preserve"> S41 * S42</f>
        <v>0</v>
      </c>
      <c r="T43" s="227">
        <f xml:space="preserve"> T41 * T42</f>
        <v>0</v>
      </c>
    </row>
    <row r="44" spans="1:20" s="227" customFormat="1" ht="13.15" x14ac:dyDescent="0.35">
      <c r="A44" s="228"/>
      <c r="B44" s="229"/>
      <c r="C44" s="230"/>
    </row>
    <row r="45" spans="1:20" s="227" customFormat="1" ht="13.15" x14ac:dyDescent="0.35">
      <c r="A45" s="228"/>
      <c r="B45" s="229" t="s">
        <v>213</v>
      </c>
      <c r="C45" s="230"/>
    </row>
    <row r="46" spans="1:20" s="233" customFormat="1" ht="13.15" x14ac:dyDescent="0.35">
      <c r="A46" s="231"/>
      <c r="B46" s="229"/>
      <c r="E46" s="222" t="str">
        <f xml:space="preserve"> Inputs!E$71</f>
        <v>Marginal tax rate</v>
      </c>
      <c r="F46" s="222">
        <f xml:space="preserve"> Inputs!F$71</f>
        <v>0</v>
      </c>
      <c r="G46" s="222" t="str">
        <f xml:space="preserve"> Inputs!G$71</f>
        <v>Percentage</v>
      </c>
      <c r="H46" s="222">
        <f xml:space="preserve"> Inputs!H$71</f>
        <v>0</v>
      </c>
      <c r="I46" s="222">
        <f xml:space="preserve"> Inputs!I$71</f>
        <v>0</v>
      </c>
      <c r="J46" s="222">
        <f xml:space="preserve"> Inputs!J$71</f>
        <v>0</v>
      </c>
      <c r="K46" s="222">
        <f xml:space="preserve"> Inputs!K$71</f>
        <v>0</v>
      </c>
      <c r="L46" s="222">
        <f xml:space="preserve"> Inputs!L$71</f>
        <v>0</v>
      </c>
      <c r="M46" s="222">
        <f xml:space="preserve"> Inputs!M$71</f>
        <v>0</v>
      </c>
      <c r="N46" s="222">
        <f xml:space="preserve"> Inputs!N$71</f>
        <v>0</v>
      </c>
      <c r="O46" s="222">
        <f xml:space="preserve"> Inputs!O$71</f>
        <v>0</v>
      </c>
      <c r="P46" s="222">
        <f xml:space="preserve"> Inputs!P$71</f>
        <v>0</v>
      </c>
      <c r="Q46" s="222">
        <f xml:space="preserve"> Inputs!Q$71</f>
        <v>0.19</v>
      </c>
      <c r="R46" s="222">
        <f xml:space="preserve"> Inputs!R$71</f>
        <v>0</v>
      </c>
      <c r="S46" s="222">
        <f xml:space="preserve"> Inputs!S$71</f>
        <v>0</v>
      </c>
      <c r="T46" s="222">
        <f xml:space="preserve"> Inputs!T$71</f>
        <v>0</v>
      </c>
    </row>
    <row r="47" spans="1:20" s="276" customFormat="1" ht="13.15" x14ac:dyDescent="0.35">
      <c r="A47" s="281"/>
      <c r="B47" s="282"/>
      <c r="E47" s="276" t="s">
        <v>214</v>
      </c>
      <c r="G47" s="276" t="s">
        <v>109</v>
      </c>
      <c r="J47" s="276">
        <f xml:space="preserve"> 1 / (1 - J46 ) - 1</f>
        <v>0</v>
      </c>
      <c r="K47" s="276">
        <f t="shared" ref="K47:T47" si="6" xml:space="preserve"> 1 / (1 - K46 ) - 1</f>
        <v>0</v>
      </c>
      <c r="L47" s="276">
        <f t="shared" si="6"/>
        <v>0</v>
      </c>
      <c r="M47" s="276">
        <f t="shared" si="6"/>
        <v>0</v>
      </c>
      <c r="N47" s="276">
        <f t="shared" si="6"/>
        <v>0</v>
      </c>
      <c r="O47" s="276">
        <f t="shared" si="6"/>
        <v>0</v>
      </c>
      <c r="P47" s="276">
        <f t="shared" si="6"/>
        <v>0</v>
      </c>
      <c r="Q47" s="276">
        <f t="shared" si="6"/>
        <v>0.23456790123456783</v>
      </c>
      <c r="R47" s="276">
        <f t="shared" si="6"/>
        <v>0</v>
      </c>
      <c r="S47" s="276">
        <f t="shared" si="6"/>
        <v>0</v>
      </c>
      <c r="T47" s="276">
        <f t="shared" si="6"/>
        <v>0</v>
      </c>
    </row>
    <row r="48" spans="1:20" s="227" customFormat="1" ht="13.15" x14ac:dyDescent="0.35">
      <c r="A48" s="228"/>
      <c r="B48" s="229"/>
      <c r="C48" s="230"/>
    </row>
    <row r="49" spans="1:20" s="227" customFormat="1" ht="13.15" x14ac:dyDescent="0.35">
      <c r="A49" s="228"/>
      <c r="B49" s="229"/>
      <c r="C49" s="230"/>
      <c r="E49" s="227" t="str">
        <f t="shared" ref="E49:T49" si="7" xml:space="preserve"> E$43</f>
        <v>ODI value nominal prices</v>
      </c>
      <c r="F49" s="227">
        <f t="shared" si="7"/>
        <v>0</v>
      </c>
      <c r="G49" s="227" t="str">
        <f t="shared" si="7"/>
        <v>£m (nominal)</v>
      </c>
      <c r="H49" s="227">
        <f t="shared" si="7"/>
        <v>0</v>
      </c>
      <c r="I49" s="227">
        <f t="shared" si="7"/>
        <v>0</v>
      </c>
      <c r="J49" s="227">
        <f t="shared" si="7"/>
        <v>0</v>
      </c>
      <c r="K49" s="227">
        <f t="shared" si="7"/>
        <v>0</v>
      </c>
      <c r="L49" s="227">
        <f t="shared" si="7"/>
        <v>0</v>
      </c>
      <c r="M49" s="227">
        <f t="shared" si="7"/>
        <v>0</v>
      </c>
      <c r="N49" s="227">
        <f t="shared" si="7"/>
        <v>0</v>
      </c>
      <c r="O49" s="227">
        <f t="shared" si="7"/>
        <v>0</v>
      </c>
      <c r="P49" s="227">
        <f t="shared" si="7"/>
        <v>0</v>
      </c>
      <c r="Q49" s="227">
        <f t="shared" si="7"/>
        <v>0</v>
      </c>
      <c r="R49" s="227">
        <f t="shared" si="7"/>
        <v>0</v>
      </c>
      <c r="S49" s="227">
        <f t="shared" si="7"/>
        <v>0</v>
      </c>
      <c r="T49" s="227">
        <f t="shared" si="7"/>
        <v>0</v>
      </c>
    </row>
    <row r="50" spans="1:20" s="276" customFormat="1" ht="13.15" x14ac:dyDescent="0.35">
      <c r="A50" s="281"/>
      <c r="B50" s="282"/>
      <c r="E50" s="286" t="str">
        <f t="shared" ref="E50:T50" si="8" xml:space="preserve"> E$47</f>
        <v>Tax on Tax geometric uplift</v>
      </c>
      <c r="F50" s="286">
        <f t="shared" si="8"/>
        <v>0</v>
      </c>
      <c r="G50" s="286" t="str">
        <f t="shared" si="8"/>
        <v>Percentage</v>
      </c>
      <c r="H50" s="286">
        <f t="shared" si="8"/>
        <v>0</v>
      </c>
      <c r="I50" s="286">
        <f t="shared" si="8"/>
        <v>0</v>
      </c>
      <c r="J50" s="286">
        <f t="shared" si="8"/>
        <v>0</v>
      </c>
      <c r="K50" s="286">
        <f t="shared" si="8"/>
        <v>0</v>
      </c>
      <c r="L50" s="286">
        <f t="shared" si="8"/>
        <v>0</v>
      </c>
      <c r="M50" s="286">
        <f t="shared" si="8"/>
        <v>0</v>
      </c>
      <c r="N50" s="286">
        <f t="shared" si="8"/>
        <v>0</v>
      </c>
      <c r="O50" s="286">
        <f t="shared" si="8"/>
        <v>0</v>
      </c>
      <c r="P50" s="286">
        <f t="shared" si="8"/>
        <v>0</v>
      </c>
      <c r="Q50" s="286">
        <f t="shared" si="8"/>
        <v>0.23456790123456783</v>
      </c>
      <c r="R50" s="286">
        <f t="shared" si="8"/>
        <v>0</v>
      </c>
      <c r="S50" s="286">
        <f t="shared" si="8"/>
        <v>0</v>
      </c>
      <c r="T50" s="286">
        <f t="shared" si="8"/>
        <v>0</v>
      </c>
    </row>
    <row r="51" spans="1:20" s="227" customFormat="1" ht="13.15" x14ac:dyDescent="0.35">
      <c r="A51" s="228"/>
      <c r="B51" s="229"/>
      <c r="C51" s="230"/>
      <c r="E51" s="227" t="s">
        <v>215</v>
      </c>
      <c r="G51" s="227" t="s">
        <v>117</v>
      </c>
      <c r="H51" s="227">
        <f xml:space="preserve"> SUM( J51:T51 )</f>
        <v>0</v>
      </c>
      <c r="J51" s="227">
        <f t="shared" ref="J51:T51" si="9" xml:space="preserve"> J49 * J50</f>
        <v>0</v>
      </c>
      <c r="K51" s="227">
        <f t="shared" si="9"/>
        <v>0</v>
      </c>
      <c r="L51" s="227">
        <f t="shared" si="9"/>
        <v>0</v>
      </c>
      <c r="M51" s="227">
        <f t="shared" si="9"/>
        <v>0</v>
      </c>
      <c r="N51" s="227">
        <f t="shared" si="9"/>
        <v>0</v>
      </c>
      <c r="O51" s="227">
        <f t="shared" si="9"/>
        <v>0</v>
      </c>
      <c r="P51" s="227">
        <f t="shared" si="9"/>
        <v>0</v>
      </c>
      <c r="Q51" s="227">
        <f t="shared" si="9"/>
        <v>0</v>
      </c>
      <c r="R51" s="227">
        <f t="shared" si="9"/>
        <v>0</v>
      </c>
      <c r="S51" s="227">
        <f t="shared" si="9"/>
        <v>0</v>
      </c>
      <c r="T51" s="227">
        <f t="shared" si="9"/>
        <v>0</v>
      </c>
    </row>
    <row r="52" spans="1:20" s="227" customFormat="1" ht="13.15" x14ac:dyDescent="0.35">
      <c r="A52" s="228"/>
      <c r="B52" s="229"/>
      <c r="C52" s="230"/>
    </row>
    <row r="53" spans="1:20" s="227" customFormat="1" ht="13.15" x14ac:dyDescent="0.35">
      <c r="A53" s="228"/>
      <c r="B53" s="229"/>
      <c r="C53" s="230"/>
      <c r="E53" s="227" t="str">
        <f t="shared" ref="E53:T53" si="10" xml:space="preserve"> E$43</f>
        <v>ODI value nominal prices</v>
      </c>
      <c r="F53" s="227">
        <f t="shared" si="10"/>
        <v>0</v>
      </c>
      <c r="G53" s="227" t="str">
        <f t="shared" si="10"/>
        <v>£m (nominal)</v>
      </c>
      <c r="H53" s="227">
        <f t="shared" si="10"/>
        <v>0</v>
      </c>
      <c r="I53" s="227">
        <f t="shared" si="10"/>
        <v>0</v>
      </c>
      <c r="J53" s="235">
        <f t="shared" si="10"/>
        <v>0</v>
      </c>
      <c r="K53" s="235">
        <f t="shared" si="10"/>
        <v>0</v>
      </c>
      <c r="L53" s="235">
        <f t="shared" si="10"/>
        <v>0</v>
      </c>
      <c r="M53" s="235">
        <f t="shared" si="10"/>
        <v>0</v>
      </c>
      <c r="N53" s="235">
        <f t="shared" si="10"/>
        <v>0</v>
      </c>
      <c r="O53" s="235">
        <f t="shared" si="10"/>
        <v>0</v>
      </c>
      <c r="P53" s="235">
        <f t="shared" si="10"/>
        <v>0</v>
      </c>
      <c r="Q53" s="235">
        <f t="shared" si="10"/>
        <v>0</v>
      </c>
      <c r="R53" s="235">
        <f t="shared" si="10"/>
        <v>0</v>
      </c>
      <c r="S53" s="235">
        <f t="shared" si="10"/>
        <v>0</v>
      </c>
      <c r="T53" s="235">
        <f t="shared" si="10"/>
        <v>0</v>
      </c>
    </row>
    <row r="54" spans="1:20" s="227" customFormat="1" ht="13.15" x14ac:dyDescent="0.35">
      <c r="A54" s="228"/>
      <c r="B54" s="229"/>
      <c r="C54" s="230"/>
      <c r="E54" s="227" t="str">
        <f t="shared" ref="E54:T54" si="11" xml:space="preserve"> E$51</f>
        <v>Tax on nominal ODI</v>
      </c>
      <c r="F54" s="227">
        <f t="shared" si="11"/>
        <v>0</v>
      </c>
      <c r="G54" s="227" t="str">
        <f t="shared" si="11"/>
        <v>£m (nominal)</v>
      </c>
      <c r="H54" s="227">
        <f t="shared" si="11"/>
        <v>0</v>
      </c>
      <c r="I54" s="227">
        <f t="shared" si="11"/>
        <v>0</v>
      </c>
      <c r="J54" s="235">
        <f t="shared" si="11"/>
        <v>0</v>
      </c>
      <c r="K54" s="235">
        <f t="shared" si="11"/>
        <v>0</v>
      </c>
      <c r="L54" s="235">
        <f t="shared" si="11"/>
        <v>0</v>
      </c>
      <c r="M54" s="235">
        <f t="shared" si="11"/>
        <v>0</v>
      </c>
      <c r="N54" s="235">
        <f t="shared" si="11"/>
        <v>0</v>
      </c>
      <c r="O54" s="235">
        <f t="shared" si="11"/>
        <v>0</v>
      </c>
      <c r="P54" s="235">
        <f t="shared" si="11"/>
        <v>0</v>
      </c>
      <c r="Q54" s="235">
        <f t="shared" si="11"/>
        <v>0</v>
      </c>
      <c r="R54" s="235">
        <f t="shared" si="11"/>
        <v>0</v>
      </c>
      <c r="S54" s="235">
        <f t="shared" si="11"/>
        <v>0</v>
      </c>
      <c r="T54" s="235">
        <f t="shared" si="11"/>
        <v>0</v>
      </c>
    </row>
    <row r="55" spans="1:20" s="227" customFormat="1" ht="13.15" x14ac:dyDescent="0.35">
      <c r="A55" s="228"/>
      <c r="B55" s="229"/>
      <c r="C55" s="230"/>
      <c r="E55" s="227" t="s">
        <v>216</v>
      </c>
      <c r="G55" s="227" t="s">
        <v>117</v>
      </c>
      <c r="H55" s="235">
        <f xml:space="preserve"> H53 + H54</f>
        <v>0</v>
      </c>
      <c r="J55" s="235">
        <f xml:space="preserve"> J53 + J54</f>
        <v>0</v>
      </c>
      <c r="K55" s="235">
        <f t="shared" ref="K55:T55" si="12" xml:space="preserve"> K53 + K54</f>
        <v>0</v>
      </c>
      <c r="L55" s="235">
        <f t="shared" si="12"/>
        <v>0</v>
      </c>
      <c r="M55" s="235">
        <f t="shared" si="12"/>
        <v>0</v>
      </c>
      <c r="N55" s="235">
        <f t="shared" si="12"/>
        <v>0</v>
      </c>
      <c r="O55" s="235">
        <f t="shared" si="12"/>
        <v>0</v>
      </c>
      <c r="P55" s="235">
        <f t="shared" si="12"/>
        <v>0</v>
      </c>
      <c r="Q55" s="235">
        <f t="shared" si="12"/>
        <v>0</v>
      </c>
      <c r="R55" s="235">
        <f t="shared" si="12"/>
        <v>0</v>
      </c>
      <c r="S55" s="235">
        <f t="shared" si="12"/>
        <v>0</v>
      </c>
      <c r="T55" s="235">
        <f t="shared" si="12"/>
        <v>0</v>
      </c>
    </row>
    <row r="56" spans="1:20" s="227" customFormat="1" ht="13.15" x14ac:dyDescent="0.35">
      <c r="A56" s="228"/>
      <c r="B56" s="229"/>
      <c r="C56" s="230"/>
    </row>
    <row r="57" spans="1:20" s="227" customFormat="1" ht="13.15" x14ac:dyDescent="0.35">
      <c r="A57" s="228"/>
      <c r="B57" s="229"/>
      <c r="C57" s="230"/>
      <c r="E57" s="227" t="str">
        <f t="shared" ref="E57:T57" si="13" xml:space="preserve"> E$38</f>
        <v>Allowed revenue</v>
      </c>
      <c r="F57" s="227">
        <f t="shared" si="13"/>
        <v>0</v>
      </c>
      <c r="G57" s="227" t="str">
        <f t="shared" si="13"/>
        <v>£m (nominal)</v>
      </c>
      <c r="H57" s="227">
        <f t="shared" si="13"/>
        <v>0</v>
      </c>
      <c r="I57" s="227">
        <f t="shared" si="13"/>
        <v>0</v>
      </c>
      <c r="J57" s="235">
        <f t="shared" si="13"/>
        <v>0</v>
      </c>
      <c r="K57" s="235">
        <f t="shared" si="13"/>
        <v>0</v>
      </c>
      <c r="L57" s="235">
        <f t="shared" si="13"/>
        <v>0</v>
      </c>
      <c r="M57" s="235">
        <f t="shared" si="13"/>
        <v>0</v>
      </c>
      <c r="N57" s="235">
        <f t="shared" si="13"/>
        <v>0</v>
      </c>
      <c r="O57" s="235">
        <f t="shared" si="13"/>
        <v>0</v>
      </c>
      <c r="P57" s="235">
        <f t="shared" si="13"/>
        <v>0</v>
      </c>
      <c r="Q57" s="235">
        <f t="shared" si="13"/>
        <v>0</v>
      </c>
      <c r="R57" s="235">
        <f t="shared" si="13"/>
        <v>0</v>
      </c>
      <c r="S57" s="235">
        <f t="shared" si="13"/>
        <v>0</v>
      </c>
      <c r="T57" s="235">
        <f t="shared" si="13"/>
        <v>0</v>
      </c>
    </row>
    <row r="58" spans="1:20" s="227" customFormat="1" ht="13.15" x14ac:dyDescent="0.35">
      <c r="A58" s="228"/>
      <c r="B58" s="229"/>
      <c r="C58" s="230"/>
      <c r="E58" s="227" t="str">
        <f t="shared" ref="E58:T58" si="14" xml:space="preserve"> E$55</f>
        <v xml:space="preserve">Total value of ODI </v>
      </c>
      <c r="F58" s="227">
        <f t="shared" si="14"/>
        <v>0</v>
      </c>
      <c r="G58" s="227" t="str">
        <f t="shared" si="14"/>
        <v>£m (nominal)</v>
      </c>
      <c r="H58" s="227">
        <f t="shared" si="14"/>
        <v>0</v>
      </c>
      <c r="I58" s="227">
        <f t="shared" si="14"/>
        <v>0</v>
      </c>
      <c r="J58" s="235">
        <f t="shared" si="14"/>
        <v>0</v>
      </c>
      <c r="K58" s="235">
        <f t="shared" si="14"/>
        <v>0</v>
      </c>
      <c r="L58" s="235">
        <f t="shared" si="14"/>
        <v>0</v>
      </c>
      <c r="M58" s="235">
        <f t="shared" si="14"/>
        <v>0</v>
      </c>
      <c r="N58" s="235">
        <f t="shared" si="14"/>
        <v>0</v>
      </c>
      <c r="O58" s="235">
        <f t="shared" si="14"/>
        <v>0</v>
      </c>
      <c r="P58" s="235">
        <f t="shared" si="14"/>
        <v>0</v>
      </c>
      <c r="Q58" s="235">
        <f t="shared" si="14"/>
        <v>0</v>
      </c>
      <c r="R58" s="235">
        <f t="shared" si="14"/>
        <v>0</v>
      </c>
      <c r="S58" s="235">
        <f t="shared" si="14"/>
        <v>0</v>
      </c>
      <c r="T58" s="235">
        <f t="shared" si="14"/>
        <v>0</v>
      </c>
    </row>
    <row r="59" spans="1:20" s="227" customFormat="1" ht="13.15" x14ac:dyDescent="0.35">
      <c r="A59" s="228"/>
      <c r="B59" s="229"/>
      <c r="C59" s="230"/>
      <c r="E59" s="227" t="s">
        <v>217</v>
      </c>
      <c r="G59" s="227" t="s">
        <v>117</v>
      </c>
      <c r="H59" s="227">
        <f xml:space="preserve"> SUM( J59:T59 )</f>
        <v>0</v>
      </c>
      <c r="J59" s="235">
        <f xml:space="preserve"> J57 + J58</f>
        <v>0</v>
      </c>
      <c r="K59" s="235">
        <f t="shared" ref="K59:T59" si="15" xml:space="preserve"> K57 + K58</f>
        <v>0</v>
      </c>
      <c r="L59" s="235">
        <f t="shared" si="15"/>
        <v>0</v>
      </c>
      <c r="M59" s="235">
        <f t="shared" si="15"/>
        <v>0</v>
      </c>
      <c r="N59" s="235">
        <f t="shared" si="15"/>
        <v>0</v>
      </c>
      <c r="O59" s="235">
        <f t="shared" si="15"/>
        <v>0</v>
      </c>
      <c r="P59" s="235">
        <f t="shared" si="15"/>
        <v>0</v>
      </c>
      <c r="Q59" s="235">
        <f t="shared" si="15"/>
        <v>0</v>
      </c>
      <c r="R59" s="235">
        <f t="shared" si="15"/>
        <v>0</v>
      </c>
      <c r="S59" s="235">
        <f t="shared" si="15"/>
        <v>0</v>
      </c>
      <c r="T59" s="235">
        <f t="shared" si="15"/>
        <v>0</v>
      </c>
    </row>
    <row r="60" spans="1:20" s="227" customFormat="1" ht="13.15" x14ac:dyDescent="0.35">
      <c r="A60" s="228"/>
      <c r="B60" s="229"/>
      <c r="C60" s="230"/>
    </row>
    <row r="61" spans="1:20" s="227" customFormat="1" ht="13.15" x14ac:dyDescent="0.35">
      <c r="A61" s="228"/>
      <c r="B61" s="229" t="s">
        <v>218</v>
      </c>
      <c r="C61" s="230"/>
    </row>
    <row r="62" spans="1:20" s="227" customFormat="1" ht="13.15" x14ac:dyDescent="0.35">
      <c r="A62" s="228"/>
      <c r="B62" s="229"/>
      <c r="C62" s="230"/>
      <c r="E62" s="227" t="str">
        <f t="shared" ref="E62:T62" si="16" xml:space="preserve"> E$59</f>
        <v>Revised total nominal revenue</v>
      </c>
      <c r="F62" s="227">
        <f t="shared" si="16"/>
        <v>0</v>
      </c>
      <c r="G62" s="227" t="str">
        <f t="shared" si="16"/>
        <v>£m (nominal)</v>
      </c>
      <c r="H62" s="227">
        <f t="shared" si="16"/>
        <v>0</v>
      </c>
      <c r="I62" s="227">
        <f t="shared" si="16"/>
        <v>0</v>
      </c>
      <c r="J62" s="227">
        <f t="shared" si="16"/>
        <v>0</v>
      </c>
      <c r="K62" s="227">
        <f t="shared" si="16"/>
        <v>0</v>
      </c>
      <c r="L62" s="227">
        <f t="shared" si="16"/>
        <v>0</v>
      </c>
      <c r="M62" s="227">
        <f t="shared" si="16"/>
        <v>0</v>
      </c>
      <c r="N62" s="227">
        <f t="shared" si="16"/>
        <v>0</v>
      </c>
      <c r="O62" s="227">
        <f t="shared" si="16"/>
        <v>0</v>
      </c>
      <c r="P62" s="227">
        <f t="shared" si="16"/>
        <v>0</v>
      </c>
      <c r="Q62" s="227">
        <f t="shared" si="16"/>
        <v>0</v>
      </c>
      <c r="R62" s="227">
        <f t="shared" si="16"/>
        <v>0</v>
      </c>
      <c r="S62" s="227">
        <f t="shared" si="16"/>
        <v>0</v>
      </c>
      <c r="T62" s="227">
        <f t="shared" si="16"/>
        <v>0</v>
      </c>
    </row>
    <row r="63" spans="1:20" s="227" customFormat="1" x14ac:dyDescent="0.35">
      <c r="A63" s="228"/>
      <c r="B63" s="236"/>
      <c r="C63" s="230"/>
      <c r="E63" s="237" t="s">
        <v>219</v>
      </c>
      <c r="F63" s="238"/>
      <c r="G63" s="237" t="s">
        <v>109</v>
      </c>
      <c r="H63" s="238"/>
      <c r="J63" s="284">
        <f xml:space="preserve"> IF( I62 = 0, 0, J62 / I62 - 1 )</f>
        <v>0</v>
      </c>
      <c r="K63" s="284">
        <f t="shared" ref="K63:T63" si="17" xml:space="preserve"> IF( J62 = 0, 0, K62 / J62 - 1 )</f>
        <v>0</v>
      </c>
      <c r="L63" s="284">
        <f t="shared" si="17"/>
        <v>0</v>
      </c>
      <c r="M63" s="284">
        <f t="shared" si="17"/>
        <v>0</v>
      </c>
      <c r="N63" s="284">
        <f t="shared" si="17"/>
        <v>0</v>
      </c>
      <c r="O63" s="284">
        <f t="shared" si="17"/>
        <v>0</v>
      </c>
      <c r="P63" s="284">
        <f t="shared" si="17"/>
        <v>0</v>
      </c>
      <c r="Q63" s="284">
        <f t="shared" si="17"/>
        <v>0</v>
      </c>
      <c r="R63" s="284">
        <f t="shared" si="17"/>
        <v>0</v>
      </c>
      <c r="S63" s="284">
        <f t="shared" si="17"/>
        <v>0</v>
      </c>
      <c r="T63" s="284">
        <f t="shared" si="17"/>
        <v>0</v>
      </c>
    </row>
    <row r="64" spans="1:20" s="227" customFormat="1" x14ac:dyDescent="0.35">
      <c r="A64" s="228"/>
      <c r="B64" s="236"/>
      <c r="C64" s="230"/>
      <c r="E64" s="237"/>
      <c r="F64" s="238"/>
      <c r="G64" s="237"/>
      <c r="H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</row>
    <row r="65" spans="1:20" s="227" customFormat="1" x14ac:dyDescent="0.35">
      <c r="A65" s="228"/>
      <c r="B65" s="236"/>
      <c r="C65" s="230"/>
      <c r="E65" s="237" t="str">
        <f xml:space="preserve"> E$27</f>
        <v>Year of adjustment to be applied</v>
      </c>
      <c r="F65" s="237">
        <f t="shared" ref="F65:T65" si="18" xml:space="preserve"> F$27</f>
        <v>0</v>
      </c>
      <c r="G65" s="237" t="str">
        <f t="shared" si="18"/>
        <v>flag</v>
      </c>
      <c r="H65" s="237">
        <f t="shared" si="18"/>
        <v>0</v>
      </c>
      <c r="I65" s="237">
        <f t="shared" si="18"/>
        <v>0</v>
      </c>
      <c r="J65" s="287">
        <f t="shared" si="18"/>
        <v>0</v>
      </c>
      <c r="K65" s="287">
        <f t="shared" si="18"/>
        <v>0</v>
      </c>
      <c r="L65" s="287">
        <f t="shared" si="18"/>
        <v>0</v>
      </c>
      <c r="M65" s="287">
        <f t="shared" si="18"/>
        <v>0</v>
      </c>
      <c r="N65" s="287">
        <f t="shared" si="18"/>
        <v>0</v>
      </c>
      <c r="O65" s="287">
        <f t="shared" si="18"/>
        <v>0</v>
      </c>
      <c r="P65" s="287">
        <f t="shared" si="18"/>
        <v>0</v>
      </c>
      <c r="Q65" s="287">
        <f t="shared" si="18"/>
        <v>0</v>
      </c>
      <c r="R65" s="287">
        <f t="shared" si="18"/>
        <v>0</v>
      </c>
      <c r="S65" s="287">
        <f t="shared" si="18"/>
        <v>0</v>
      </c>
      <c r="T65" s="287">
        <f t="shared" si="18"/>
        <v>0</v>
      </c>
    </row>
    <row r="66" spans="1:20" s="227" customFormat="1" x14ac:dyDescent="0.35">
      <c r="A66" s="228"/>
      <c r="B66" s="236"/>
      <c r="C66" s="230"/>
      <c r="E66" s="237" t="s">
        <v>220</v>
      </c>
      <c r="F66" s="238"/>
      <c r="G66" s="237" t="s">
        <v>158</v>
      </c>
      <c r="H66" s="238"/>
      <c r="J66" s="287">
        <f xml:space="preserve"> IF( OR( J65 = 1, I66 = 1 ), 1, 0 )</f>
        <v>0</v>
      </c>
      <c r="K66" s="287">
        <f t="shared" ref="K66:T66" si="19" xml:space="preserve"> IF( OR( K65 = 1, J66 = 1 ), 1, 0 )</f>
        <v>0</v>
      </c>
      <c r="L66" s="287">
        <f t="shared" si="19"/>
        <v>0</v>
      </c>
      <c r="M66" s="287">
        <f t="shared" si="19"/>
        <v>0</v>
      </c>
      <c r="N66" s="287">
        <f t="shared" si="19"/>
        <v>0</v>
      </c>
      <c r="O66" s="287">
        <f t="shared" si="19"/>
        <v>0</v>
      </c>
      <c r="P66" s="287">
        <f t="shared" si="19"/>
        <v>0</v>
      </c>
      <c r="Q66" s="287">
        <f t="shared" si="19"/>
        <v>0</v>
      </c>
      <c r="R66" s="287">
        <f t="shared" si="19"/>
        <v>0</v>
      </c>
      <c r="S66" s="287">
        <f t="shared" si="19"/>
        <v>0</v>
      </c>
      <c r="T66" s="287">
        <f t="shared" si="19"/>
        <v>0</v>
      </c>
    </row>
    <row r="67" spans="1:20" s="227" customFormat="1" ht="13.15" x14ac:dyDescent="0.35">
      <c r="A67" s="228"/>
      <c r="B67" s="229"/>
      <c r="C67" s="230"/>
    </row>
    <row r="68" spans="1:20" s="240" customFormat="1" ht="13.15" x14ac:dyDescent="0.35">
      <c r="A68" s="239"/>
      <c r="B68" s="229"/>
      <c r="E68" s="235" t="str">
        <f t="shared" ref="E68:T68" si="20" xml:space="preserve"> E$63</f>
        <v>Allowed revenue percentage movement</v>
      </c>
      <c r="F68" s="227">
        <f t="shared" si="20"/>
        <v>0</v>
      </c>
      <c r="G68" s="235" t="str">
        <f t="shared" si="20"/>
        <v>Percentage</v>
      </c>
      <c r="H68" s="227">
        <f t="shared" si="20"/>
        <v>0</v>
      </c>
      <c r="I68" s="227">
        <f t="shared" si="20"/>
        <v>0</v>
      </c>
      <c r="J68" s="286">
        <f t="shared" si="20"/>
        <v>0</v>
      </c>
      <c r="K68" s="286">
        <f t="shared" si="20"/>
        <v>0</v>
      </c>
      <c r="L68" s="286">
        <f t="shared" si="20"/>
        <v>0</v>
      </c>
      <c r="M68" s="286">
        <f t="shared" si="20"/>
        <v>0</v>
      </c>
      <c r="N68" s="286">
        <f t="shared" si="20"/>
        <v>0</v>
      </c>
      <c r="O68" s="286">
        <f t="shared" si="20"/>
        <v>0</v>
      </c>
      <c r="P68" s="286">
        <f t="shared" si="20"/>
        <v>0</v>
      </c>
      <c r="Q68" s="286">
        <f t="shared" si="20"/>
        <v>0</v>
      </c>
      <c r="R68" s="286">
        <f t="shared" si="20"/>
        <v>0</v>
      </c>
      <c r="S68" s="286">
        <f t="shared" si="20"/>
        <v>0</v>
      </c>
      <c r="T68" s="286">
        <f t="shared" si="20"/>
        <v>0</v>
      </c>
    </row>
    <row r="69" spans="1:20" s="240" customFormat="1" ht="13.15" x14ac:dyDescent="0.35">
      <c r="A69" s="239"/>
      <c r="B69" s="229"/>
      <c r="E69" s="222" t="str">
        <f xml:space="preserve"> Index!E$10</f>
        <v>Annual inflation figures</v>
      </c>
      <c r="F69" s="222">
        <f xml:space="preserve"> Index!F$10</f>
        <v>0</v>
      </c>
      <c r="G69" s="222" t="str">
        <f xml:space="preserve"> Index!G$10</f>
        <v>Percentage</v>
      </c>
      <c r="H69" s="222">
        <f xml:space="preserve"> Index!H$10</f>
        <v>0</v>
      </c>
      <c r="I69" s="222">
        <f xml:space="preserve"> Index!I$10</f>
        <v>0</v>
      </c>
      <c r="J69" s="222">
        <f xml:space="preserve"> Index!J$10</f>
        <v>0</v>
      </c>
      <c r="K69" s="222">
        <f xml:space="preserve"> Index!K$10</f>
        <v>0</v>
      </c>
      <c r="L69" s="222">
        <f xml:space="preserve"> Index!L$10</f>
        <v>3.572786012922835E-2</v>
      </c>
      <c r="M69" s="222">
        <f xml:space="preserve"> Index!M$10</f>
        <v>3.3394495412844227E-2</v>
      </c>
      <c r="N69" s="222">
        <f xml:space="preserve"> Index!N$10</f>
        <v>0</v>
      </c>
      <c r="O69" s="222">
        <f xml:space="preserve"> Index!O$10</f>
        <v>0</v>
      </c>
      <c r="P69" s="222">
        <f xml:space="preserve"> Index!P$10</f>
        <v>0</v>
      </c>
      <c r="Q69" s="222">
        <f xml:space="preserve"> Index!Q$10</f>
        <v>0</v>
      </c>
      <c r="R69" s="222">
        <f xml:space="preserve"> Index!R$10</f>
        <v>0</v>
      </c>
      <c r="S69" s="222">
        <f xml:space="preserve"> Index!S$10</f>
        <v>0</v>
      </c>
      <c r="T69" s="222">
        <f xml:space="preserve"> Index!T$10</f>
        <v>0</v>
      </c>
    </row>
    <row r="70" spans="1:20" s="240" customFormat="1" ht="13.15" x14ac:dyDescent="0.35">
      <c r="A70" s="239"/>
      <c r="B70" s="229"/>
      <c r="E70" s="235" t="str">
        <f t="shared" ref="E70:T70" si="21" xml:space="preserve"> E$66</f>
        <v>Year that price limits should be recalculated</v>
      </c>
      <c r="F70" s="227">
        <f t="shared" si="21"/>
        <v>0</v>
      </c>
      <c r="G70" s="235" t="str">
        <f t="shared" si="21"/>
        <v>flag</v>
      </c>
      <c r="H70" s="227">
        <f t="shared" si="21"/>
        <v>0</v>
      </c>
      <c r="I70" s="227">
        <f t="shared" si="21"/>
        <v>0</v>
      </c>
      <c r="J70" s="288">
        <f t="shared" si="21"/>
        <v>0</v>
      </c>
      <c r="K70" s="288">
        <f t="shared" si="21"/>
        <v>0</v>
      </c>
      <c r="L70" s="288">
        <f t="shared" si="21"/>
        <v>0</v>
      </c>
      <c r="M70" s="288">
        <f t="shared" si="21"/>
        <v>0</v>
      </c>
      <c r="N70" s="288">
        <f t="shared" si="21"/>
        <v>0</v>
      </c>
      <c r="O70" s="288">
        <f t="shared" si="21"/>
        <v>0</v>
      </c>
      <c r="P70" s="288">
        <f t="shared" si="21"/>
        <v>0</v>
      </c>
      <c r="Q70" s="288">
        <f t="shared" si="21"/>
        <v>0</v>
      </c>
      <c r="R70" s="288">
        <f t="shared" si="21"/>
        <v>0</v>
      </c>
      <c r="S70" s="288">
        <f t="shared" si="21"/>
        <v>0</v>
      </c>
      <c r="T70" s="288">
        <f t="shared" si="21"/>
        <v>0</v>
      </c>
    </row>
    <row r="71" spans="1:20" s="240" customFormat="1" ht="13.15" x14ac:dyDescent="0.35">
      <c r="A71" s="239"/>
      <c r="B71" s="229"/>
      <c r="E71" s="237" t="s">
        <v>221</v>
      </c>
      <c r="F71" s="238"/>
      <c r="G71" s="237" t="s">
        <v>109</v>
      </c>
      <c r="H71" s="238"/>
      <c r="I71" s="238"/>
      <c r="J71" s="284">
        <f xml:space="preserve"> IF( J70 = 0, 0, J68 - J69 )</f>
        <v>0</v>
      </c>
      <c r="K71" s="284">
        <f t="shared" ref="K71:T71" si="22" xml:space="preserve"> IF( K70 = 0, 0, K68 - K69 )</f>
        <v>0</v>
      </c>
      <c r="L71" s="284">
        <f t="shared" si="22"/>
        <v>0</v>
      </c>
      <c r="M71" s="284">
        <f t="shared" si="22"/>
        <v>0</v>
      </c>
      <c r="N71" s="284">
        <f t="shared" si="22"/>
        <v>0</v>
      </c>
      <c r="O71" s="284">
        <f t="shared" si="22"/>
        <v>0</v>
      </c>
      <c r="P71" s="284">
        <f t="shared" si="22"/>
        <v>0</v>
      </c>
      <c r="Q71" s="284">
        <f t="shared" si="22"/>
        <v>0</v>
      </c>
      <c r="R71" s="284">
        <f t="shared" si="22"/>
        <v>0</v>
      </c>
      <c r="S71" s="284">
        <f t="shared" si="22"/>
        <v>0</v>
      </c>
      <c r="T71" s="284">
        <f t="shared" si="22"/>
        <v>0</v>
      </c>
    </row>
    <row r="72" spans="1:20" s="227" customFormat="1" ht="13.15" x14ac:dyDescent="0.35">
      <c r="A72" s="228"/>
      <c r="B72" s="229"/>
      <c r="C72" s="230"/>
    </row>
    <row r="73" spans="1:20" s="227" customFormat="1" ht="13.15" x14ac:dyDescent="0.35">
      <c r="A73" s="228"/>
      <c r="B73" s="229"/>
      <c r="C73" s="230"/>
      <c r="E73" s="227" t="str">
        <f t="shared" ref="E73:T73" si="23" xml:space="preserve"> E$71</f>
        <v>Allowed revenue percentage movement (Nov-Nov CPIH deflated)</v>
      </c>
      <c r="F73" s="227">
        <f t="shared" si="23"/>
        <v>0</v>
      </c>
      <c r="G73" s="227" t="str">
        <f t="shared" si="23"/>
        <v>Percentage</v>
      </c>
      <c r="H73" s="227">
        <f t="shared" si="23"/>
        <v>0</v>
      </c>
      <c r="I73" s="227">
        <f t="shared" si="23"/>
        <v>0</v>
      </c>
      <c r="J73" s="286">
        <f t="shared" si="23"/>
        <v>0</v>
      </c>
      <c r="K73" s="286">
        <f t="shared" si="23"/>
        <v>0</v>
      </c>
      <c r="L73" s="286">
        <f t="shared" si="23"/>
        <v>0</v>
      </c>
      <c r="M73" s="286">
        <f t="shared" si="23"/>
        <v>0</v>
      </c>
      <c r="N73" s="286">
        <f t="shared" si="23"/>
        <v>0</v>
      </c>
      <c r="O73" s="286">
        <f t="shared" si="23"/>
        <v>0</v>
      </c>
      <c r="P73" s="286">
        <f t="shared" si="23"/>
        <v>0</v>
      </c>
      <c r="Q73" s="286">
        <f t="shared" si="23"/>
        <v>0</v>
      </c>
      <c r="R73" s="286">
        <f t="shared" si="23"/>
        <v>0</v>
      </c>
      <c r="S73" s="286">
        <f t="shared" si="23"/>
        <v>0</v>
      </c>
      <c r="T73" s="286">
        <f t="shared" si="23"/>
        <v>0</v>
      </c>
    </row>
    <row r="74" spans="1:20" s="240" customFormat="1" ht="13.15" x14ac:dyDescent="0.35">
      <c r="A74" s="239"/>
      <c r="B74" s="229"/>
      <c r="E74" s="241" t="str">
        <f>CONCATENATE("Revised K - ",F18)</f>
        <v>Revised K - Dummy control</v>
      </c>
      <c r="G74" s="241" t="s">
        <v>109</v>
      </c>
      <c r="J74" s="283">
        <f t="shared" ref="J74:T74" si="24">IF(J73&gt;=0,ROUNDUP(ROUNDDOWN(J73,5),4),ROUNDDOWN(ROUNDUP(J73,5),4))</f>
        <v>0</v>
      </c>
      <c r="K74" s="283">
        <f t="shared" si="24"/>
        <v>0</v>
      </c>
      <c r="L74" s="283">
        <f t="shared" si="24"/>
        <v>0</v>
      </c>
      <c r="M74" s="283">
        <f t="shared" si="24"/>
        <v>0</v>
      </c>
      <c r="N74" s="283">
        <f t="shared" si="24"/>
        <v>0</v>
      </c>
      <c r="O74" s="283">
        <f t="shared" si="24"/>
        <v>0</v>
      </c>
      <c r="P74" s="283">
        <f>IF(P73&gt;=0,ROUNDUP(ROUNDDOWN(P73,5),4),ROUNDDOWN(ROUNDUP(P73,5),4))</f>
        <v>0</v>
      </c>
      <c r="Q74" s="283">
        <f t="shared" si="24"/>
        <v>0</v>
      </c>
      <c r="R74" s="283">
        <f t="shared" si="24"/>
        <v>0</v>
      </c>
      <c r="S74" s="283">
        <f t="shared" si="24"/>
        <v>0</v>
      </c>
      <c r="T74" s="283">
        <f t="shared" si="24"/>
        <v>0</v>
      </c>
    </row>
    <row r="75" spans="1:20" s="240" customFormat="1" ht="13.15" x14ac:dyDescent="0.35">
      <c r="A75" s="239"/>
      <c r="B75" s="229"/>
      <c r="E75" s="241"/>
      <c r="G75" s="241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</row>
    <row r="76" spans="1:20" ht="13.15" x14ac:dyDescent="0.35">
      <c r="A76" s="2" t="s">
        <v>83</v>
      </c>
      <c r="B76" s="203"/>
      <c r="C76" s="189"/>
      <c r="D76" s="204"/>
      <c r="E76" s="191"/>
      <c r="F76" s="191"/>
      <c r="G76" s="19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35"/>
  </sheetData>
  <conditionalFormatting sqref="J3:T3">
    <cfRule type="cellIs" dxfId="11" priority="1" operator="equal">
      <formula>"Post-Fcst"</formula>
    </cfRule>
    <cfRule type="cellIs" dxfId="10" priority="2" operator="equal">
      <formula>"Forecast"</formula>
    </cfRule>
    <cfRule type="cellIs" dxfId="9" priority="3" operator="equal">
      <formula>"Pre Fcst"</formula>
    </cfRule>
  </conditionalFormatting>
  <printOptions headings="1"/>
  <pageMargins left="0.7" right="0.7" top="0.75" bottom="0.75" header="0.3" footer="0.3"/>
  <pageSetup paperSize="9" scale="46" orientation="landscape" blackAndWhite="1" r:id="rId1"/>
  <headerFooter>
    <oddHeader xml:space="preserve">&amp;L&amp;F &amp;CSheet: &amp;A &amp;ROFFICIAL </oddHeader>
    <oddFooter xml:space="preserve">&amp;L&amp;D at &amp;T &amp;C&amp;P of &amp;N &amp;ROfwat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E24"/>
  <sheetViews>
    <sheetView view="pageBreakPreview" zoomScale="60" zoomScaleNormal="100" workbookViewId="0"/>
  </sheetViews>
  <sheetFormatPr defaultColWidth="0" defaultRowHeight="12.75" zeroHeight="1" x14ac:dyDescent="0.35"/>
  <cols>
    <col min="1" max="1" width="14.625" style="141" customWidth="1"/>
    <col min="2" max="2" width="18" style="141" customWidth="1"/>
    <col min="3" max="3" width="9.75" style="141" customWidth="1"/>
    <col min="4" max="4" width="10.625" style="141" customWidth="1"/>
    <col min="5" max="5" width="10" style="141" customWidth="1"/>
    <col min="6" max="16384" width="9.75" style="141" hidden="1"/>
  </cols>
  <sheetData>
    <row r="1" spans="1:5" s="142" customFormat="1" ht="29.25" x14ac:dyDescent="0.35">
      <c r="A1" s="152" t="str">
        <f ca="1" xml:space="preserve"> RIGHT(CELL("filename", $A$1), LEN(CELL("filename", $A$1)) - SEARCH("]", CELL("filename", $A$1)))</f>
        <v>Validation</v>
      </c>
      <c r="B1" s="152"/>
      <c r="C1" s="152"/>
      <c r="D1" s="152"/>
      <c r="E1" s="153">
        <f>Inputs!F9</f>
        <v>0</v>
      </c>
    </row>
    <row r="2" spans="1:5" x14ac:dyDescent="0.35"/>
    <row r="3" spans="1:5" x14ac:dyDescent="0.35">
      <c r="A3" s="7" t="s">
        <v>89</v>
      </c>
      <c r="B3" s="7" t="s">
        <v>87</v>
      </c>
      <c r="C3" s="7" t="s">
        <v>248</v>
      </c>
      <c r="D3" s="7" t="s">
        <v>249</v>
      </c>
      <c r="E3" s="7" t="s">
        <v>250</v>
      </c>
    </row>
    <row r="4" spans="1:5" x14ac:dyDescent="0.35">
      <c r="A4" s="8"/>
      <c r="B4" s="8"/>
      <c r="C4" s="8"/>
      <c r="D4" s="8"/>
      <c r="E4" s="8"/>
    </row>
    <row r="5" spans="1:5" x14ac:dyDescent="0.35">
      <c r="A5" s="8" t="s">
        <v>251</v>
      </c>
      <c r="B5" s="8" t="s">
        <v>252</v>
      </c>
      <c r="C5" s="8" t="s">
        <v>253</v>
      </c>
      <c r="D5" s="8" t="b">
        <v>1</v>
      </c>
      <c r="E5" s="8" t="s">
        <v>254</v>
      </c>
    </row>
    <row r="6" spans="1:5" x14ac:dyDescent="0.35">
      <c r="A6" s="8" t="s">
        <v>255</v>
      </c>
      <c r="B6" s="8" t="s">
        <v>256</v>
      </c>
      <c r="C6" s="8" t="s">
        <v>257</v>
      </c>
      <c r="D6" s="8" t="b">
        <v>0</v>
      </c>
      <c r="E6" s="8" t="s">
        <v>258</v>
      </c>
    </row>
    <row r="7" spans="1:5" x14ac:dyDescent="0.35">
      <c r="A7" s="8" t="s">
        <v>259</v>
      </c>
      <c r="B7" s="8" t="s">
        <v>260</v>
      </c>
      <c r="C7" s="8" t="s">
        <v>261</v>
      </c>
      <c r="D7" s="8"/>
      <c r="E7" s="8"/>
    </row>
    <row r="8" spans="1:5" x14ac:dyDescent="0.35">
      <c r="A8" s="8" t="s">
        <v>262</v>
      </c>
      <c r="B8" s="8" t="s">
        <v>263</v>
      </c>
      <c r="C8" s="8" t="s">
        <v>264</v>
      </c>
      <c r="D8" s="146"/>
      <c r="E8" s="146"/>
    </row>
    <row r="9" spans="1:5" x14ac:dyDescent="0.35">
      <c r="A9" s="8" t="s">
        <v>265</v>
      </c>
      <c r="B9" s="8" t="s">
        <v>266</v>
      </c>
      <c r="C9" s="8" t="s">
        <v>267</v>
      </c>
      <c r="D9" s="145"/>
      <c r="E9" s="145"/>
    </row>
    <row r="10" spans="1:5" x14ac:dyDescent="0.35">
      <c r="A10" s="143"/>
      <c r="B10" s="8" t="s">
        <v>268</v>
      </c>
      <c r="C10" s="8" t="s">
        <v>269</v>
      </c>
      <c r="D10" s="145"/>
      <c r="E10" s="145"/>
    </row>
    <row r="11" spans="1:5" x14ac:dyDescent="0.35">
      <c r="A11" s="144"/>
      <c r="B11" s="8" t="s">
        <v>270</v>
      </c>
      <c r="C11" s="8" t="s">
        <v>271</v>
      </c>
      <c r="D11" s="145"/>
      <c r="E11" s="145"/>
    </row>
    <row r="12" spans="1:5" x14ac:dyDescent="0.35">
      <c r="A12" s="144"/>
      <c r="B12" s="8" t="s">
        <v>272</v>
      </c>
      <c r="C12" s="8" t="s">
        <v>273</v>
      </c>
      <c r="D12" s="145"/>
      <c r="E12" s="145"/>
    </row>
    <row r="13" spans="1:5" x14ac:dyDescent="0.35">
      <c r="A13" s="144"/>
      <c r="B13" s="8" t="s">
        <v>274</v>
      </c>
      <c r="C13" s="8" t="s">
        <v>275</v>
      </c>
      <c r="D13" s="145"/>
      <c r="E13" s="145"/>
    </row>
    <row r="14" spans="1:5" x14ac:dyDescent="0.35">
      <c r="A14" s="144"/>
      <c r="B14" s="8" t="s">
        <v>276</v>
      </c>
      <c r="C14" s="8" t="s">
        <v>277</v>
      </c>
      <c r="D14" s="145"/>
      <c r="E14" s="145"/>
    </row>
    <row r="15" spans="1:5" x14ac:dyDescent="0.35">
      <c r="A15" s="144"/>
      <c r="B15" s="8" t="s">
        <v>278</v>
      </c>
      <c r="C15" s="8" t="s">
        <v>279</v>
      </c>
      <c r="D15" s="145"/>
      <c r="E15" s="145"/>
    </row>
    <row r="16" spans="1:5" x14ac:dyDescent="0.35">
      <c r="A16" s="144"/>
      <c r="B16" s="8" t="s">
        <v>280</v>
      </c>
      <c r="C16" s="8" t="s">
        <v>281</v>
      </c>
      <c r="D16" s="145"/>
      <c r="E16" s="145"/>
    </row>
    <row r="17" spans="1:5" x14ac:dyDescent="0.35">
      <c r="A17" s="144"/>
      <c r="B17" s="8" t="s">
        <v>282</v>
      </c>
      <c r="C17" s="8" t="s">
        <v>283</v>
      </c>
      <c r="D17" s="145"/>
      <c r="E17" s="145"/>
    </row>
    <row r="18" spans="1:5" x14ac:dyDescent="0.35">
      <c r="A18" s="144"/>
      <c r="B18" s="8" t="s">
        <v>284</v>
      </c>
      <c r="C18" s="8" t="s">
        <v>285</v>
      </c>
      <c r="D18" s="145"/>
      <c r="E18" s="145"/>
    </row>
    <row r="19" spans="1:5" x14ac:dyDescent="0.35">
      <c r="A19" s="144"/>
      <c r="B19" s="8" t="s">
        <v>286</v>
      </c>
      <c r="C19" s="8" t="s">
        <v>287</v>
      </c>
      <c r="D19" s="145"/>
      <c r="E19" s="145"/>
    </row>
    <row r="20" spans="1:5" x14ac:dyDescent="0.35">
      <c r="A20" s="144"/>
      <c r="B20" s="8" t="s">
        <v>288</v>
      </c>
      <c r="C20" s="8" t="s">
        <v>289</v>
      </c>
      <c r="D20" s="145"/>
      <c r="E20" s="145"/>
    </row>
    <row r="21" spans="1:5" x14ac:dyDescent="0.35">
      <c r="A21" s="144"/>
      <c r="B21" s="8" t="s">
        <v>290</v>
      </c>
      <c r="C21" s="8" t="s">
        <v>291</v>
      </c>
      <c r="D21" s="145"/>
      <c r="E21" s="145"/>
    </row>
    <row r="22" spans="1:5" x14ac:dyDescent="0.35"/>
    <row r="23" spans="1:5" ht="13.15" x14ac:dyDescent="0.35">
      <c r="A23" s="139" t="s">
        <v>83</v>
      </c>
      <c r="B23" s="140"/>
      <c r="C23" s="118"/>
      <c r="D23" s="147"/>
      <c r="E23" s="3"/>
    </row>
    <row r="24" spans="1:5" x14ac:dyDescent="0.35"/>
  </sheetData>
  <printOptions headings="1"/>
  <pageMargins left="0.7" right="0.7" top="0.75" bottom="0.75" header="0.3" footer="0.3"/>
  <pageSetup paperSize="9" orientation="landscape" blackAndWhite="1" r:id="rId1"/>
  <headerFooter>
    <oddHeader xml:space="preserve">&amp;L&amp;F &amp;CSheet: &amp;A &amp;ROFFICIAL </oddHeader>
    <oddFooter xml:space="preserve">&amp;L&amp;D at &amp;T &amp;C&amp;P of &amp;N &amp;ROfwat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/>
    <outlinePr summaryBelow="0" summaryRight="0"/>
    <pageSetUpPr fitToPage="1"/>
  </sheetPr>
  <dimension ref="A1:T39"/>
  <sheetViews>
    <sheetView view="pageBreakPreview" zoomScale="60" zoomScaleNormal="10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.15" zeroHeight="1" x14ac:dyDescent="0.35"/>
  <cols>
    <col min="1" max="1" width="1.625" style="24" customWidth="1"/>
    <col min="2" max="2" width="1.625" style="132" customWidth="1"/>
    <col min="3" max="3" width="1.625" style="127" customWidth="1"/>
    <col min="4" max="4" width="1.625" style="212" customWidth="1"/>
    <col min="5" max="5" width="45.625" style="117" customWidth="1"/>
    <col min="6" max="7" width="15.625" style="117" customWidth="1"/>
    <col min="8" max="8" width="15.625" style="34" customWidth="1"/>
    <col min="9" max="9" width="2.625" style="34" customWidth="1"/>
    <col min="10" max="20" width="11.625" style="34" customWidth="1"/>
    <col min="21" max="16384" width="11.625" style="34" hidden="1"/>
  </cols>
  <sheetData>
    <row r="1" spans="1:20" s="135" customFormat="1" ht="29.25" x14ac:dyDescent="0.35">
      <c r="A1" s="194" t="str">
        <f ca="1" xml:space="preserve"> RIGHT(CELL("filename", $A$1), LEN(CELL("filename", $A$1)) - SEARCH("]", CELL("filename", $A$1)))</f>
        <v>Outputs</v>
      </c>
      <c r="B1" s="209"/>
      <c r="C1" s="210"/>
      <c r="D1" s="211"/>
      <c r="E1" s="192"/>
      <c r="F1" s="192"/>
      <c r="G1" s="192"/>
      <c r="H1" s="92">
        <f>Inputs!F9</f>
        <v>0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s="18" customFormat="1" x14ac:dyDescent="0.35">
      <c r="A2" s="197"/>
      <c r="B2" s="198"/>
      <c r="C2" s="199"/>
      <c r="D2" s="200"/>
      <c r="E2" s="167" t="str">
        <f>Time!E$22</f>
        <v>Model Period END</v>
      </c>
      <c r="F2" s="167"/>
      <c r="G2" s="167"/>
      <c r="H2" s="17"/>
      <c r="I2" s="17"/>
      <c r="J2" s="17">
        <f>Time!J$22</f>
        <v>42460</v>
      </c>
      <c r="K2" s="17">
        <f>Time!K$22</f>
        <v>42825</v>
      </c>
      <c r="L2" s="17">
        <f>Time!L$22</f>
        <v>43190</v>
      </c>
      <c r="M2" s="17">
        <f>Time!M$22</f>
        <v>43555</v>
      </c>
      <c r="N2" s="17">
        <f>Time!N$22</f>
        <v>43921</v>
      </c>
      <c r="O2" s="17">
        <f>Time!O$22</f>
        <v>44286</v>
      </c>
      <c r="P2" s="17">
        <f>Time!P$22</f>
        <v>44651</v>
      </c>
      <c r="Q2" s="17">
        <f>Time!Q$22</f>
        <v>45016</v>
      </c>
      <c r="R2" s="17">
        <f>Time!R$22</f>
        <v>45382</v>
      </c>
      <c r="S2" s="17">
        <f>Time!S$22</f>
        <v>45747</v>
      </c>
      <c r="T2" s="17">
        <f>Time!T$22</f>
        <v>46112</v>
      </c>
    </row>
    <row r="3" spans="1:20" s="23" customFormat="1" x14ac:dyDescent="0.35">
      <c r="A3" s="193"/>
      <c r="B3" s="198"/>
      <c r="C3" s="199"/>
      <c r="D3" s="200"/>
      <c r="E3" s="167" t="str">
        <f>Time!E$58</f>
        <v>Pre Forecast vs Forecast</v>
      </c>
      <c r="F3" s="167"/>
      <c r="G3" s="167"/>
      <c r="H3" s="17"/>
      <c r="I3" s="17"/>
      <c r="J3" s="1" t="str">
        <f>Time!J$58</f>
        <v>Pre Fcst</v>
      </c>
      <c r="K3" s="1" t="str">
        <f>Time!K$58</f>
        <v>Pre Fcst</v>
      </c>
      <c r="L3" s="1" t="str">
        <f>Time!L$58</f>
        <v>Pre Fcst</v>
      </c>
      <c r="M3" s="1" t="str">
        <f>Time!M$58</f>
        <v>Pre Fcst</v>
      </c>
      <c r="N3" s="1" t="str">
        <f>Time!N$58</f>
        <v>Pre Fcst</v>
      </c>
      <c r="O3" s="1" t="str">
        <f>Time!O$58</f>
        <v>Forecast</v>
      </c>
      <c r="P3" s="1" t="str">
        <f>Time!P$58</f>
        <v>Forecast</v>
      </c>
      <c r="Q3" s="1" t="str">
        <f>Time!Q$58</f>
        <v>Forecast</v>
      </c>
      <c r="R3" s="1" t="str">
        <f>Time!R$58</f>
        <v>Forecast</v>
      </c>
      <c r="S3" s="1" t="str">
        <f>Time!S$58</f>
        <v>Forecast</v>
      </c>
      <c r="T3" s="1" t="str">
        <f>Time!T$58</f>
        <v>Post-Fcst</v>
      </c>
    </row>
    <row r="4" spans="1:20" s="166" customFormat="1" x14ac:dyDescent="0.35">
      <c r="A4" s="193"/>
      <c r="B4" s="201"/>
      <c r="C4" s="199"/>
      <c r="D4" s="202"/>
      <c r="E4" s="168" t="str">
        <f>Time!E$85</f>
        <v>Financial Year Ending</v>
      </c>
      <c r="F4" s="168"/>
      <c r="G4" s="168"/>
      <c r="H4" s="164"/>
      <c r="I4" s="164"/>
      <c r="J4" s="165">
        <f>Time!J$85</f>
        <v>2016</v>
      </c>
      <c r="K4" s="165">
        <f>Time!K$85</f>
        <v>2017</v>
      </c>
      <c r="L4" s="165">
        <f>Time!L$85</f>
        <v>2018</v>
      </c>
      <c r="M4" s="165">
        <f>Time!M$85</f>
        <v>2019</v>
      </c>
      <c r="N4" s="165">
        <f>Time!N$85</f>
        <v>2020</v>
      </c>
      <c r="O4" s="165">
        <f>Time!O$85</f>
        <v>2021</v>
      </c>
      <c r="P4" s="165">
        <f>Time!P$85</f>
        <v>2022</v>
      </c>
      <c r="Q4" s="165">
        <f>Time!Q$85</f>
        <v>2023</v>
      </c>
      <c r="R4" s="165">
        <f>Time!R$85</f>
        <v>2024</v>
      </c>
      <c r="S4" s="165">
        <f>Time!S$85</f>
        <v>2025</v>
      </c>
      <c r="T4" s="165">
        <f>Time!T$85</f>
        <v>2026</v>
      </c>
    </row>
    <row r="5" spans="1:20" s="33" customFormat="1" x14ac:dyDescent="0.35">
      <c r="A5" s="193"/>
      <c r="B5" s="198"/>
      <c r="C5" s="199"/>
      <c r="D5" s="200"/>
      <c r="E5" s="168" t="str">
        <f>Time!E$10</f>
        <v>Model column counter</v>
      </c>
      <c r="F5" s="193" t="s">
        <v>84</v>
      </c>
      <c r="G5" s="193" t="s">
        <v>85</v>
      </c>
      <c r="H5" s="23" t="s">
        <v>86</v>
      </c>
      <c r="I5" s="28"/>
      <c r="J5" s="28">
        <f>Time!J$10</f>
        <v>1</v>
      </c>
      <c r="K5" s="28">
        <f>Time!K$10</f>
        <v>2</v>
      </c>
      <c r="L5" s="28">
        <f>Time!L$10</f>
        <v>3</v>
      </c>
      <c r="M5" s="28">
        <f>Time!M$10</f>
        <v>4</v>
      </c>
      <c r="N5" s="28">
        <f>Time!N$10</f>
        <v>5</v>
      </c>
      <c r="O5" s="28">
        <f>Time!O$10</f>
        <v>6</v>
      </c>
      <c r="P5" s="28">
        <f>Time!P$10</f>
        <v>7</v>
      </c>
      <c r="Q5" s="28">
        <f>Time!Q$10</f>
        <v>8</v>
      </c>
      <c r="R5" s="28">
        <f>Time!R$10</f>
        <v>9</v>
      </c>
      <c r="S5" s="28">
        <f>Time!S$10</f>
        <v>10</v>
      </c>
      <c r="T5" s="28">
        <f>Time!T$10</f>
        <v>11</v>
      </c>
    </row>
    <row r="6" spans="1:20" s="33" customFormat="1" x14ac:dyDescent="0.35">
      <c r="A6" s="193"/>
      <c r="B6" s="198"/>
      <c r="C6" s="199"/>
      <c r="D6" s="200"/>
      <c r="E6" s="168"/>
      <c r="F6" s="193"/>
      <c r="G6" s="193"/>
      <c r="H6" s="23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9" customFormat="1" x14ac:dyDescent="0.35">
      <c r="A7" s="84" t="s">
        <v>292</v>
      </c>
      <c r="B7" s="175"/>
      <c r="C7" s="175"/>
      <c r="D7" s="175"/>
      <c r="E7" s="176"/>
      <c r="F7" s="87"/>
      <c r="G7" s="87"/>
      <c r="H7" s="88"/>
      <c r="I7" s="8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</row>
    <row r="8" spans="1:20" x14ac:dyDescent="0.35"/>
    <row r="9" spans="1:20" x14ac:dyDescent="0.35">
      <c r="C9" s="127" t="s">
        <v>293</v>
      </c>
    </row>
    <row r="10" spans="1:20" x14ac:dyDescent="0.35">
      <c r="E10" s="297" t="str">
        <f ca="1" xml:space="preserve"> 'Water resources'!E$74</f>
        <v>Revised K - Water resources</v>
      </c>
      <c r="F10" s="297">
        <f xml:space="preserve"> 'Water resources'!F$74</f>
        <v>0</v>
      </c>
      <c r="G10" s="297" t="str">
        <f xml:space="preserve"> 'Water resources'!G$74</f>
        <v>Percentage</v>
      </c>
      <c r="H10" s="297">
        <f xml:space="preserve"> 'Water resources'!H$74</f>
        <v>0</v>
      </c>
      <c r="I10" s="297">
        <f xml:space="preserve"> 'Water resources'!I$74</f>
        <v>0</v>
      </c>
      <c r="J10" s="298">
        <f xml:space="preserve"> 'Water resources'!J$74</f>
        <v>0</v>
      </c>
      <c r="K10" s="298">
        <f xml:space="preserve"> 'Water resources'!K$74</f>
        <v>0</v>
      </c>
      <c r="L10" s="298">
        <f xml:space="preserve"> 'Water resources'!L$74</f>
        <v>0</v>
      </c>
      <c r="M10" s="298">
        <f xml:space="preserve"> 'Water resources'!M$74</f>
        <v>0</v>
      </c>
      <c r="N10" s="298">
        <f xml:space="preserve"> 'Water resources'!N$74</f>
        <v>0</v>
      </c>
      <c r="O10" s="298">
        <f xml:space="preserve"> 'Water resources'!O$74</f>
        <v>0</v>
      </c>
      <c r="P10" s="298">
        <f xml:space="preserve"> 'Water resources'!P$74</f>
        <v>0</v>
      </c>
      <c r="Q10" s="298">
        <f xml:space="preserve"> 'Water resources'!Q$74</f>
        <v>0</v>
      </c>
      <c r="R10" s="298">
        <f xml:space="preserve"> 'Water resources'!R$74</f>
        <v>0</v>
      </c>
      <c r="S10" s="298">
        <f xml:space="preserve"> 'Water resources'!S$74</f>
        <v>0</v>
      </c>
      <c r="T10" s="298">
        <f xml:space="preserve"> 'Water resources'!T$74</f>
        <v>0</v>
      </c>
    </row>
    <row r="11" spans="1:20" x14ac:dyDescent="0.35">
      <c r="C11" s="213"/>
      <c r="E11" s="297" t="str">
        <f xml:space="preserve"> 'Water network plus'!E$74</f>
        <v>Revised K - Water network plus</v>
      </c>
      <c r="F11" s="297">
        <f xml:space="preserve"> 'Water network plus'!F$74</f>
        <v>0</v>
      </c>
      <c r="G11" s="297" t="str">
        <f xml:space="preserve"> 'Water network plus'!G$74</f>
        <v>Percentage</v>
      </c>
      <c r="H11" s="297">
        <f xml:space="preserve"> 'Water network plus'!H$74</f>
        <v>0</v>
      </c>
      <c r="I11" s="297">
        <f xml:space="preserve"> 'Water network plus'!I$74</f>
        <v>0</v>
      </c>
      <c r="J11" s="298">
        <f xml:space="preserve"> 'Water network plus'!J$74</f>
        <v>0</v>
      </c>
      <c r="K11" s="298">
        <f xml:space="preserve"> 'Water network plus'!K$74</f>
        <v>0</v>
      </c>
      <c r="L11" s="298">
        <f xml:space="preserve"> 'Water network plus'!L$74</f>
        <v>0</v>
      </c>
      <c r="M11" s="298">
        <f xml:space="preserve"> 'Water network plus'!M$74</f>
        <v>0</v>
      </c>
      <c r="N11" s="298">
        <f xml:space="preserve"> 'Water network plus'!N$74</f>
        <v>0</v>
      </c>
      <c r="O11" s="298">
        <f xml:space="preserve"> 'Water network plus'!O$74</f>
        <v>0</v>
      </c>
      <c r="P11" s="298">
        <f xml:space="preserve"> 'Water network plus'!P$74</f>
        <v>0</v>
      </c>
      <c r="Q11" s="298">
        <f xml:space="preserve"> 'Water network plus'!Q$74</f>
        <v>0</v>
      </c>
      <c r="R11" s="298">
        <f xml:space="preserve"> 'Water network plus'!R$74</f>
        <v>0</v>
      </c>
      <c r="S11" s="298">
        <f xml:space="preserve"> 'Water network plus'!S$74</f>
        <v>0</v>
      </c>
      <c r="T11" s="298">
        <f xml:space="preserve"> 'Water network plus'!T$74</f>
        <v>0</v>
      </c>
    </row>
    <row r="12" spans="1:20" x14ac:dyDescent="0.35">
      <c r="C12" s="213"/>
      <c r="E12" s="297" t="str">
        <f xml:space="preserve"> 'Wastewater network plus'!E$74</f>
        <v>Revised K - Wastewater network plus</v>
      </c>
      <c r="F12" s="297">
        <f xml:space="preserve"> 'Wastewater network plus'!F$74</f>
        <v>0</v>
      </c>
      <c r="G12" s="297" t="str">
        <f xml:space="preserve"> 'Wastewater network plus'!G$74</f>
        <v>Percentage</v>
      </c>
      <c r="H12" s="297">
        <f xml:space="preserve"> 'Wastewater network plus'!H$74</f>
        <v>0</v>
      </c>
      <c r="I12" s="297">
        <f xml:space="preserve"> 'Wastewater network plus'!I$74</f>
        <v>0</v>
      </c>
      <c r="J12" s="298">
        <f xml:space="preserve"> 'Wastewater network plus'!J$74</f>
        <v>0</v>
      </c>
      <c r="K12" s="298">
        <f xml:space="preserve"> 'Wastewater network plus'!K$74</f>
        <v>0</v>
      </c>
      <c r="L12" s="298">
        <f xml:space="preserve"> 'Wastewater network plus'!L$74</f>
        <v>0</v>
      </c>
      <c r="M12" s="298">
        <f xml:space="preserve"> 'Wastewater network plus'!M$74</f>
        <v>0</v>
      </c>
      <c r="N12" s="298">
        <f xml:space="preserve"> 'Wastewater network plus'!N$74</f>
        <v>0</v>
      </c>
      <c r="O12" s="298">
        <f xml:space="preserve"> 'Wastewater network plus'!O$74</f>
        <v>0</v>
      </c>
      <c r="P12" s="298">
        <f xml:space="preserve"> 'Wastewater network plus'!P$74</f>
        <v>0</v>
      </c>
      <c r="Q12" s="298">
        <f xml:space="preserve"> 'Wastewater network plus'!Q$74</f>
        <v>0</v>
      </c>
      <c r="R12" s="298">
        <f xml:space="preserve"> 'Wastewater network plus'!R$74</f>
        <v>0</v>
      </c>
      <c r="S12" s="298">
        <f xml:space="preserve"> 'Wastewater network plus'!S$74</f>
        <v>0</v>
      </c>
      <c r="T12" s="298">
        <f xml:space="preserve"> 'Wastewater network plus'!T$74</f>
        <v>0</v>
      </c>
    </row>
    <row r="13" spans="1:20" x14ac:dyDescent="0.35">
      <c r="C13" s="214"/>
      <c r="D13" s="215"/>
      <c r="E13" s="297" t="str">
        <f xml:space="preserve"> 'Dummy control'!E$74</f>
        <v>Revised K - Dummy control</v>
      </c>
      <c r="F13" s="297">
        <f xml:space="preserve"> 'Dummy control'!F$74</f>
        <v>0</v>
      </c>
      <c r="G13" s="297" t="str">
        <f xml:space="preserve"> 'Dummy control'!G$74</f>
        <v>Percentage</v>
      </c>
      <c r="H13" s="297">
        <f xml:space="preserve"> 'Dummy control'!H$74</f>
        <v>0</v>
      </c>
      <c r="I13" s="297">
        <f xml:space="preserve"> 'Dummy control'!I$74</f>
        <v>0</v>
      </c>
      <c r="J13" s="298">
        <f xml:space="preserve"> 'Dummy control'!J$74</f>
        <v>0</v>
      </c>
      <c r="K13" s="298">
        <f xml:space="preserve"> 'Dummy control'!K$74</f>
        <v>0</v>
      </c>
      <c r="L13" s="298">
        <f xml:space="preserve"> 'Dummy control'!L$74</f>
        <v>0</v>
      </c>
      <c r="M13" s="298">
        <f xml:space="preserve"> 'Dummy control'!M$74</f>
        <v>0</v>
      </c>
      <c r="N13" s="298">
        <f xml:space="preserve"> 'Dummy control'!N$74</f>
        <v>0</v>
      </c>
      <c r="O13" s="298">
        <f xml:space="preserve"> 'Dummy control'!O$74</f>
        <v>0</v>
      </c>
      <c r="P13" s="298">
        <f xml:space="preserve"> 'Dummy control'!P$74</f>
        <v>0</v>
      </c>
      <c r="Q13" s="298">
        <f xml:space="preserve"> 'Dummy control'!Q$74</f>
        <v>0</v>
      </c>
      <c r="R13" s="298">
        <f xml:space="preserve"> 'Dummy control'!R$74</f>
        <v>0</v>
      </c>
      <c r="S13" s="298">
        <f xml:space="preserve"> 'Dummy control'!S$74</f>
        <v>0</v>
      </c>
      <c r="T13" s="298">
        <f xml:space="preserve"> 'Dummy control'!T$74</f>
        <v>0</v>
      </c>
    </row>
    <row r="14" spans="1:20" x14ac:dyDescent="0.35">
      <c r="C14" s="214"/>
      <c r="D14" s="215"/>
    </row>
    <row r="15" spans="1:20" x14ac:dyDescent="0.35">
      <c r="C15" s="127" t="s">
        <v>79</v>
      </c>
      <c r="D15" s="215"/>
    </row>
    <row r="16" spans="1:20" x14ac:dyDescent="0.35">
      <c r="C16" s="213"/>
      <c r="E16" s="299" t="str">
        <f xml:space="preserve"> 'Bioresources (sludge)'!E$58</f>
        <v>Revised total revenue (URt)</v>
      </c>
      <c r="F16" s="299">
        <f xml:space="preserve"> 'Bioresources (sludge)'!F$58</f>
        <v>0</v>
      </c>
      <c r="G16" s="299" t="str">
        <f xml:space="preserve"> 'Bioresources (sludge)'!G$58</f>
        <v>£m (2017-18 prices)</v>
      </c>
      <c r="H16" s="299">
        <f xml:space="preserve"> 'Bioresources (sludge)'!H$58</f>
        <v>0</v>
      </c>
      <c r="I16" s="299">
        <f xml:space="preserve"> 'Bioresources (sludge)'!I$58</f>
        <v>0</v>
      </c>
      <c r="J16" s="300">
        <f xml:space="preserve"> 'Bioresources (sludge)'!J$58</f>
        <v>0</v>
      </c>
      <c r="K16" s="300">
        <f xml:space="preserve"> 'Bioresources (sludge)'!K$58</f>
        <v>0</v>
      </c>
      <c r="L16" s="300">
        <f xml:space="preserve"> 'Bioresources (sludge)'!L$58</f>
        <v>0</v>
      </c>
      <c r="M16" s="300">
        <f xml:space="preserve"> 'Bioresources (sludge)'!M$58</f>
        <v>0</v>
      </c>
      <c r="N16" s="300">
        <f xml:space="preserve"> 'Bioresources (sludge)'!N$58</f>
        <v>0</v>
      </c>
      <c r="O16" s="300">
        <f xml:space="preserve"> 'Bioresources (sludge)'!O$58</f>
        <v>0</v>
      </c>
      <c r="P16" s="300">
        <f xml:space="preserve"> 'Bioresources (sludge)'!P$58</f>
        <v>0</v>
      </c>
      <c r="Q16" s="300">
        <f xml:space="preserve"> 'Bioresources (sludge)'!Q$58</f>
        <v>0</v>
      </c>
      <c r="R16" s="300">
        <f xml:space="preserve"> 'Bioresources (sludge)'!R$58</f>
        <v>0</v>
      </c>
      <c r="S16" s="300">
        <f xml:space="preserve"> 'Bioresources (sludge)'!S$58</f>
        <v>0</v>
      </c>
      <c r="T16" s="300">
        <f xml:space="preserve"> 'Bioresources (sludge)'!T$58</f>
        <v>0</v>
      </c>
    </row>
    <row r="17" spans="1:20" x14ac:dyDescent="0.35">
      <c r="C17" s="213"/>
    </row>
    <row r="18" spans="1:20" x14ac:dyDescent="0.35">
      <c r="C18" s="214" t="s">
        <v>75</v>
      </c>
    </row>
    <row r="19" spans="1:20" x14ac:dyDescent="0.35">
      <c r="C19" s="214"/>
      <c r="E19" s="233" t="str">
        <f xml:space="preserve"> 'Residential retail'!E$53</f>
        <v>Revised total revenue (TRt)</v>
      </c>
      <c r="F19" s="233">
        <f xml:space="preserve"> 'Residential retail'!F$53</f>
        <v>0</v>
      </c>
      <c r="G19" s="233" t="str">
        <f xml:space="preserve"> 'Residential retail'!G$53</f>
        <v>£m (nominal)</v>
      </c>
      <c r="H19" s="233">
        <f xml:space="preserve"> 'Residential retail'!H$53</f>
        <v>0</v>
      </c>
      <c r="I19" s="233">
        <f xml:space="preserve"> 'Residential retail'!I$53</f>
        <v>0</v>
      </c>
      <c r="J19" s="233">
        <f xml:space="preserve"> 'Residential retail'!J$53</f>
        <v>0</v>
      </c>
      <c r="K19" s="233">
        <f xml:space="preserve"> 'Residential retail'!K$53</f>
        <v>0</v>
      </c>
      <c r="L19" s="233">
        <f xml:space="preserve"> 'Residential retail'!L$53</f>
        <v>0</v>
      </c>
      <c r="M19" s="233">
        <f xml:space="preserve"> 'Residential retail'!M$53</f>
        <v>0</v>
      </c>
      <c r="N19" s="233">
        <f xml:space="preserve"> 'Residential retail'!N$53</f>
        <v>0</v>
      </c>
      <c r="O19" s="233">
        <f xml:space="preserve"> 'Residential retail'!O$53</f>
        <v>0</v>
      </c>
      <c r="P19" s="233">
        <f xml:space="preserve"> 'Residential retail'!P$53</f>
        <v>0</v>
      </c>
      <c r="Q19" s="233">
        <f xml:space="preserve"> 'Residential retail'!Q$53</f>
        <v>0</v>
      </c>
      <c r="R19" s="233">
        <f xml:space="preserve"> 'Residential retail'!R$53</f>
        <v>0</v>
      </c>
      <c r="S19" s="233">
        <f xml:space="preserve"> 'Residential retail'!S$53</f>
        <v>0</v>
      </c>
      <c r="T19" s="233">
        <f xml:space="preserve"> 'Residential retail'!T$53</f>
        <v>0</v>
      </c>
    </row>
    <row r="20" spans="1:20" x14ac:dyDescent="0.35">
      <c r="C20" s="214"/>
    </row>
    <row r="21" spans="1:20" x14ac:dyDescent="0.35">
      <c r="C21" s="214" t="s">
        <v>77</v>
      </c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</row>
    <row r="22" spans="1:20" x14ac:dyDescent="0.35">
      <c r="C22" s="117"/>
      <c r="E22" s="297" t="str">
        <f xml:space="preserve"> 'Business retail'!E$95</f>
        <v>Customer type 1 - revised allowed average retail cost component (rct)</v>
      </c>
      <c r="F22" s="297">
        <f xml:space="preserve"> 'Business retail'!F$95</f>
        <v>0</v>
      </c>
      <c r="G22" s="297" t="str">
        <f xml:space="preserve"> 'Business retail'!G$95</f>
        <v>£ (nominal)</v>
      </c>
      <c r="H22" s="297">
        <f xml:space="preserve"> 'Business retail'!H$95</f>
        <v>0</v>
      </c>
      <c r="I22" s="297">
        <f xml:space="preserve"> 'Business retail'!I$95</f>
        <v>0</v>
      </c>
      <c r="J22" s="300">
        <f xml:space="preserve"> 'Business retail'!J$95</f>
        <v>0</v>
      </c>
      <c r="K22" s="300">
        <f xml:space="preserve"> 'Business retail'!K$95</f>
        <v>0</v>
      </c>
      <c r="L22" s="300">
        <f xml:space="preserve"> 'Business retail'!L$95</f>
        <v>0</v>
      </c>
      <c r="M22" s="300">
        <f xml:space="preserve"> 'Business retail'!M$95</f>
        <v>0</v>
      </c>
      <c r="N22" s="300">
        <f xml:space="preserve"> 'Business retail'!N$95</f>
        <v>0</v>
      </c>
      <c r="O22" s="300">
        <f xml:space="preserve"> 'Business retail'!O$95</f>
        <v>0</v>
      </c>
      <c r="P22" s="300">
        <f xml:space="preserve"> 'Business retail'!P$95</f>
        <v>0</v>
      </c>
      <c r="Q22" s="300">
        <f xml:space="preserve"> 'Business retail'!Q$95</f>
        <v>0</v>
      </c>
      <c r="R22" s="300">
        <f xml:space="preserve"> 'Business retail'!R$95</f>
        <v>0</v>
      </c>
      <c r="S22" s="300">
        <f xml:space="preserve"> 'Business retail'!S$95</f>
        <v>0</v>
      </c>
      <c r="T22" s="300">
        <f xml:space="preserve"> 'Business retail'!T$95</f>
        <v>0</v>
      </c>
    </row>
    <row r="23" spans="1:20" x14ac:dyDescent="0.35">
      <c r="C23" s="117"/>
      <c r="E23" s="297" t="str">
        <f xml:space="preserve"> 'Business retail'!E$96</f>
        <v>Customer type 2 - revised allowed average retail cost component (rct)</v>
      </c>
      <c r="F23" s="297">
        <f xml:space="preserve"> 'Business retail'!F$96</f>
        <v>0</v>
      </c>
      <c r="G23" s="297" t="str">
        <f xml:space="preserve"> 'Business retail'!G$96</f>
        <v>£ (nominal)</v>
      </c>
      <c r="H23" s="297">
        <f xml:space="preserve"> 'Business retail'!H$96</f>
        <v>0</v>
      </c>
      <c r="I23" s="297">
        <f xml:space="preserve"> 'Business retail'!I$96</f>
        <v>0</v>
      </c>
      <c r="J23" s="300">
        <f xml:space="preserve"> 'Business retail'!J$96</f>
        <v>0</v>
      </c>
      <c r="K23" s="300">
        <f xml:space="preserve"> 'Business retail'!K$96</f>
        <v>0</v>
      </c>
      <c r="L23" s="300">
        <f xml:space="preserve"> 'Business retail'!L$96</f>
        <v>0</v>
      </c>
      <c r="M23" s="300">
        <f xml:space="preserve"> 'Business retail'!M$96</f>
        <v>0</v>
      </c>
      <c r="N23" s="300">
        <f xml:space="preserve"> 'Business retail'!N$96</f>
        <v>0</v>
      </c>
      <c r="O23" s="300">
        <f xml:space="preserve"> 'Business retail'!O$96</f>
        <v>0</v>
      </c>
      <c r="P23" s="300">
        <f xml:space="preserve"> 'Business retail'!P$96</f>
        <v>0</v>
      </c>
      <c r="Q23" s="300">
        <f xml:space="preserve"> 'Business retail'!Q$96</f>
        <v>0</v>
      </c>
      <c r="R23" s="300">
        <f xml:space="preserve"> 'Business retail'!R$96</f>
        <v>0</v>
      </c>
      <c r="S23" s="300">
        <f xml:space="preserve"> 'Business retail'!S$96</f>
        <v>0</v>
      </c>
      <c r="T23" s="300">
        <f xml:space="preserve"> 'Business retail'!T$96</f>
        <v>0</v>
      </c>
    </row>
    <row r="24" spans="1:20" x14ac:dyDescent="0.35">
      <c r="C24" s="117"/>
      <c r="E24" s="297" t="str">
        <f xml:space="preserve"> 'Business retail'!E$97</f>
        <v>Customer type 3 - revised allowed average retail cost component (rct)</v>
      </c>
      <c r="F24" s="297">
        <f xml:space="preserve"> 'Business retail'!F$97</f>
        <v>0</v>
      </c>
      <c r="G24" s="297" t="str">
        <f xml:space="preserve"> 'Business retail'!G$97</f>
        <v>£ (nominal)</v>
      </c>
      <c r="H24" s="297">
        <f xml:space="preserve"> 'Business retail'!H$97</f>
        <v>0</v>
      </c>
      <c r="I24" s="297">
        <f xml:space="preserve"> 'Business retail'!I$97</f>
        <v>0</v>
      </c>
      <c r="J24" s="300">
        <f xml:space="preserve"> 'Business retail'!J$97</f>
        <v>0</v>
      </c>
      <c r="K24" s="300">
        <f xml:space="preserve"> 'Business retail'!K$97</f>
        <v>0</v>
      </c>
      <c r="L24" s="300">
        <f xml:space="preserve"> 'Business retail'!L$97</f>
        <v>0</v>
      </c>
      <c r="M24" s="300">
        <f xml:space="preserve"> 'Business retail'!M$97</f>
        <v>0</v>
      </c>
      <c r="N24" s="300">
        <f xml:space="preserve"> 'Business retail'!N$97</f>
        <v>0</v>
      </c>
      <c r="O24" s="300">
        <f xml:space="preserve"> 'Business retail'!O$97</f>
        <v>0</v>
      </c>
      <c r="P24" s="300">
        <f xml:space="preserve"> 'Business retail'!P$97</f>
        <v>0</v>
      </c>
      <c r="Q24" s="300">
        <f xml:space="preserve"> 'Business retail'!Q$97</f>
        <v>0</v>
      </c>
      <c r="R24" s="300">
        <f xml:space="preserve"> 'Business retail'!R$97</f>
        <v>0</v>
      </c>
      <c r="S24" s="300">
        <f xml:space="preserve"> 'Business retail'!S$97</f>
        <v>0</v>
      </c>
      <c r="T24" s="300">
        <f xml:space="preserve"> 'Business retail'!T$97</f>
        <v>0</v>
      </c>
    </row>
    <row r="25" spans="1:20" x14ac:dyDescent="0.35">
      <c r="C25" s="117"/>
      <c r="E25" s="297" t="str">
        <f xml:space="preserve"> 'Business retail'!E$98</f>
        <v>Customer type 4 - revised allowed average retail cost component (rct)</v>
      </c>
      <c r="F25" s="297">
        <f xml:space="preserve"> 'Business retail'!F$98</f>
        <v>0</v>
      </c>
      <c r="G25" s="297" t="str">
        <f xml:space="preserve"> 'Business retail'!G$98</f>
        <v>£ (nominal)</v>
      </c>
      <c r="H25" s="297">
        <f xml:space="preserve"> 'Business retail'!H$98</f>
        <v>0</v>
      </c>
      <c r="I25" s="297">
        <f xml:space="preserve"> 'Business retail'!I$98</f>
        <v>0</v>
      </c>
      <c r="J25" s="300">
        <f xml:space="preserve"> 'Business retail'!J$98</f>
        <v>0</v>
      </c>
      <c r="K25" s="300">
        <f xml:space="preserve"> 'Business retail'!K$98</f>
        <v>0</v>
      </c>
      <c r="L25" s="300">
        <f xml:space="preserve"> 'Business retail'!L$98</f>
        <v>0</v>
      </c>
      <c r="M25" s="300">
        <f xml:space="preserve"> 'Business retail'!M$98</f>
        <v>0</v>
      </c>
      <c r="N25" s="300">
        <f xml:space="preserve"> 'Business retail'!N$98</f>
        <v>0</v>
      </c>
      <c r="O25" s="300">
        <f xml:space="preserve"> 'Business retail'!O$98</f>
        <v>0</v>
      </c>
      <c r="P25" s="300">
        <f xml:space="preserve"> 'Business retail'!P$98</f>
        <v>0</v>
      </c>
      <c r="Q25" s="300">
        <f xml:space="preserve"> 'Business retail'!Q$98</f>
        <v>0</v>
      </c>
      <c r="R25" s="300">
        <f xml:space="preserve"> 'Business retail'!R$98</f>
        <v>0</v>
      </c>
      <c r="S25" s="300">
        <f xml:space="preserve"> 'Business retail'!S$98</f>
        <v>0</v>
      </c>
      <c r="T25" s="300">
        <f xml:space="preserve"> 'Business retail'!T$98</f>
        <v>0</v>
      </c>
    </row>
    <row r="26" spans="1:20" x14ac:dyDescent="0.35">
      <c r="C26" s="117"/>
      <c r="E26" s="297" t="str">
        <f xml:space="preserve"> 'Business retail'!E$99</f>
        <v>Customer type 5 - revised allowed average retail cost component (rct)</v>
      </c>
      <c r="F26" s="297">
        <f xml:space="preserve"> 'Business retail'!F$99</f>
        <v>0</v>
      </c>
      <c r="G26" s="297" t="str">
        <f xml:space="preserve"> 'Business retail'!G$99</f>
        <v>£ (nominal)</v>
      </c>
      <c r="H26" s="297">
        <f xml:space="preserve"> 'Business retail'!H$99</f>
        <v>0</v>
      </c>
      <c r="I26" s="297">
        <f xml:space="preserve"> 'Business retail'!I$99</f>
        <v>0</v>
      </c>
      <c r="J26" s="300">
        <f xml:space="preserve"> 'Business retail'!J$99</f>
        <v>0</v>
      </c>
      <c r="K26" s="300">
        <f xml:space="preserve"> 'Business retail'!K$99</f>
        <v>0</v>
      </c>
      <c r="L26" s="300">
        <f xml:space="preserve"> 'Business retail'!L$99</f>
        <v>0</v>
      </c>
      <c r="M26" s="300">
        <f xml:space="preserve"> 'Business retail'!M$99</f>
        <v>0</v>
      </c>
      <c r="N26" s="300">
        <f xml:space="preserve"> 'Business retail'!N$99</f>
        <v>0</v>
      </c>
      <c r="O26" s="300">
        <f xml:space="preserve"> 'Business retail'!O$99</f>
        <v>0</v>
      </c>
      <c r="P26" s="300">
        <f xml:space="preserve"> 'Business retail'!P$99</f>
        <v>0</v>
      </c>
      <c r="Q26" s="300">
        <f xml:space="preserve"> 'Business retail'!Q$99</f>
        <v>0</v>
      </c>
      <c r="R26" s="300">
        <f xml:space="preserve"> 'Business retail'!R$99</f>
        <v>0</v>
      </c>
      <c r="S26" s="300">
        <f xml:space="preserve"> 'Business retail'!S$99</f>
        <v>0</v>
      </c>
      <c r="T26" s="300">
        <f xml:space="preserve"> 'Business retail'!T$99</f>
        <v>0</v>
      </c>
    </row>
    <row r="27" spans="1:20" x14ac:dyDescent="0.35">
      <c r="C27" s="213"/>
    </row>
    <row r="28" spans="1:20" s="9" customFormat="1" x14ac:dyDescent="0.35">
      <c r="A28" s="84" t="s">
        <v>294</v>
      </c>
      <c r="B28" s="216"/>
      <c r="C28" s="176"/>
      <c r="D28" s="176"/>
      <c r="E28" s="176"/>
      <c r="F28" s="87"/>
      <c r="G28" s="87"/>
      <c r="H28" s="88"/>
      <c r="I28" s="89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1:20" x14ac:dyDescent="0.35">
      <c r="C29" s="213"/>
    </row>
    <row r="30" spans="1:20" x14ac:dyDescent="0.35">
      <c r="C30" s="213"/>
      <c r="E30" s="233" t="str">
        <f xml:space="preserve"> 'Abatements and deferrals'!E$100</f>
        <v>Water resources</v>
      </c>
      <c r="F30" s="233">
        <f xml:space="preserve"> 'Abatements and deferrals'!F$100</f>
        <v>0</v>
      </c>
      <c r="G30" s="233" t="str">
        <f xml:space="preserve"> 'Abatements and deferrals'!G$100</f>
        <v>£m (2017-18 prices)</v>
      </c>
      <c r="H30" s="233">
        <f xml:space="preserve"> 'Abatements and deferrals'!H$100</f>
        <v>0</v>
      </c>
    </row>
    <row r="31" spans="1:20" x14ac:dyDescent="0.35">
      <c r="C31" s="213"/>
      <c r="E31" s="233" t="str">
        <f xml:space="preserve"> 'Abatements and deferrals'!E$101</f>
        <v>Water network plus</v>
      </c>
      <c r="F31" s="233">
        <f xml:space="preserve"> 'Abatements and deferrals'!F$101</f>
        <v>0</v>
      </c>
      <c r="G31" s="233" t="str">
        <f xml:space="preserve"> 'Abatements and deferrals'!G$101</f>
        <v>£m (2017-18 prices)</v>
      </c>
      <c r="H31" s="233">
        <f xml:space="preserve"> 'Abatements and deferrals'!H$101</f>
        <v>0</v>
      </c>
    </row>
    <row r="32" spans="1:20" x14ac:dyDescent="0.35">
      <c r="C32" s="213"/>
      <c r="E32" s="233" t="str">
        <f xml:space="preserve"> 'Abatements and deferrals'!E$102</f>
        <v>Wastewater network plus</v>
      </c>
      <c r="F32" s="233">
        <f xml:space="preserve"> 'Abatements and deferrals'!F$102</f>
        <v>0</v>
      </c>
      <c r="G32" s="233" t="str">
        <f xml:space="preserve"> 'Abatements and deferrals'!G$102</f>
        <v>£m (2017-18 prices)</v>
      </c>
      <c r="H32" s="233">
        <f xml:space="preserve"> 'Abatements and deferrals'!H$102</f>
        <v>0</v>
      </c>
    </row>
    <row r="33" spans="1:20" x14ac:dyDescent="0.35">
      <c r="C33" s="213"/>
      <c r="E33" s="233" t="str">
        <f xml:space="preserve"> 'Abatements and deferrals'!E$103</f>
        <v>Bioresources (sludge)</v>
      </c>
      <c r="F33" s="233">
        <f xml:space="preserve"> 'Abatements and deferrals'!F$103</f>
        <v>0</v>
      </c>
      <c r="G33" s="233" t="str">
        <f xml:space="preserve"> 'Abatements and deferrals'!G$103</f>
        <v>£m (2017-18 prices)</v>
      </c>
      <c r="H33" s="233">
        <f xml:space="preserve"> 'Abatements and deferrals'!H$103</f>
        <v>0</v>
      </c>
    </row>
    <row r="34" spans="1:20" x14ac:dyDescent="0.35">
      <c r="C34" s="213"/>
      <c r="E34" s="233" t="str">
        <f xml:space="preserve"> 'Abatements and deferrals'!E$104</f>
        <v>Residential retail</v>
      </c>
      <c r="F34" s="233">
        <f xml:space="preserve"> 'Abatements and deferrals'!F$104</f>
        <v>0</v>
      </c>
      <c r="G34" s="233" t="str">
        <f xml:space="preserve"> 'Abatements and deferrals'!G$104</f>
        <v>£m (2017-18 prices)</v>
      </c>
      <c r="H34" s="233">
        <f xml:space="preserve"> 'Abatements and deferrals'!H$104</f>
        <v>0</v>
      </c>
    </row>
    <row r="35" spans="1:20" x14ac:dyDescent="0.35">
      <c r="C35" s="213"/>
      <c r="E35" s="233" t="str">
        <f xml:space="preserve"> 'Abatements and deferrals'!E$105</f>
        <v>Business retail</v>
      </c>
      <c r="F35" s="233">
        <f xml:space="preserve"> 'Abatements and deferrals'!F$105</f>
        <v>0</v>
      </c>
      <c r="G35" s="233" t="str">
        <f xml:space="preserve"> 'Abatements and deferrals'!G$105</f>
        <v>£m (2017-18 prices)</v>
      </c>
      <c r="H35" s="233">
        <f xml:space="preserve"> 'Abatements and deferrals'!H$105</f>
        <v>0</v>
      </c>
    </row>
    <row r="36" spans="1:20" x14ac:dyDescent="0.35">
      <c r="C36" s="213"/>
      <c r="E36" s="233" t="str">
        <f xml:space="preserve"> 'Abatements and deferrals'!E$106</f>
        <v>Dummy control</v>
      </c>
      <c r="F36" s="233">
        <f xml:space="preserve"> 'Abatements and deferrals'!F$106</f>
        <v>0</v>
      </c>
      <c r="G36" s="233" t="str">
        <f xml:space="preserve"> 'Abatements and deferrals'!G$106</f>
        <v>£m (2017-18 prices)</v>
      </c>
      <c r="H36" s="233">
        <f xml:space="preserve"> 'Abatements and deferrals'!H$106</f>
        <v>0</v>
      </c>
    </row>
    <row r="37" spans="1:20" x14ac:dyDescent="0.35"/>
    <row r="38" spans="1:20" x14ac:dyDescent="0.35">
      <c r="A38" s="139" t="s">
        <v>83</v>
      </c>
      <c r="B38" s="188"/>
      <c r="C38" s="189"/>
      <c r="D38" s="190"/>
      <c r="E38" s="191"/>
      <c r="F38" s="191"/>
      <c r="G38" s="19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35"/>
  </sheetData>
  <conditionalFormatting sqref="H30:H36">
    <cfRule type="cellIs" dxfId="8" priority="11" operator="equal">
      <formula>0</formula>
    </cfRule>
  </conditionalFormatting>
  <conditionalFormatting sqref="J10:T13">
    <cfRule type="cellIs" dxfId="7" priority="9" operator="equal">
      <formula>0</formula>
    </cfRule>
  </conditionalFormatting>
  <conditionalFormatting sqref="J21:T21">
    <cfRule type="cellIs" dxfId="6" priority="7" operator="equal">
      <formula>0</formula>
    </cfRule>
  </conditionalFormatting>
  <conditionalFormatting sqref="J22:T26">
    <cfRule type="cellIs" dxfId="5" priority="6" operator="equal">
      <formula>0</formula>
    </cfRule>
  </conditionalFormatting>
  <conditionalFormatting sqref="J19:T19">
    <cfRule type="cellIs" dxfId="4" priority="5" operator="equal">
      <formula>0</formula>
    </cfRule>
  </conditionalFormatting>
  <conditionalFormatting sqref="J16:T16">
    <cfRule type="cellIs" dxfId="3" priority="4" operator="equal">
      <formula>0</formula>
    </cfRule>
  </conditionalFormatting>
  <conditionalFormatting sqref="J3:T3">
    <cfRule type="cellIs" dxfId="2" priority="1" operator="equal">
      <formula>"Post-Fcst"</formula>
    </cfRule>
    <cfRule type="cellIs" dxfId="1" priority="2" operator="equal">
      <formula>"Forecast"</formula>
    </cfRule>
    <cfRule type="cellIs" dxfId="0" priority="3" operator="equal">
      <formula>"Pre Fcst"</formula>
    </cfRule>
  </conditionalFormatting>
  <printOptions headings="1"/>
  <pageMargins left="0.7" right="0.7" top="0.75" bottom="0.75" header="0.3" footer="0.3"/>
  <pageSetup paperSize="9" scale="51" orientation="landscape" blackAndWhite="1" r:id="rId1"/>
  <headerFooter>
    <oddHeader xml:space="preserve">&amp;L&amp;F &amp;CSheet: &amp;A &amp;ROFFICIAL </oddHeader>
    <oddFooter xml:space="preserve">&amp;L&amp;D at &amp;T &amp;C&amp;P of &amp;N &amp;ROfwat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DCD8"/>
  </sheetPr>
  <dimension ref="A1:K39"/>
  <sheetViews>
    <sheetView view="pageBreakPreview" zoomScale="60" zoomScaleNormal="100" workbookViewId="0">
      <pane ySplit="1" topLeftCell="A2" activePane="bottomLeft" state="frozen"/>
      <selection pane="bottomLeft"/>
    </sheetView>
  </sheetViews>
  <sheetFormatPr defaultColWidth="9.125" defaultRowHeight="12.75" x14ac:dyDescent="0.35"/>
  <cols>
    <col min="1" max="4" width="2.375" style="302" customWidth="1"/>
    <col min="5" max="5" width="40.875" style="302" customWidth="1"/>
    <col min="6" max="6" width="2.375" style="302" customWidth="1"/>
    <col min="7" max="7" width="32.125" style="302" customWidth="1"/>
    <col min="8" max="8" width="2.375" style="302" customWidth="1"/>
    <col min="9" max="9" width="37.5" style="302" customWidth="1"/>
    <col min="10" max="10" width="2.375" style="302" customWidth="1"/>
    <col min="11" max="11" width="22.25" style="302" customWidth="1"/>
    <col min="12" max="16384" width="9.125" style="302"/>
  </cols>
  <sheetData>
    <row r="1" spans="1:11" ht="31.9" x14ac:dyDescent="1.05">
      <c r="A1" s="338" t="str">
        <f ca="1" xml:space="preserve"> RIGHT(CELL("filename", $A$1), LEN(CELL("filename", $A$1)) - SEARCH("]", CELL("filename", $A$1)))</f>
        <v>Style Guide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3" spans="1:11" ht="14.65" x14ac:dyDescent="0.5">
      <c r="A3" s="339" t="s">
        <v>24</v>
      </c>
      <c r="I3" s="340"/>
      <c r="K3" s="340"/>
    </row>
    <row r="5" spans="1:11" ht="13.5" x14ac:dyDescent="0.45">
      <c r="B5" s="341" t="s">
        <v>25</v>
      </c>
    </row>
    <row r="6" spans="1:11" x14ac:dyDescent="0.35">
      <c r="E6" s="342" t="s">
        <v>26</v>
      </c>
      <c r="G6" s="302" t="s">
        <v>27</v>
      </c>
    </row>
    <row r="8" spans="1:11" x14ac:dyDescent="0.35">
      <c r="E8" s="313" t="s">
        <v>28</v>
      </c>
      <c r="G8" s="302" t="s">
        <v>29</v>
      </c>
    </row>
    <row r="10" spans="1:11" x14ac:dyDescent="0.35">
      <c r="E10" s="343" t="s">
        <v>30</v>
      </c>
      <c r="G10" s="302" t="s">
        <v>31</v>
      </c>
    </row>
    <row r="12" spans="1:11" x14ac:dyDescent="0.35">
      <c r="E12" s="302" t="s">
        <v>32</v>
      </c>
    </row>
    <row r="13" spans="1:11" x14ac:dyDescent="0.35">
      <c r="E13" s="302" t="s">
        <v>33</v>
      </c>
    </row>
    <row r="15" spans="1:11" x14ac:dyDescent="0.35">
      <c r="E15" s="344" t="s">
        <v>34</v>
      </c>
      <c r="G15" s="302" t="s">
        <v>35</v>
      </c>
    </row>
    <row r="17" spans="1:7" ht="13.5" x14ac:dyDescent="0.45">
      <c r="B17" s="341" t="s">
        <v>36</v>
      </c>
    </row>
    <row r="18" spans="1:7" x14ac:dyDescent="0.35">
      <c r="E18" s="345" t="s">
        <v>37</v>
      </c>
      <c r="G18" s="302" t="s">
        <v>38</v>
      </c>
    </row>
    <row r="20" spans="1:7" x14ac:dyDescent="0.35">
      <c r="E20" s="346" t="s">
        <v>39</v>
      </c>
      <c r="G20" s="302" t="s">
        <v>40</v>
      </c>
    </row>
    <row r="22" spans="1:7" ht="13.5" x14ac:dyDescent="0.45">
      <c r="B22" s="341" t="s">
        <v>41</v>
      </c>
    </row>
    <row r="23" spans="1:7" ht="13.5" x14ac:dyDescent="0.45">
      <c r="E23" s="314" t="s">
        <v>42</v>
      </c>
      <c r="G23" s="302" t="s">
        <v>43</v>
      </c>
    </row>
    <row r="25" spans="1:7" ht="13.5" x14ac:dyDescent="0.45">
      <c r="E25" s="312" t="s">
        <v>44</v>
      </c>
      <c r="G25" s="302" t="s">
        <v>45</v>
      </c>
    </row>
    <row r="28" spans="1:7" ht="14.65" x14ac:dyDescent="0.5">
      <c r="A28" s="349" t="s">
        <v>46</v>
      </c>
      <c r="B28" s="348"/>
      <c r="C28" s="348"/>
      <c r="D28" s="348"/>
      <c r="E28"/>
      <c r="F28" s="348"/>
      <c r="G28" s="348"/>
    </row>
    <row r="30" spans="1:7" x14ac:dyDescent="0.35">
      <c r="E30" s="315"/>
      <c r="G30" s="302" t="s">
        <v>47</v>
      </c>
    </row>
    <row r="32" spans="1:7" x14ac:dyDescent="0.35">
      <c r="E32" s="347"/>
      <c r="G32" s="302" t="s">
        <v>48</v>
      </c>
    </row>
    <row r="34" spans="1:11" x14ac:dyDescent="0.35">
      <c r="E34" s="316"/>
      <c r="G34" s="302" t="s">
        <v>49</v>
      </c>
    </row>
    <row r="36" spans="1:11" x14ac:dyDescent="0.35">
      <c r="E36" s="317"/>
      <c r="G36" s="302" t="s">
        <v>50</v>
      </c>
    </row>
    <row r="39" spans="1:11" ht="13.5" x14ac:dyDescent="0.45">
      <c r="A39" s="312" t="s">
        <v>23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</row>
  </sheetData>
  <pageMargins left="0.7" right="0.7" top="0.75" bottom="0.75" header="0.3" footer="0.3"/>
  <pageSetup paperSize="9" scale="69" fitToHeight="0" orientation="landscape" r:id="rId1"/>
  <headerFooter>
    <oddHeader xml:space="preserve">&amp;L&amp;F &amp;CSheet: &amp;A &amp;ROFFICIAL </oddHeader>
    <oddFooter xml:space="preserve">&amp;L&amp;D at &amp;T &amp;C&amp;P of &amp;N &amp;ROfwat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M151"/>
  <sheetViews>
    <sheetView view="pageBreakPreview" zoomScale="60" zoomScaleNormal="100" workbookViewId="0"/>
  </sheetViews>
  <sheetFormatPr defaultColWidth="0" defaultRowHeight="12.4" customHeight="1" zeroHeight="1" x14ac:dyDescent="0.35"/>
  <cols>
    <col min="1" max="1" width="2.375" style="321" customWidth="1"/>
    <col min="2" max="2" width="33.875" style="321" bestFit="1" customWidth="1"/>
    <col min="3" max="3" width="3.25" style="321" customWidth="1"/>
    <col min="4" max="4" width="33.875" style="321" bestFit="1" customWidth="1"/>
    <col min="5" max="5" width="3.25" style="321" customWidth="1"/>
    <col min="6" max="6" width="51" style="321" customWidth="1"/>
    <col min="7" max="7" width="2.875" style="321" customWidth="1"/>
    <col min="8" max="8" width="51" style="321" customWidth="1"/>
    <col min="9" max="9" width="2.875" style="321" customWidth="1"/>
    <col min="10" max="10" width="37.625" style="321" customWidth="1"/>
    <col min="11" max="11" width="25.875" style="321" customWidth="1"/>
    <col min="12" max="12" width="58.625" style="321" hidden="1" customWidth="1"/>
    <col min="13" max="16384" width="8.375" style="321" hidden="1"/>
  </cols>
  <sheetData>
    <row r="1" spans="1:13" s="320" customFormat="1" ht="25.15" x14ac:dyDescent="0.35">
      <c r="A1" s="318" t="str">
        <f ca="1" xml:space="preserve"> RIGHT(CELL("filename", $A$1), LEN(CELL("filename", $A$1)) - SEARCH("]", CELL("filename", $A$1)))</f>
        <v>ToC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ht="12.75" x14ac:dyDescent="0.35"/>
    <row r="3" spans="1:13" ht="13.5" x14ac:dyDescent="0.35">
      <c r="B3" s="321" t="s">
        <v>51</v>
      </c>
      <c r="D3" s="322" t="s">
        <v>52</v>
      </c>
      <c r="F3" s="321" t="s">
        <v>53</v>
      </c>
      <c r="H3" s="322" t="s">
        <v>54</v>
      </c>
    </row>
    <row r="4" spans="1:13" ht="12.75" x14ac:dyDescent="0.35"/>
    <row r="5" spans="1:13" ht="13.5" x14ac:dyDescent="0.35">
      <c r="B5" s="323" t="s">
        <v>55</v>
      </c>
      <c r="D5" s="324" t="s">
        <v>38</v>
      </c>
      <c r="F5" s="336" t="s">
        <v>56</v>
      </c>
      <c r="H5" s="337" t="s">
        <v>50</v>
      </c>
      <c r="J5" s="334"/>
    </row>
    <row r="6" spans="1:13" ht="12.75" x14ac:dyDescent="0.35">
      <c r="B6" s="321" t="s">
        <v>57</v>
      </c>
      <c r="D6" s="321" t="s">
        <v>58</v>
      </c>
      <c r="F6" s="335" t="s">
        <v>59</v>
      </c>
      <c r="H6" s="321" t="s">
        <v>60</v>
      </c>
      <c r="J6" s="332"/>
    </row>
    <row r="7" spans="1:13" ht="12.75" x14ac:dyDescent="0.35">
      <c r="F7" s="325"/>
      <c r="J7" s="332"/>
    </row>
    <row r="8" spans="1:13" ht="13.5" x14ac:dyDescent="0.35">
      <c r="B8" s="323" t="s">
        <v>61</v>
      </c>
      <c r="D8" s="324" t="s">
        <v>62</v>
      </c>
      <c r="F8" s="336" t="s">
        <v>63</v>
      </c>
      <c r="H8" s="332"/>
      <c r="J8" s="334"/>
    </row>
    <row r="9" spans="1:13" ht="12.75" x14ac:dyDescent="0.35">
      <c r="B9" s="321" t="s">
        <v>64</v>
      </c>
      <c r="D9" s="321" t="s">
        <v>65</v>
      </c>
      <c r="F9" s="335" t="s">
        <v>66</v>
      </c>
      <c r="H9" s="332"/>
    </row>
    <row r="10" spans="1:13" ht="12.75" x14ac:dyDescent="0.35">
      <c r="F10" s="335"/>
      <c r="H10" s="332"/>
    </row>
    <row r="11" spans="1:13" ht="12.75" x14ac:dyDescent="0.35">
      <c r="B11" s="326" t="s">
        <v>67</v>
      </c>
      <c r="D11" s="324" t="s">
        <v>68</v>
      </c>
      <c r="F11" s="336" t="s">
        <v>69</v>
      </c>
      <c r="H11" s="332"/>
    </row>
    <row r="12" spans="1:13" ht="12.75" x14ac:dyDescent="0.35">
      <c r="B12" s="321" t="s">
        <v>70</v>
      </c>
      <c r="D12" s="321" t="s">
        <v>71</v>
      </c>
      <c r="F12" s="335" t="s">
        <v>72</v>
      </c>
      <c r="H12" s="332"/>
    </row>
    <row r="13" spans="1:13" ht="12.75" x14ac:dyDescent="0.35">
      <c r="F13" s="335"/>
      <c r="H13" s="332"/>
    </row>
    <row r="14" spans="1:13" ht="12.75" x14ac:dyDescent="0.35">
      <c r="F14" s="336" t="s">
        <v>73</v>
      </c>
      <c r="H14" s="332"/>
    </row>
    <row r="15" spans="1:13" ht="12.75" x14ac:dyDescent="0.35">
      <c r="F15" s="335" t="s">
        <v>74</v>
      </c>
      <c r="H15" s="333"/>
    </row>
    <row r="16" spans="1:13" ht="12.75" x14ac:dyDescent="0.35">
      <c r="F16" s="335"/>
    </row>
    <row r="17" spans="1:6" ht="12.75" x14ac:dyDescent="0.35">
      <c r="F17" s="336" t="s">
        <v>75</v>
      </c>
    </row>
    <row r="18" spans="1:6" ht="12.75" x14ac:dyDescent="0.35">
      <c r="F18" s="335" t="s">
        <v>76</v>
      </c>
    </row>
    <row r="19" spans="1:6" ht="12.75" x14ac:dyDescent="0.35">
      <c r="F19" s="335"/>
    </row>
    <row r="20" spans="1:6" ht="12.75" x14ac:dyDescent="0.35">
      <c r="F20" s="336" t="s">
        <v>77</v>
      </c>
    </row>
    <row r="21" spans="1:6" ht="12.75" x14ac:dyDescent="0.35">
      <c r="F21" s="335" t="s">
        <v>78</v>
      </c>
    </row>
    <row r="22" spans="1:6" ht="12.75" x14ac:dyDescent="0.35">
      <c r="F22" s="335"/>
    </row>
    <row r="23" spans="1:6" ht="12.75" x14ac:dyDescent="0.35">
      <c r="F23" s="336" t="s">
        <v>79</v>
      </c>
    </row>
    <row r="24" spans="1:6" ht="12.75" x14ac:dyDescent="0.35">
      <c r="F24" s="335" t="s">
        <v>80</v>
      </c>
    </row>
    <row r="25" spans="1:6" ht="12.75" x14ac:dyDescent="0.35">
      <c r="F25" s="335"/>
    </row>
    <row r="26" spans="1:6" ht="12.75" x14ac:dyDescent="0.35">
      <c r="F26" s="336" t="s">
        <v>81</v>
      </c>
    </row>
    <row r="27" spans="1:6" ht="12.75" x14ac:dyDescent="0.35">
      <c r="F27" s="335" t="s">
        <v>82</v>
      </c>
    </row>
    <row r="28" spans="1:6" ht="12.75" x14ac:dyDescent="0.35"/>
    <row r="29" spans="1:6" s="328" customFormat="1" ht="13.15" x14ac:dyDescent="0.35">
      <c r="A29" s="327" t="s">
        <v>83</v>
      </c>
    </row>
    <row r="30" spans="1:6" ht="12.75" x14ac:dyDescent="0.35"/>
    <row r="31" spans="1:6" ht="12.75" hidden="1" x14ac:dyDescent="0.35"/>
    <row r="32" spans="1:6" ht="12.75" hidden="1" x14ac:dyDescent="0.35"/>
    <row r="33" ht="12.75" hidden="1" x14ac:dyDescent="0.35"/>
    <row r="34" ht="12.75" hidden="1" x14ac:dyDescent="0.35"/>
    <row r="35" ht="12.75" hidden="1" x14ac:dyDescent="0.35"/>
    <row r="36" ht="12.75" hidden="1" x14ac:dyDescent="0.35"/>
    <row r="37" ht="12.75" hidden="1" x14ac:dyDescent="0.35"/>
    <row r="38" ht="12.75" hidden="1" x14ac:dyDescent="0.35"/>
    <row r="39" ht="12.75" hidden="1" x14ac:dyDescent="0.35"/>
    <row r="40" ht="12.75" hidden="1" x14ac:dyDescent="0.35"/>
    <row r="41" ht="12.75" hidden="1" x14ac:dyDescent="0.35"/>
    <row r="42" ht="12.75" hidden="1" x14ac:dyDescent="0.35"/>
    <row r="43" ht="12.75" hidden="1" x14ac:dyDescent="0.35"/>
    <row r="44" ht="12.75" hidden="1" x14ac:dyDescent="0.35"/>
    <row r="45" ht="12.75" hidden="1" x14ac:dyDescent="0.35"/>
    <row r="46" ht="12.75" hidden="1" x14ac:dyDescent="0.35"/>
    <row r="47" ht="12.75" hidden="1" x14ac:dyDescent="0.35"/>
    <row r="48" ht="12.75" hidden="1" x14ac:dyDescent="0.35"/>
    <row r="49" ht="12.75" hidden="1" x14ac:dyDescent="0.35"/>
    <row r="50" ht="12.75" hidden="1" x14ac:dyDescent="0.35"/>
    <row r="51" ht="12.75" hidden="1" x14ac:dyDescent="0.35"/>
    <row r="52" ht="12.75" hidden="1" x14ac:dyDescent="0.35"/>
    <row r="53" ht="12.75" hidden="1" x14ac:dyDescent="0.35"/>
    <row r="54" ht="12.75" hidden="1" x14ac:dyDescent="0.35"/>
    <row r="55" ht="12.75" hidden="1" x14ac:dyDescent="0.35"/>
    <row r="56" ht="12.75" hidden="1" x14ac:dyDescent="0.35"/>
    <row r="57" ht="12.75" hidden="1" x14ac:dyDescent="0.35"/>
    <row r="58" ht="12.75" hidden="1" x14ac:dyDescent="0.35"/>
    <row r="59" ht="12.75" hidden="1" x14ac:dyDescent="0.35"/>
    <row r="60" ht="12.75" hidden="1" x14ac:dyDescent="0.35"/>
    <row r="61" ht="12.75" hidden="1" x14ac:dyDescent="0.35"/>
    <row r="62" ht="12.75" hidden="1" x14ac:dyDescent="0.35"/>
    <row r="63" ht="12.75" hidden="1" x14ac:dyDescent="0.35"/>
    <row r="64" ht="12.75" hidden="1" x14ac:dyDescent="0.35"/>
    <row r="65" ht="12.75" hidden="1" x14ac:dyDescent="0.35"/>
    <row r="66" ht="12.75" hidden="1" x14ac:dyDescent="0.35"/>
    <row r="67" ht="12.75" hidden="1" x14ac:dyDescent="0.35"/>
    <row r="68" ht="12.75" hidden="1" x14ac:dyDescent="0.35"/>
    <row r="69" ht="12.75" hidden="1" x14ac:dyDescent="0.35"/>
    <row r="70" ht="12.75" hidden="1" x14ac:dyDescent="0.35"/>
    <row r="71" ht="12.75" hidden="1" x14ac:dyDescent="0.35"/>
    <row r="72" ht="12.75" hidden="1" x14ac:dyDescent="0.35"/>
    <row r="73" ht="12.75" hidden="1" x14ac:dyDescent="0.35"/>
    <row r="74" ht="12.75" hidden="1" x14ac:dyDescent="0.35"/>
    <row r="75" ht="12.75" hidden="1" x14ac:dyDescent="0.35"/>
    <row r="76" ht="12.75" hidden="1" x14ac:dyDescent="0.35"/>
    <row r="77" ht="12.75" hidden="1" x14ac:dyDescent="0.35"/>
    <row r="78" ht="12.75" hidden="1" x14ac:dyDescent="0.35"/>
    <row r="79" ht="12.75" x14ac:dyDescent="0.35"/>
    <row r="80" ht="12.75" x14ac:dyDescent="0.35"/>
    <row r="81" ht="12.75" x14ac:dyDescent="0.35"/>
    <row r="82" ht="12.75" x14ac:dyDescent="0.35"/>
    <row r="83" ht="12.75" x14ac:dyDescent="0.35"/>
    <row r="84" ht="12.75" x14ac:dyDescent="0.35"/>
    <row r="85" ht="12.75" x14ac:dyDescent="0.35"/>
    <row r="86" ht="12.75" x14ac:dyDescent="0.35"/>
    <row r="87" ht="12.75" x14ac:dyDescent="0.35"/>
    <row r="88" ht="12.75" x14ac:dyDescent="0.35"/>
    <row r="89" ht="12.75" x14ac:dyDescent="0.35"/>
    <row r="90" ht="12.75" x14ac:dyDescent="0.35"/>
    <row r="91" ht="12.75" x14ac:dyDescent="0.35"/>
    <row r="92" ht="12.75" x14ac:dyDescent="0.35"/>
    <row r="93" ht="12.75" x14ac:dyDescent="0.35"/>
    <row r="94" ht="12.75" x14ac:dyDescent="0.35"/>
    <row r="95" ht="12.75" x14ac:dyDescent="0.35"/>
    <row r="96" ht="12.75" x14ac:dyDescent="0.35"/>
    <row r="97" ht="12.75" x14ac:dyDescent="0.35"/>
    <row r="98" ht="12.75" x14ac:dyDescent="0.35"/>
    <row r="99" ht="12.75" x14ac:dyDescent="0.35"/>
    <row r="100" ht="12.75" x14ac:dyDescent="0.35"/>
    <row r="101" ht="12.75" x14ac:dyDescent="0.35"/>
    <row r="102" ht="12.75" x14ac:dyDescent="0.35"/>
    <row r="103" ht="12.75" x14ac:dyDescent="0.35"/>
    <row r="104" ht="12.75" x14ac:dyDescent="0.35"/>
    <row r="105" ht="12.75" x14ac:dyDescent="0.35"/>
    <row r="106" ht="12.75" x14ac:dyDescent="0.35"/>
    <row r="107" ht="12.75" x14ac:dyDescent="0.35"/>
    <row r="108" ht="12.75" x14ac:dyDescent="0.35"/>
    <row r="109" ht="12.75" x14ac:dyDescent="0.35"/>
    <row r="110" ht="12.75" x14ac:dyDescent="0.35"/>
    <row r="111" ht="12.75" x14ac:dyDescent="0.35"/>
    <row r="112" ht="12.75" x14ac:dyDescent="0.35"/>
    <row r="113" ht="12.75" x14ac:dyDescent="0.35"/>
    <row r="114" ht="12.75" x14ac:dyDescent="0.35"/>
    <row r="115" ht="12.75" x14ac:dyDescent="0.35"/>
    <row r="116" ht="12.75" x14ac:dyDescent="0.35"/>
    <row r="117" ht="12.75" x14ac:dyDescent="0.35"/>
    <row r="118" ht="12.75" x14ac:dyDescent="0.35"/>
    <row r="119" ht="12.75" x14ac:dyDescent="0.35"/>
    <row r="120" ht="12.75" x14ac:dyDescent="0.35"/>
    <row r="121" ht="12.75" x14ac:dyDescent="0.35"/>
    <row r="122" ht="12.75" x14ac:dyDescent="0.35"/>
    <row r="123" ht="12.75" x14ac:dyDescent="0.35"/>
    <row r="124" ht="12.75" x14ac:dyDescent="0.35"/>
    <row r="125" ht="12.75" x14ac:dyDescent="0.35"/>
    <row r="126" ht="12.75" x14ac:dyDescent="0.35"/>
    <row r="127" ht="12.75" x14ac:dyDescent="0.35"/>
    <row r="128" ht="12.75" x14ac:dyDescent="0.35"/>
    <row r="129" ht="12.75" x14ac:dyDescent="0.35"/>
    <row r="130" ht="12.75" x14ac:dyDescent="0.35"/>
    <row r="131" ht="12.75" x14ac:dyDescent="0.35"/>
    <row r="132" ht="12.75" x14ac:dyDescent="0.35"/>
    <row r="133" ht="12.75" x14ac:dyDescent="0.35"/>
    <row r="134" ht="12.75" x14ac:dyDescent="0.35"/>
    <row r="135" ht="12.75" x14ac:dyDescent="0.35"/>
    <row r="136" ht="12.75" x14ac:dyDescent="0.35"/>
    <row r="137" ht="12.75" x14ac:dyDescent="0.35"/>
    <row r="138" ht="12.75" x14ac:dyDescent="0.35"/>
    <row r="139" ht="12.75" x14ac:dyDescent="0.35"/>
    <row r="140" ht="12.75" x14ac:dyDescent="0.35"/>
    <row r="141" ht="12.75" x14ac:dyDescent="0.35"/>
    <row r="142" ht="12.75" x14ac:dyDescent="0.35"/>
    <row r="143" ht="12.75" x14ac:dyDescent="0.35"/>
    <row r="144" ht="12.75" x14ac:dyDescent="0.35"/>
    <row r="145" ht="12.75" x14ac:dyDescent="0.35"/>
    <row r="146" ht="12.75" x14ac:dyDescent="0.35"/>
    <row r="147" ht="12.75" x14ac:dyDescent="0.35"/>
    <row r="148" ht="12.75" x14ac:dyDescent="0.35"/>
    <row r="149" ht="12.75" x14ac:dyDescent="0.35"/>
    <row r="150" ht="12.75" x14ac:dyDescent="0.35"/>
    <row r="151" ht="12.75" x14ac:dyDescent="0.35"/>
  </sheetData>
  <printOptions headings="1"/>
  <pageMargins left="0.7" right="0.7" top="0.75" bottom="0.75" header="0.3" footer="0.3"/>
  <pageSetup paperSize="9" scale="47" orientation="landscape" blackAndWhite="1" r:id="rId1"/>
  <headerFooter>
    <oddHeader xml:space="preserve">&amp;L&amp;F &amp;CSheet: &amp;A &amp;ROFFICIAL </oddHeader>
    <oddFooter xml:space="preserve">&amp;L&amp;D at &amp;T &amp;C&amp;P of &amp;N &amp;ROfwat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ABF"/>
    <pageSetUpPr fitToPage="1"/>
  </sheetPr>
  <dimension ref="A1:T135"/>
  <sheetViews>
    <sheetView view="pageBreakPreview" zoomScale="60" zoomScaleNormal="10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35"/>
  <cols>
    <col min="1" max="4" width="1.625" style="149" customWidth="1"/>
    <col min="5" max="5" width="87.5" style="149" bestFit="1" customWidth="1"/>
    <col min="6" max="6" width="15.625" style="6" customWidth="1"/>
    <col min="7" max="7" width="15.625" style="149" customWidth="1"/>
    <col min="8" max="8" width="15.625" style="6" customWidth="1"/>
    <col min="9" max="9" width="2.625" style="6" customWidth="1"/>
    <col min="10" max="20" width="9.625" style="6" customWidth="1"/>
    <col min="21" max="16384" width="9.625" style="6" hidden="1"/>
  </cols>
  <sheetData>
    <row r="1" spans="1:20" s="109" customFormat="1" ht="29.25" x14ac:dyDescent="0.35">
      <c r="A1" s="217" t="str">
        <f ca="1" xml:space="preserve"> RIGHT(CELL("filename", $A$1), LEN(CELL("filename", $A$1)) - SEARCH("]", CELL("filename", $A$1)))</f>
        <v>Inputs</v>
      </c>
      <c r="B1" s="217"/>
      <c r="C1" s="217"/>
      <c r="D1" s="217"/>
      <c r="E1" s="217"/>
      <c r="F1" s="217"/>
      <c r="G1" s="217"/>
      <c r="H1" s="157">
        <f>Inputs!F9</f>
        <v>0</v>
      </c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s="4" customFormat="1" x14ac:dyDescent="0.35">
      <c r="A2" s="167"/>
      <c r="B2" s="167"/>
      <c r="C2" s="167"/>
      <c r="D2" s="167"/>
      <c r="E2" s="167" t="str">
        <f>Time!E$22</f>
        <v>Model Period END</v>
      </c>
      <c r="F2" s="167"/>
      <c r="G2" s="167"/>
      <c r="H2" s="17"/>
      <c r="I2" s="17"/>
      <c r="J2" s="17">
        <f>Time!J$22</f>
        <v>42460</v>
      </c>
      <c r="K2" s="17">
        <f>Time!K$22</f>
        <v>42825</v>
      </c>
      <c r="L2" s="17">
        <f>Time!L$22</f>
        <v>43190</v>
      </c>
      <c r="M2" s="17">
        <f>Time!M$22</f>
        <v>43555</v>
      </c>
      <c r="N2" s="17">
        <f>Time!N$22</f>
        <v>43921</v>
      </c>
      <c r="O2" s="17">
        <f>Time!O$22</f>
        <v>44286</v>
      </c>
      <c r="P2" s="17">
        <f>Time!P$22</f>
        <v>44651</v>
      </c>
      <c r="Q2" s="17">
        <f>Time!Q$22</f>
        <v>45016</v>
      </c>
      <c r="R2" s="17">
        <f>Time!R$22</f>
        <v>45382</v>
      </c>
      <c r="S2" s="17">
        <f>Time!S$22</f>
        <v>45747</v>
      </c>
      <c r="T2" s="17">
        <f>Time!T$22</f>
        <v>46112</v>
      </c>
    </row>
    <row r="3" spans="1:20" s="9" customFormat="1" x14ac:dyDescent="0.35">
      <c r="A3" s="167"/>
      <c r="B3" s="167"/>
      <c r="C3" s="167"/>
      <c r="D3" s="167"/>
      <c r="E3" s="167" t="str">
        <f>Time!E$58</f>
        <v>Pre Forecast vs Forecast</v>
      </c>
      <c r="F3" s="167"/>
      <c r="G3" s="167"/>
      <c r="H3" s="17"/>
      <c r="I3" s="17"/>
      <c r="J3" s="1" t="str">
        <f>Time!J$58</f>
        <v>Pre Fcst</v>
      </c>
      <c r="K3" s="1" t="str">
        <f>Time!K$58</f>
        <v>Pre Fcst</v>
      </c>
      <c r="L3" s="1" t="str">
        <f>Time!L$58</f>
        <v>Pre Fcst</v>
      </c>
      <c r="M3" s="1" t="str">
        <f>Time!M$58</f>
        <v>Pre Fcst</v>
      </c>
      <c r="N3" s="1" t="str">
        <f>Time!N$58</f>
        <v>Pre Fcst</v>
      </c>
      <c r="O3" s="1" t="str">
        <f>Time!O$58</f>
        <v>Forecast</v>
      </c>
      <c r="P3" s="1" t="str">
        <f>Time!P$58</f>
        <v>Forecast</v>
      </c>
      <c r="Q3" s="1" t="str">
        <f>Time!Q$58</f>
        <v>Forecast</v>
      </c>
      <c r="R3" s="1" t="str">
        <f>Time!R$58</f>
        <v>Forecast</v>
      </c>
      <c r="S3" s="1" t="str">
        <f>Time!S$58</f>
        <v>Forecast</v>
      </c>
      <c r="T3" s="1" t="str">
        <f>Time!T$58</f>
        <v>Post-Fcst</v>
      </c>
    </row>
    <row r="4" spans="1:20" s="165" customFormat="1" ht="13.15" x14ac:dyDescent="0.35">
      <c r="A4" s="24"/>
      <c r="B4" s="132"/>
      <c r="C4" s="205"/>
      <c r="D4" s="133"/>
      <c r="E4" s="219" t="str">
        <f>Time!E$85</f>
        <v>Financial Year Ending</v>
      </c>
      <c r="F4" s="168"/>
      <c r="G4" s="168"/>
      <c r="H4" s="164"/>
      <c r="J4" s="165">
        <f>Time!J$85</f>
        <v>2016</v>
      </c>
      <c r="K4" s="165">
        <f>Time!K$85</f>
        <v>2017</v>
      </c>
      <c r="L4" s="165">
        <f>Time!L$85</f>
        <v>2018</v>
      </c>
      <c r="M4" s="165">
        <f>Time!M$85</f>
        <v>2019</v>
      </c>
      <c r="N4" s="165">
        <f>Time!N$85</f>
        <v>2020</v>
      </c>
      <c r="O4" s="165">
        <f>Time!O$85</f>
        <v>2021</v>
      </c>
      <c r="P4" s="165">
        <f>Time!P$85</f>
        <v>2022</v>
      </c>
      <c r="Q4" s="165">
        <f>Time!Q$85</f>
        <v>2023</v>
      </c>
      <c r="R4" s="165">
        <f>Time!R$85</f>
        <v>2024</v>
      </c>
      <c r="S4" s="165">
        <f>Time!S$85</f>
        <v>2025</v>
      </c>
      <c r="T4" s="165">
        <f>Time!T$85</f>
        <v>2026</v>
      </c>
    </row>
    <row r="5" spans="1:20" s="4" customFormat="1" ht="13.15" x14ac:dyDescent="0.35">
      <c r="A5" s="149"/>
      <c r="B5" s="149"/>
      <c r="C5" s="149"/>
      <c r="D5" s="149"/>
      <c r="E5" s="168" t="str">
        <f>Time!E$10</f>
        <v>Model column counter</v>
      </c>
      <c r="F5" s="218" t="s">
        <v>84</v>
      </c>
      <c r="G5" s="218" t="s">
        <v>85</v>
      </c>
      <c r="H5" s="5" t="s">
        <v>86</v>
      </c>
      <c r="I5" s="6"/>
      <c r="J5" s="28">
        <f>Time!J$10</f>
        <v>1</v>
      </c>
      <c r="K5" s="28">
        <f>Time!K$10</f>
        <v>2</v>
      </c>
      <c r="L5" s="28">
        <f>Time!L$10</f>
        <v>3</v>
      </c>
      <c r="M5" s="28">
        <f>Time!M$10</f>
        <v>4</v>
      </c>
      <c r="N5" s="28">
        <f>Time!N$10</f>
        <v>5</v>
      </c>
      <c r="O5" s="28">
        <f>Time!O$10</f>
        <v>6</v>
      </c>
      <c r="P5" s="28">
        <f>Time!P$10</f>
        <v>7</v>
      </c>
      <c r="Q5" s="28">
        <f>Time!Q$10</f>
        <v>8</v>
      </c>
      <c r="R5" s="28">
        <f>Time!R$10</f>
        <v>9</v>
      </c>
      <c r="S5" s="28">
        <f>Time!S$10</f>
        <v>10</v>
      </c>
      <c r="T5" s="28">
        <f>Time!T$10</f>
        <v>11</v>
      </c>
    </row>
    <row r="6" spans="1:20" s="4" customFormat="1" ht="13.15" x14ac:dyDescent="0.35">
      <c r="A6" s="149"/>
      <c r="B6" s="149"/>
      <c r="C6" s="149"/>
      <c r="D6" s="149"/>
      <c r="E6" s="168"/>
      <c r="F6" s="218"/>
      <c r="G6" s="218"/>
      <c r="H6" s="5"/>
      <c r="I6" s="6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259" customFormat="1" ht="13.15" x14ac:dyDescent="0.35">
      <c r="A7" s="260" t="s">
        <v>38</v>
      </c>
      <c r="B7" s="261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</row>
    <row r="8" spans="1:20" s="259" customFormat="1" x14ac:dyDescent="0.35">
      <c r="A8" s="263"/>
      <c r="B8" s="263"/>
      <c r="C8" s="263"/>
      <c r="D8" s="263"/>
      <c r="E8" s="263"/>
      <c r="F8" s="263"/>
      <c r="G8" s="263"/>
      <c r="H8" s="263"/>
      <c r="I8" s="264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63"/>
    </row>
    <row r="9" spans="1:20" s="259" customFormat="1" ht="13.15" x14ac:dyDescent="0.35">
      <c r="A9" s="263"/>
      <c r="B9" s="263"/>
      <c r="C9" s="263"/>
      <c r="D9" s="263"/>
      <c r="E9" s="263" t="s">
        <v>87</v>
      </c>
      <c r="F9" s="234"/>
      <c r="G9" s="263"/>
      <c r="H9" s="263"/>
      <c r="I9" s="265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</row>
    <row r="10" spans="1:20" s="259" customFormat="1" ht="13.15" x14ac:dyDescent="0.35">
      <c r="A10" s="263"/>
      <c r="B10" s="263"/>
      <c r="C10" s="263"/>
      <c r="D10" s="263"/>
      <c r="E10" s="263" t="s">
        <v>88</v>
      </c>
      <c r="F10" s="266" t="e">
        <f>INDEX(Validation!C4:C21, MATCH(F9, Validation!B4:B21, 0))</f>
        <v>#N/A</v>
      </c>
      <c r="G10" s="263"/>
      <c r="H10" s="263"/>
      <c r="I10" s="265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</row>
    <row r="11" spans="1:20" s="259" customFormat="1" ht="13.15" x14ac:dyDescent="0.35">
      <c r="A11" s="263"/>
      <c r="B11" s="263"/>
      <c r="C11" s="263"/>
      <c r="D11" s="263"/>
      <c r="E11" s="263"/>
      <c r="F11" s="263"/>
      <c r="G11" s="263"/>
      <c r="H11" s="263"/>
      <c r="I11" s="265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</row>
    <row r="12" spans="1:20" s="259" customFormat="1" x14ac:dyDescent="0.35">
      <c r="A12" s="263"/>
      <c r="B12" s="263"/>
      <c r="C12" s="263"/>
      <c r="D12" s="263"/>
      <c r="E12" s="263" t="s">
        <v>89</v>
      </c>
      <c r="F12" s="234"/>
      <c r="G12" s="263" t="s">
        <v>90</v>
      </c>
      <c r="H12" s="267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</row>
    <row r="13" spans="1:20" s="259" customFormat="1" ht="13.15" x14ac:dyDescent="0.35">
      <c r="A13" s="263"/>
      <c r="B13" s="263"/>
      <c r="C13" s="263"/>
      <c r="D13" s="263"/>
      <c r="E13" s="263"/>
      <c r="F13" s="263"/>
      <c r="G13" s="265"/>
      <c r="H13" s="265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</row>
    <row r="14" spans="1:20" s="259" customFormat="1" ht="13.15" x14ac:dyDescent="0.35">
      <c r="A14" s="263"/>
      <c r="B14" s="263"/>
      <c r="C14" s="263"/>
      <c r="D14" s="263"/>
      <c r="E14" s="263" t="s">
        <v>91</v>
      </c>
      <c r="F14" s="266" t="s">
        <v>92</v>
      </c>
      <c r="G14" s="263" t="s">
        <v>90</v>
      </c>
      <c r="H14" s="265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</row>
    <row r="15" spans="1:20" s="259" customFormat="1" ht="13.15" x14ac:dyDescent="0.35">
      <c r="A15" s="263"/>
      <c r="B15" s="263"/>
      <c r="C15" s="263"/>
      <c r="D15" s="263"/>
      <c r="E15" s="263" t="s">
        <v>93</v>
      </c>
      <c r="F15" s="266" t="str">
        <f>"£m ("&amp;F14&amp;" prices)"</f>
        <v>£m (2017-18 prices)</v>
      </c>
      <c r="G15" s="263" t="s">
        <v>94</v>
      </c>
      <c r="H15" s="265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</row>
    <row r="16" spans="1:20" s="259" customFormat="1" x14ac:dyDescent="0.35">
      <c r="A16" s="263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</row>
    <row r="17" spans="1:20" s="259" customFormat="1" ht="13.15" x14ac:dyDescent="0.35">
      <c r="A17" s="263"/>
      <c r="B17" s="263"/>
      <c r="C17" s="268" t="s">
        <v>95</v>
      </c>
      <c r="D17" s="263"/>
      <c r="E17" s="263"/>
      <c r="F17" s="263"/>
      <c r="G17" s="263"/>
      <c r="H17" s="263"/>
      <c r="I17" s="263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63"/>
    </row>
    <row r="18" spans="1:20" s="259" customFormat="1" x14ac:dyDescent="0.35">
      <c r="A18" s="263"/>
      <c r="B18" s="263"/>
      <c r="C18" s="263"/>
      <c r="D18" s="263"/>
      <c r="E18" s="263"/>
      <c r="F18" s="263"/>
      <c r="G18" s="263"/>
      <c r="H18" s="263"/>
      <c r="I18" s="263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63"/>
    </row>
    <row r="19" spans="1:20" s="259" customFormat="1" x14ac:dyDescent="0.35">
      <c r="A19" s="263"/>
      <c r="B19" s="263"/>
      <c r="C19" s="263"/>
      <c r="D19" s="269" t="s">
        <v>96</v>
      </c>
      <c r="E19" s="263"/>
      <c r="F19" s="263"/>
      <c r="G19" s="263"/>
      <c r="H19" s="263"/>
      <c r="I19" s="263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63"/>
    </row>
    <row r="20" spans="1:20" s="259" customFormat="1" x14ac:dyDescent="0.35">
      <c r="A20" s="263"/>
      <c r="B20" s="263"/>
      <c r="C20" s="263"/>
      <c r="D20" s="263"/>
      <c r="E20" s="227" t="s">
        <v>63</v>
      </c>
      <c r="F20" s="234"/>
      <c r="G20" s="263" t="str">
        <f t="shared" ref="G20:G26" si="0">$F$15</f>
        <v>£m (2017-18 prices)</v>
      </c>
      <c r="H20" s="263"/>
      <c r="I20" s="263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63"/>
    </row>
    <row r="21" spans="1:20" s="259" customFormat="1" x14ac:dyDescent="0.35">
      <c r="A21" s="263"/>
      <c r="B21" s="263"/>
      <c r="C21" s="263"/>
      <c r="D21" s="263"/>
      <c r="E21" s="227" t="s">
        <v>69</v>
      </c>
      <c r="F21" s="234"/>
      <c r="G21" s="263" t="str">
        <f t="shared" si="0"/>
        <v>£m (2017-18 prices)</v>
      </c>
      <c r="H21" s="263"/>
      <c r="I21" s="263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63"/>
    </row>
    <row r="22" spans="1:20" s="259" customFormat="1" x14ac:dyDescent="0.35">
      <c r="A22" s="263"/>
      <c r="B22" s="263"/>
      <c r="C22" s="263"/>
      <c r="D22" s="263"/>
      <c r="E22" s="227" t="s">
        <v>73</v>
      </c>
      <c r="F22" s="234"/>
      <c r="G22" s="263" t="str">
        <f t="shared" si="0"/>
        <v>£m (2017-18 prices)</v>
      </c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</row>
    <row r="23" spans="1:20" s="259" customFormat="1" x14ac:dyDescent="0.35">
      <c r="A23" s="263"/>
      <c r="B23" s="263"/>
      <c r="C23" s="263"/>
      <c r="D23" s="263"/>
      <c r="E23" s="227" t="s">
        <v>79</v>
      </c>
      <c r="F23" s="234"/>
      <c r="G23" s="263" t="str">
        <f t="shared" si="0"/>
        <v>£m (2017-18 prices)</v>
      </c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</row>
    <row r="24" spans="1:20" s="259" customFormat="1" x14ac:dyDescent="0.35">
      <c r="A24" s="263"/>
      <c r="B24" s="263"/>
      <c r="C24" s="263"/>
      <c r="D24" s="263"/>
      <c r="E24" s="227" t="s">
        <v>75</v>
      </c>
      <c r="F24" s="234"/>
      <c r="G24" s="263" t="str">
        <f t="shared" si="0"/>
        <v>£m (2017-18 prices)</v>
      </c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</row>
    <row r="25" spans="1:20" s="259" customFormat="1" x14ac:dyDescent="0.35">
      <c r="A25" s="263"/>
      <c r="B25" s="263"/>
      <c r="C25" s="263"/>
      <c r="D25" s="263"/>
      <c r="E25" s="227" t="s">
        <v>77</v>
      </c>
      <c r="F25" s="234"/>
      <c r="G25" s="263" t="str">
        <f t="shared" si="0"/>
        <v>£m (2017-18 prices)</v>
      </c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</row>
    <row r="26" spans="1:20" s="259" customFormat="1" x14ac:dyDescent="0.35">
      <c r="A26" s="263"/>
      <c r="B26" s="263"/>
      <c r="C26" s="263"/>
      <c r="D26" s="263"/>
      <c r="E26" s="227" t="s">
        <v>81</v>
      </c>
      <c r="F26" s="234"/>
      <c r="G26" s="263" t="str">
        <f t="shared" si="0"/>
        <v>£m (2017-18 prices)</v>
      </c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</row>
    <row r="27" spans="1:20" s="259" customFormat="1" x14ac:dyDescent="0.35">
      <c r="A27" s="263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</row>
    <row r="28" spans="1:20" s="259" customFormat="1" x14ac:dyDescent="0.35">
      <c r="A28" s="263"/>
      <c r="B28" s="263"/>
      <c r="C28" s="263"/>
      <c r="D28" s="269" t="s">
        <v>97</v>
      </c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</row>
    <row r="29" spans="1:20" s="259" customFormat="1" x14ac:dyDescent="0.35">
      <c r="A29" s="263"/>
      <c r="B29" s="263"/>
      <c r="C29" s="263"/>
      <c r="D29" s="263"/>
      <c r="E29" s="263" t="s">
        <v>98</v>
      </c>
      <c r="F29" s="234"/>
      <c r="G29" s="263" t="str">
        <f>$F$15</f>
        <v>£m (2017-18 prices)</v>
      </c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</row>
    <row r="30" spans="1:20" s="259" customFormat="1" x14ac:dyDescent="0.35">
      <c r="A30" s="263"/>
      <c r="B30" s="263"/>
      <c r="C30" s="263"/>
      <c r="D30" s="263"/>
      <c r="E30" s="263" t="s">
        <v>99</v>
      </c>
      <c r="F30" s="234"/>
      <c r="G30" s="263" t="str">
        <f>$F$15</f>
        <v>£m (2017-18 prices)</v>
      </c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</row>
    <row r="31" spans="1:20" s="259" customFormat="1" x14ac:dyDescent="0.35">
      <c r="A31" s="263"/>
      <c r="B31" s="263"/>
      <c r="C31" s="263"/>
      <c r="D31" s="263"/>
      <c r="E31" s="263" t="s">
        <v>100</v>
      </c>
      <c r="F31" s="234"/>
      <c r="G31" s="263" t="str">
        <f>$F$15</f>
        <v>£m (2017-18 prices)</v>
      </c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s="259" customFormat="1" x14ac:dyDescent="0.35">
      <c r="A32" s="263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</row>
    <row r="33" spans="1:20" s="259" customFormat="1" x14ac:dyDescent="0.35">
      <c r="A33" s="263"/>
      <c r="B33" s="263"/>
      <c r="C33" s="263"/>
      <c r="D33" s="269" t="s">
        <v>101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</row>
    <row r="34" spans="1:20" s="259" customFormat="1" x14ac:dyDescent="0.35">
      <c r="A34" s="263"/>
      <c r="B34" s="263"/>
      <c r="C34" s="263"/>
      <c r="D34" s="263"/>
      <c r="E34" s="227" t="s">
        <v>63</v>
      </c>
      <c r="F34" s="234"/>
      <c r="G34" s="263" t="str">
        <f t="shared" ref="G34:G40" si="1">$F$15</f>
        <v>£m (2017-18 prices)</v>
      </c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</row>
    <row r="35" spans="1:20" s="259" customFormat="1" x14ac:dyDescent="0.35">
      <c r="A35" s="263"/>
      <c r="B35" s="263"/>
      <c r="C35" s="263"/>
      <c r="D35" s="263"/>
      <c r="E35" s="227" t="s">
        <v>69</v>
      </c>
      <c r="F35" s="234"/>
      <c r="G35" s="263" t="str">
        <f t="shared" si="1"/>
        <v>£m (2017-18 prices)</v>
      </c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</row>
    <row r="36" spans="1:20" s="259" customFormat="1" x14ac:dyDescent="0.35">
      <c r="A36" s="263"/>
      <c r="B36" s="263"/>
      <c r="C36" s="263"/>
      <c r="D36" s="263"/>
      <c r="E36" s="227" t="s">
        <v>73</v>
      </c>
      <c r="F36" s="234"/>
      <c r="G36" s="263" t="str">
        <f t="shared" si="1"/>
        <v>£m (2017-18 prices)</v>
      </c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</row>
    <row r="37" spans="1:20" s="259" customFormat="1" x14ac:dyDescent="0.35">
      <c r="A37" s="263"/>
      <c r="B37" s="263"/>
      <c r="C37" s="263"/>
      <c r="D37" s="263"/>
      <c r="E37" s="227" t="s">
        <v>79</v>
      </c>
      <c r="F37" s="234"/>
      <c r="G37" s="263" t="str">
        <f t="shared" si="1"/>
        <v>£m (2017-18 prices)</v>
      </c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</row>
    <row r="38" spans="1:20" s="259" customFormat="1" x14ac:dyDescent="0.35">
      <c r="A38" s="263"/>
      <c r="B38" s="263"/>
      <c r="C38" s="263"/>
      <c r="D38" s="263"/>
      <c r="E38" s="227" t="s">
        <v>75</v>
      </c>
      <c r="F38" s="234"/>
      <c r="G38" s="263" t="str">
        <f t="shared" si="1"/>
        <v>£m (2017-18 prices)</v>
      </c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</row>
    <row r="39" spans="1:20" s="259" customFormat="1" x14ac:dyDescent="0.35">
      <c r="A39" s="263"/>
      <c r="B39" s="263"/>
      <c r="C39" s="263"/>
      <c r="D39" s="263"/>
      <c r="E39" s="227" t="s">
        <v>77</v>
      </c>
      <c r="F39" s="234"/>
      <c r="G39" s="263" t="str">
        <f t="shared" si="1"/>
        <v>£m (2017-18 prices)</v>
      </c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</row>
    <row r="40" spans="1:20" s="259" customFormat="1" x14ac:dyDescent="0.35">
      <c r="A40" s="263"/>
      <c r="B40" s="263"/>
      <c r="C40" s="263"/>
      <c r="D40" s="263"/>
      <c r="E40" s="227" t="s">
        <v>81</v>
      </c>
      <c r="F40" s="234"/>
      <c r="G40" s="263" t="str">
        <f t="shared" si="1"/>
        <v>£m (2017-18 prices)</v>
      </c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</row>
    <row r="41" spans="1:20" s="259" customFormat="1" x14ac:dyDescent="0.35">
      <c r="A41" s="263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</row>
    <row r="42" spans="1:20" s="259" customFormat="1" ht="13.15" x14ac:dyDescent="0.35">
      <c r="A42" s="263"/>
      <c r="B42" s="263"/>
      <c r="C42" s="268" t="s">
        <v>102</v>
      </c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</row>
    <row r="43" spans="1:20" s="259" customFormat="1" ht="13.15" x14ac:dyDescent="0.35">
      <c r="A43" s="263"/>
      <c r="B43" s="263"/>
      <c r="C43" s="268"/>
      <c r="D43" s="270" t="s">
        <v>103</v>
      </c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</row>
    <row r="44" spans="1:20" s="259" customFormat="1" ht="13.15" x14ac:dyDescent="0.35">
      <c r="A44" s="263"/>
      <c r="B44" s="263"/>
      <c r="C44" s="268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</row>
    <row r="45" spans="1:20" s="259" customFormat="1" x14ac:dyDescent="0.35">
      <c r="A45" s="263"/>
      <c r="B45" s="263"/>
      <c r="C45" s="263"/>
      <c r="D45" s="269" t="s">
        <v>104</v>
      </c>
      <c r="E45" s="263"/>
      <c r="F45" s="263"/>
      <c r="G45" s="263"/>
      <c r="H45" s="271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</row>
    <row r="46" spans="1:20" s="259" customFormat="1" x14ac:dyDescent="0.35">
      <c r="A46" s="263"/>
      <c r="B46" s="263"/>
      <c r="C46" s="263"/>
      <c r="D46" s="263"/>
      <c r="E46" s="263" t="s">
        <v>63</v>
      </c>
      <c r="F46" s="234"/>
      <c r="G46" s="263" t="str">
        <f t="shared" ref="G46:G52" si="2">$F$15</f>
        <v>£m (2017-18 prices)</v>
      </c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</row>
    <row r="47" spans="1:20" s="259" customFormat="1" x14ac:dyDescent="0.35">
      <c r="A47" s="263"/>
      <c r="B47" s="263"/>
      <c r="C47" s="263"/>
      <c r="D47" s="263"/>
      <c r="E47" s="263" t="s">
        <v>69</v>
      </c>
      <c r="F47" s="234"/>
      <c r="G47" s="263" t="str">
        <f t="shared" si="2"/>
        <v>£m (2017-18 prices)</v>
      </c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s="259" customFormat="1" x14ac:dyDescent="0.35">
      <c r="A48" s="263"/>
      <c r="B48" s="263"/>
      <c r="C48" s="263"/>
      <c r="D48" s="263"/>
      <c r="E48" s="263" t="s">
        <v>73</v>
      </c>
      <c r="F48" s="234"/>
      <c r="G48" s="263" t="str">
        <f t="shared" si="2"/>
        <v>£m (2017-18 prices)</v>
      </c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</row>
    <row r="49" spans="1:20" s="259" customFormat="1" x14ac:dyDescent="0.35">
      <c r="A49" s="263"/>
      <c r="B49" s="263"/>
      <c r="C49" s="263"/>
      <c r="D49" s="263"/>
      <c r="E49" s="263" t="s">
        <v>79</v>
      </c>
      <c r="F49" s="234"/>
      <c r="G49" s="263" t="str">
        <f t="shared" si="2"/>
        <v>£m (2017-18 prices)</v>
      </c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</row>
    <row r="50" spans="1:20" s="259" customFormat="1" x14ac:dyDescent="0.35">
      <c r="A50" s="263"/>
      <c r="B50" s="263"/>
      <c r="C50" s="263"/>
      <c r="D50" s="263"/>
      <c r="E50" s="263" t="s">
        <v>75</v>
      </c>
      <c r="F50" s="234"/>
      <c r="G50" s="263" t="str">
        <f t="shared" si="2"/>
        <v>£m (2017-18 prices)</v>
      </c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</row>
    <row r="51" spans="1:20" s="259" customFormat="1" x14ac:dyDescent="0.35">
      <c r="A51" s="263"/>
      <c r="B51" s="263"/>
      <c r="C51" s="263"/>
      <c r="D51" s="263"/>
      <c r="E51" s="263" t="s">
        <v>77</v>
      </c>
      <c r="F51" s="234"/>
      <c r="G51" s="263" t="str">
        <f t="shared" si="2"/>
        <v>£m (2017-18 prices)</v>
      </c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</row>
    <row r="52" spans="1:20" s="259" customFormat="1" x14ac:dyDescent="0.35">
      <c r="A52" s="263"/>
      <c r="B52" s="263"/>
      <c r="C52" s="263"/>
      <c r="D52" s="263"/>
      <c r="E52" s="263" t="s">
        <v>81</v>
      </c>
      <c r="F52" s="234"/>
      <c r="G52" s="263" t="str">
        <f t="shared" si="2"/>
        <v>£m (2017-18 prices)</v>
      </c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</row>
    <row r="53" spans="1:20" s="259" customFormat="1" x14ac:dyDescent="0.35">
      <c r="A53" s="263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</row>
    <row r="54" spans="1:20" s="259" customFormat="1" x14ac:dyDescent="0.35">
      <c r="A54" s="263"/>
      <c r="B54" s="263"/>
      <c r="C54" s="263"/>
      <c r="D54" s="269" t="s">
        <v>105</v>
      </c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</row>
    <row r="55" spans="1:20" s="259" customFormat="1" x14ac:dyDescent="0.35">
      <c r="A55" s="263"/>
      <c r="B55" s="263"/>
      <c r="C55" s="263"/>
      <c r="D55" s="263"/>
      <c r="E55" s="263" t="s">
        <v>63</v>
      </c>
      <c r="F55" s="234"/>
      <c r="G55" s="263" t="str">
        <f t="shared" ref="G55:G61" si="3">$F$15</f>
        <v>£m (2017-18 prices)</v>
      </c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</row>
    <row r="56" spans="1:20" s="259" customFormat="1" x14ac:dyDescent="0.35">
      <c r="A56" s="263"/>
      <c r="B56" s="263"/>
      <c r="C56" s="263"/>
      <c r="D56" s="263"/>
      <c r="E56" s="263" t="s">
        <v>69</v>
      </c>
      <c r="F56" s="234"/>
      <c r="G56" s="263" t="str">
        <f t="shared" si="3"/>
        <v>£m (2017-18 prices)</v>
      </c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</row>
    <row r="57" spans="1:20" s="259" customFormat="1" x14ac:dyDescent="0.35">
      <c r="A57" s="263"/>
      <c r="B57" s="263"/>
      <c r="C57" s="263"/>
      <c r="D57" s="263"/>
      <c r="E57" s="263" t="s">
        <v>73</v>
      </c>
      <c r="F57" s="234"/>
      <c r="G57" s="263" t="str">
        <f t="shared" si="3"/>
        <v>£m (2017-18 prices)</v>
      </c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</row>
    <row r="58" spans="1:20" s="259" customFormat="1" x14ac:dyDescent="0.35">
      <c r="A58" s="263"/>
      <c r="B58" s="263"/>
      <c r="C58" s="263"/>
      <c r="D58" s="263"/>
      <c r="E58" s="263" t="s">
        <v>79</v>
      </c>
      <c r="F58" s="234"/>
      <c r="G58" s="263" t="str">
        <f t="shared" si="3"/>
        <v>£m (2017-18 prices)</v>
      </c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</row>
    <row r="59" spans="1:20" s="259" customFormat="1" x14ac:dyDescent="0.35">
      <c r="A59" s="263"/>
      <c r="B59" s="263"/>
      <c r="C59" s="263"/>
      <c r="D59" s="263"/>
      <c r="E59" s="263" t="s">
        <v>75</v>
      </c>
      <c r="F59" s="234"/>
      <c r="G59" s="263" t="str">
        <f t="shared" si="3"/>
        <v>£m (2017-18 prices)</v>
      </c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</row>
    <row r="60" spans="1:20" s="223" customFormat="1" x14ac:dyDescent="0.35">
      <c r="A60" s="263"/>
      <c r="B60" s="263"/>
      <c r="C60" s="263"/>
      <c r="D60" s="263"/>
      <c r="E60" s="263" t="s">
        <v>77</v>
      </c>
      <c r="F60" s="234"/>
      <c r="G60" s="263" t="str">
        <f t="shared" si="3"/>
        <v>£m (2017-18 prices)</v>
      </c>
      <c r="H60" s="263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</row>
    <row r="61" spans="1:20" s="259" customFormat="1" x14ac:dyDescent="0.35">
      <c r="A61" s="263"/>
      <c r="B61" s="263"/>
      <c r="C61" s="263"/>
      <c r="D61" s="263"/>
      <c r="E61" s="263" t="s">
        <v>81</v>
      </c>
      <c r="F61" s="234"/>
      <c r="G61" s="263" t="str">
        <f t="shared" si="3"/>
        <v>£m (2017-18 prices)</v>
      </c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</row>
    <row r="62" spans="1:20" s="259" customFormat="1" x14ac:dyDescent="0.35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</row>
    <row r="63" spans="1:20" s="259" customFormat="1" ht="13.15" x14ac:dyDescent="0.35">
      <c r="A63" s="260" t="s">
        <v>106</v>
      </c>
      <c r="B63" s="261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</row>
    <row r="64" spans="1:20" s="259" customFormat="1" x14ac:dyDescent="0.35">
      <c r="A64" s="263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</row>
    <row r="65" spans="1:20" s="259" customFormat="1" ht="13.15" x14ac:dyDescent="0.35">
      <c r="A65" s="263"/>
      <c r="B65" s="268" t="s">
        <v>107</v>
      </c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</row>
    <row r="66" spans="1:20" s="259" customFormat="1" ht="13.15" x14ac:dyDescent="0.35">
      <c r="A66" s="263"/>
      <c r="B66" s="268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</row>
    <row r="67" spans="1:20" s="259" customFormat="1" x14ac:dyDescent="0.35">
      <c r="A67" s="263"/>
      <c r="B67" s="263"/>
      <c r="C67" s="263"/>
      <c r="D67" s="263"/>
      <c r="E67" s="263" t="s">
        <v>108</v>
      </c>
      <c r="F67" s="11">
        <v>2.4E-2</v>
      </c>
      <c r="G67" s="263" t="s">
        <v>109</v>
      </c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</row>
    <row r="68" spans="1:20" s="259" customFormat="1" x14ac:dyDescent="0.35">
      <c r="A68" s="263"/>
      <c r="B68" s="263"/>
      <c r="C68" s="263"/>
      <c r="D68" s="263"/>
      <c r="E68" s="263" t="s">
        <v>110</v>
      </c>
      <c r="F68" s="11">
        <v>2.4500000000000001E-2</v>
      </c>
      <c r="G68" s="263" t="s">
        <v>109</v>
      </c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</row>
    <row r="69" spans="1:20" s="259" customFormat="1" x14ac:dyDescent="0.35">
      <c r="A69" s="263"/>
      <c r="B69" s="263"/>
      <c r="C69" s="263"/>
      <c r="D69" s="263"/>
      <c r="E69" s="263" t="s">
        <v>111</v>
      </c>
      <c r="F69" s="274">
        <v>1</v>
      </c>
      <c r="G69" s="263" t="s">
        <v>112</v>
      </c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</row>
    <row r="70" spans="1:20" s="259" customFormat="1" x14ac:dyDescent="0.35">
      <c r="A70" s="263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</row>
    <row r="71" spans="1:20" s="259" customFormat="1" x14ac:dyDescent="0.35">
      <c r="A71" s="263"/>
      <c r="B71" s="263"/>
      <c r="C71" s="263"/>
      <c r="D71" s="263"/>
      <c r="E71" s="276" t="s">
        <v>113</v>
      </c>
      <c r="F71" s="276"/>
      <c r="G71" s="276" t="s">
        <v>109</v>
      </c>
      <c r="H71" s="276"/>
      <c r="I71" s="116"/>
      <c r="J71" s="277"/>
      <c r="K71" s="277"/>
      <c r="L71" s="277"/>
      <c r="M71" s="277"/>
      <c r="N71" s="277"/>
      <c r="O71" s="277"/>
      <c r="P71" s="277"/>
      <c r="Q71" s="285">
        <v>0.19</v>
      </c>
      <c r="R71" s="285"/>
      <c r="S71" s="285"/>
      <c r="T71" s="277"/>
    </row>
    <row r="72" spans="1:20" s="259" customFormat="1" x14ac:dyDescent="0.35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</row>
    <row r="73" spans="1:20" s="259" customFormat="1" x14ac:dyDescent="0.35">
      <c r="A73" s="263"/>
      <c r="B73" s="263"/>
      <c r="C73" s="263"/>
      <c r="D73" s="263"/>
      <c r="E73" s="227" t="s">
        <v>114</v>
      </c>
      <c r="F73" s="227"/>
      <c r="G73" s="227" t="s">
        <v>68</v>
      </c>
      <c r="H73" s="227"/>
      <c r="I73" s="263"/>
      <c r="J73" s="272">
        <v>263.10000000000002</v>
      </c>
      <c r="K73" s="272">
        <v>272.5</v>
      </c>
      <c r="L73" s="272">
        <v>281.60000000000002</v>
      </c>
      <c r="M73" s="272"/>
      <c r="N73" s="272"/>
      <c r="O73" s="272"/>
      <c r="P73" s="272"/>
      <c r="Q73" s="272"/>
      <c r="R73" s="272"/>
      <c r="S73" s="272"/>
      <c r="T73" s="226"/>
    </row>
    <row r="74" spans="1:20" s="259" customFormat="1" x14ac:dyDescent="0.35">
      <c r="A74" s="263"/>
      <c r="B74" s="263"/>
      <c r="C74" s="263"/>
      <c r="D74" s="263"/>
      <c r="E74" s="227"/>
      <c r="F74" s="227"/>
      <c r="G74" s="227"/>
      <c r="H74" s="227"/>
      <c r="I74" s="263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63"/>
    </row>
    <row r="75" spans="1:20" s="259" customFormat="1" ht="13.15" x14ac:dyDescent="0.35">
      <c r="A75" s="263"/>
      <c r="B75" s="268" t="s">
        <v>115</v>
      </c>
      <c r="C75" s="263"/>
      <c r="D75" s="263"/>
      <c r="E75" s="227"/>
      <c r="F75" s="227"/>
      <c r="G75" s="227"/>
      <c r="H75" s="227"/>
      <c r="I75" s="263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63"/>
    </row>
    <row r="76" spans="1:20" s="259" customFormat="1" x14ac:dyDescent="0.35">
      <c r="A76" s="263"/>
      <c r="B76" s="263"/>
      <c r="C76" s="263"/>
      <c r="D76" s="263"/>
      <c r="E76" s="227"/>
      <c r="F76" s="227"/>
      <c r="G76" s="227"/>
      <c r="H76" s="227"/>
      <c r="I76" s="263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63"/>
    </row>
    <row r="77" spans="1:20" s="259" customFormat="1" x14ac:dyDescent="0.35">
      <c r="A77" s="263"/>
      <c r="B77" s="263"/>
      <c r="C77" s="263"/>
      <c r="D77" s="269" t="s">
        <v>63</v>
      </c>
      <c r="E77" s="227"/>
      <c r="F77" s="227"/>
      <c r="G77" s="227"/>
      <c r="H77" s="227"/>
      <c r="I77" s="263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63"/>
    </row>
    <row r="78" spans="1:20" s="259" customFormat="1" x14ac:dyDescent="0.35">
      <c r="A78" s="263"/>
      <c r="B78" s="263"/>
      <c r="C78" s="263"/>
      <c r="D78" s="269"/>
      <c r="E78" s="263" t="s">
        <v>116</v>
      </c>
      <c r="F78" s="263"/>
      <c r="G78" s="263" t="s">
        <v>117</v>
      </c>
      <c r="H78" s="263"/>
      <c r="I78" s="263"/>
      <c r="J78" s="226"/>
      <c r="K78" s="226"/>
      <c r="L78" s="226"/>
      <c r="M78" s="226"/>
      <c r="N78" s="234"/>
      <c r="O78" s="226"/>
      <c r="P78" s="226"/>
      <c r="Q78" s="226"/>
      <c r="R78" s="226"/>
      <c r="S78" s="226"/>
      <c r="T78" s="226"/>
    </row>
    <row r="79" spans="1:20" s="116" customFormat="1" x14ac:dyDescent="0.35">
      <c r="D79" s="275"/>
      <c r="E79" s="276" t="s">
        <v>118</v>
      </c>
      <c r="F79" s="276"/>
      <c r="G79" s="276" t="s">
        <v>109</v>
      </c>
      <c r="H79" s="276"/>
      <c r="J79" s="277"/>
      <c r="K79" s="277"/>
      <c r="L79" s="277"/>
      <c r="M79" s="277"/>
      <c r="N79" s="277"/>
      <c r="O79" s="90"/>
      <c r="P79" s="90"/>
      <c r="Q79" s="90"/>
      <c r="R79" s="90"/>
      <c r="S79" s="90"/>
      <c r="T79" s="277"/>
    </row>
    <row r="80" spans="1:20" s="259" customFormat="1" x14ac:dyDescent="0.35">
      <c r="A80" s="263"/>
      <c r="B80" s="263"/>
      <c r="C80" s="263"/>
      <c r="D80" s="269"/>
      <c r="E80" s="227"/>
      <c r="F80" s="227"/>
      <c r="G80" s="227"/>
      <c r="H80" s="227"/>
      <c r="I80" s="263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63"/>
    </row>
    <row r="81" spans="1:20" s="259" customFormat="1" x14ac:dyDescent="0.35">
      <c r="A81" s="263"/>
      <c r="B81" s="263"/>
      <c r="C81" s="263"/>
      <c r="D81" s="269" t="s">
        <v>69</v>
      </c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</row>
    <row r="82" spans="1:20" s="259" customFormat="1" x14ac:dyDescent="0.35">
      <c r="A82" s="263"/>
      <c r="B82" s="263"/>
      <c r="C82" s="263"/>
      <c r="D82" s="269"/>
      <c r="E82" s="263" t="s">
        <v>116</v>
      </c>
      <c r="F82" s="263"/>
      <c r="G82" s="263" t="s">
        <v>117</v>
      </c>
      <c r="H82" s="263"/>
      <c r="I82" s="263"/>
      <c r="J82" s="226"/>
      <c r="K82" s="226"/>
      <c r="L82" s="226"/>
      <c r="M82" s="226"/>
      <c r="N82" s="234"/>
      <c r="O82" s="226"/>
      <c r="P82" s="226"/>
      <c r="Q82" s="226"/>
      <c r="R82" s="226"/>
      <c r="S82" s="226"/>
      <c r="T82" s="226"/>
    </row>
    <row r="83" spans="1:20" s="116" customFormat="1" x14ac:dyDescent="0.35">
      <c r="D83" s="275"/>
      <c r="E83" s="276" t="s">
        <v>118</v>
      </c>
      <c r="F83" s="276"/>
      <c r="G83" s="276" t="s">
        <v>109</v>
      </c>
      <c r="H83" s="276"/>
      <c r="J83" s="277"/>
      <c r="K83" s="277"/>
      <c r="L83" s="277"/>
      <c r="M83" s="277"/>
      <c r="N83" s="277"/>
      <c r="O83" s="90"/>
      <c r="P83" s="90"/>
      <c r="Q83" s="90"/>
      <c r="R83" s="90"/>
      <c r="S83" s="90"/>
      <c r="T83" s="277"/>
    </row>
    <row r="84" spans="1:20" s="259" customFormat="1" x14ac:dyDescent="0.35">
      <c r="A84" s="263"/>
      <c r="B84" s="263"/>
      <c r="C84" s="263"/>
      <c r="D84" s="269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</row>
    <row r="85" spans="1:20" s="259" customFormat="1" x14ac:dyDescent="0.35">
      <c r="A85" s="263"/>
      <c r="B85" s="263"/>
      <c r="C85" s="263"/>
      <c r="D85" s="269" t="s">
        <v>73</v>
      </c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</row>
    <row r="86" spans="1:20" s="259" customFormat="1" x14ac:dyDescent="0.35">
      <c r="A86" s="263"/>
      <c r="B86" s="263"/>
      <c r="C86" s="263"/>
      <c r="D86" s="269"/>
      <c r="E86" s="263" t="s">
        <v>116</v>
      </c>
      <c r="F86" s="263"/>
      <c r="G86" s="263" t="s">
        <v>117</v>
      </c>
      <c r="H86" s="263"/>
      <c r="I86" s="263"/>
      <c r="J86" s="226"/>
      <c r="K86" s="226"/>
      <c r="L86" s="226"/>
      <c r="M86" s="226"/>
      <c r="N86" s="234"/>
      <c r="O86" s="226"/>
      <c r="P86" s="226"/>
      <c r="Q86" s="226"/>
      <c r="R86" s="226"/>
      <c r="S86" s="226"/>
      <c r="T86" s="226"/>
    </row>
    <row r="87" spans="1:20" s="116" customFormat="1" x14ac:dyDescent="0.35">
      <c r="D87" s="275"/>
      <c r="E87" s="276" t="s">
        <v>118</v>
      </c>
      <c r="F87" s="276"/>
      <c r="G87" s="276" t="s">
        <v>109</v>
      </c>
      <c r="H87" s="276"/>
      <c r="J87" s="277"/>
      <c r="K87" s="277"/>
      <c r="L87" s="277"/>
      <c r="M87" s="277"/>
      <c r="N87" s="277"/>
      <c r="O87" s="90"/>
      <c r="P87" s="90"/>
      <c r="Q87" s="90"/>
      <c r="R87" s="90"/>
      <c r="S87" s="90"/>
      <c r="T87" s="277"/>
    </row>
    <row r="88" spans="1:20" s="259" customFormat="1" x14ac:dyDescent="0.35">
      <c r="A88" s="263"/>
      <c r="B88" s="263"/>
      <c r="C88" s="263"/>
      <c r="D88" s="269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</row>
    <row r="89" spans="1:20" s="259" customFormat="1" x14ac:dyDescent="0.35">
      <c r="A89" s="263"/>
      <c r="B89" s="263"/>
      <c r="C89" s="263"/>
      <c r="D89" s="269" t="s">
        <v>79</v>
      </c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</row>
    <row r="90" spans="1:20" s="259" customFormat="1" x14ac:dyDescent="0.35">
      <c r="A90" s="263"/>
      <c r="B90" s="263"/>
      <c r="C90" s="263"/>
      <c r="D90" s="269"/>
      <c r="E90" s="227" t="s">
        <v>119</v>
      </c>
      <c r="F90" s="227"/>
      <c r="G90" s="227" t="s">
        <v>120</v>
      </c>
      <c r="H90" s="227"/>
      <c r="I90" s="263"/>
      <c r="J90" s="226"/>
      <c r="K90" s="226"/>
      <c r="L90" s="226"/>
      <c r="M90" s="226"/>
      <c r="N90" s="226"/>
      <c r="O90" s="226"/>
      <c r="P90" s="226"/>
      <c r="Q90" s="234"/>
      <c r="R90" s="234"/>
      <c r="S90" s="234"/>
      <c r="T90" s="226"/>
    </row>
    <row r="91" spans="1:20" s="259" customFormat="1" x14ac:dyDescent="0.35">
      <c r="A91" s="263"/>
      <c r="B91" s="263"/>
      <c r="C91" s="263"/>
      <c r="D91" s="269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</row>
    <row r="92" spans="1:20" s="259" customFormat="1" x14ac:dyDescent="0.35">
      <c r="A92" s="263"/>
      <c r="B92" s="263"/>
      <c r="C92" s="263"/>
      <c r="D92" s="269" t="s">
        <v>75</v>
      </c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</row>
    <row r="93" spans="1:20" s="259" customFormat="1" x14ac:dyDescent="0.35">
      <c r="A93" s="263"/>
      <c r="B93" s="263"/>
      <c r="C93" s="263"/>
      <c r="D93" s="269"/>
      <c r="E93" s="227" t="s">
        <v>121</v>
      </c>
      <c r="F93" s="227"/>
      <c r="G93" s="227" t="s">
        <v>117</v>
      </c>
      <c r="H93" s="227"/>
      <c r="I93" s="263"/>
      <c r="J93" s="226"/>
      <c r="K93" s="226"/>
      <c r="L93" s="226"/>
      <c r="M93" s="226"/>
      <c r="N93" s="226"/>
      <c r="O93" s="226"/>
      <c r="P93" s="226"/>
      <c r="Q93" s="234"/>
      <c r="R93" s="234"/>
      <c r="S93" s="234"/>
      <c r="T93" s="226"/>
    </row>
    <row r="94" spans="1:20" s="259" customFormat="1" x14ac:dyDescent="0.35">
      <c r="A94" s="263"/>
      <c r="B94" s="263"/>
      <c r="C94" s="263"/>
      <c r="D94" s="269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</row>
    <row r="95" spans="1:20" s="259" customFormat="1" x14ac:dyDescent="0.35">
      <c r="A95" s="263"/>
      <c r="B95" s="263"/>
      <c r="C95" s="263"/>
      <c r="D95" s="228" t="s">
        <v>77</v>
      </c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</row>
    <row r="96" spans="1:20" s="259" customFormat="1" x14ac:dyDescent="0.35">
      <c r="A96" s="263"/>
      <c r="B96" s="263"/>
      <c r="C96" s="263"/>
      <c r="D96" s="269"/>
      <c r="E96" s="263" t="s">
        <v>122</v>
      </c>
      <c r="F96" s="263"/>
      <c r="G96" s="263" t="s">
        <v>123</v>
      </c>
      <c r="H96" s="263"/>
      <c r="I96" s="263"/>
      <c r="J96" s="226"/>
      <c r="K96" s="226"/>
      <c r="L96" s="226"/>
      <c r="M96" s="226"/>
      <c r="N96" s="226"/>
      <c r="O96" s="226"/>
      <c r="P96" s="226"/>
      <c r="Q96" s="234"/>
      <c r="R96" s="234"/>
      <c r="S96" s="234"/>
      <c r="T96" s="226"/>
    </row>
    <row r="97" spans="1:20" s="259" customFormat="1" x14ac:dyDescent="0.35">
      <c r="A97" s="263"/>
      <c r="B97" s="263"/>
      <c r="C97" s="263"/>
      <c r="D97" s="269"/>
      <c r="E97" s="263" t="s">
        <v>124</v>
      </c>
      <c r="F97" s="227"/>
      <c r="G97" s="263" t="s">
        <v>123</v>
      </c>
      <c r="H97" s="227"/>
      <c r="I97" s="263"/>
      <c r="J97" s="226"/>
      <c r="K97" s="226"/>
      <c r="L97" s="226"/>
      <c r="M97" s="226"/>
      <c r="N97" s="226"/>
      <c r="O97" s="226"/>
      <c r="P97" s="226"/>
      <c r="Q97" s="234"/>
      <c r="R97" s="234"/>
      <c r="S97" s="234"/>
      <c r="T97" s="226"/>
    </row>
    <row r="98" spans="1:20" s="259" customFormat="1" x14ac:dyDescent="0.35">
      <c r="A98" s="263"/>
      <c r="B98" s="263"/>
      <c r="C98" s="263"/>
      <c r="D98" s="269"/>
      <c r="E98" s="263" t="s">
        <v>125</v>
      </c>
      <c r="F98" s="227"/>
      <c r="G98" s="263" t="s">
        <v>123</v>
      </c>
      <c r="H98" s="227"/>
      <c r="I98" s="263"/>
      <c r="J98" s="226"/>
      <c r="K98" s="226"/>
      <c r="L98" s="226"/>
      <c r="M98" s="226"/>
      <c r="N98" s="226"/>
      <c r="O98" s="226"/>
      <c r="P98" s="226"/>
      <c r="Q98" s="234"/>
      <c r="R98" s="234"/>
      <c r="S98" s="234"/>
      <c r="T98" s="226"/>
    </row>
    <row r="99" spans="1:20" s="259" customFormat="1" x14ac:dyDescent="0.35">
      <c r="A99" s="263"/>
      <c r="B99" s="263"/>
      <c r="C99" s="263"/>
      <c r="D99" s="269"/>
      <c r="E99" s="263" t="s">
        <v>126</v>
      </c>
      <c r="F99" s="227"/>
      <c r="G99" s="263" t="s">
        <v>123</v>
      </c>
      <c r="H99" s="227"/>
      <c r="I99" s="263"/>
      <c r="J99" s="226"/>
      <c r="K99" s="226"/>
      <c r="L99" s="226"/>
      <c r="M99" s="226"/>
      <c r="N99" s="226"/>
      <c r="O99" s="226"/>
      <c r="P99" s="226"/>
      <c r="Q99" s="234"/>
      <c r="R99" s="234"/>
      <c r="S99" s="234"/>
      <c r="T99" s="226"/>
    </row>
    <row r="100" spans="1:20" s="259" customFormat="1" x14ac:dyDescent="0.35">
      <c r="A100" s="263"/>
      <c r="B100" s="263"/>
      <c r="C100" s="263"/>
      <c r="D100" s="269"/>
      <c r="E100" s="263" t="s">
        <v>127</v>
      </c>
      <c r="F100" s="227"/>
      <c r="G100" s="263" t="s">
        <v>123</v>
      </c>
      <c r="H100" s="227"/>
      <c r="I100" s="263"/>
      <c r="J100" s="226"/>
      <c r="K100" s="226"/>
      <c r="L100" s="226"/>
      <c r="M100" s="226"/>
      <c r="N100" s="226"/>
      <c r="O100" s="226"/>
      <c r="P100" s="226"/>
      <c r="Q100" s="234"/>
      <c r="R100" s="234"/>
      <c r="S100" s="234"/>
      <c r="T100" s="226"/>
    </row>
    <row r="101" spans="1:20" s="259" customFormat="1" x14ac:dyDescent="0.35">
      <c r="A101" s="263"/>
      <c r="B101" s="263"/>
      <c r="C101" s="263"/>
      <c r="D101" s="269"/>
      <c r="E101" s="263"/>
      <c r="F101" s="227"/>
      <c r="G101" s="263"/>
      <c r="H101" s="227"/>
      <c r="I101" s="263"/>
      <c r="J101" s="227"/>
      <c r="K101" s="227"/>
      <c r="L101" s="227"/>
      <c r="M101" s="227"/>
      <c r="N101" s="227"/>
      <c r="O101" s="227"/>
      <c r="P101" s="227"/>
      <c r="Q101" s="263"/>
      <c r="R101" s="263"/>
      <c r="S101" s="263"/>
      <c r="T101" s="227"/>
    </row>
    <row r="102" spans="1:20" s="259" customFormat="1" x14ac:dyDescent="0.35">
      <c r="A102" s="263"/>
      <c r="B102" s="263"/>
      <c r="C102" s="263"/>
      <c r="D102" s="269"/>
      <c r="E102" s="263" t="s">
        <v>128</v>
      </c>
      <c r="F102" s="227"/>
      <c r="G102" s="263" t="s">
        <v>112</v>
      </c>
      <c r="H102" s="227"/>
      <c r="I102" s="263"/>
      <c r="J102" s="226"/>
      <c r="K102" s="226"/>
      <c r="L102" s="226"/>
      <c r="M102" s="226"/>
      <c r="N102" s="226"/>
      <c r="O102" s="226"/>
      <c r="P102" s="226"/>
      <c r="Q102" s="234"/>
      <c r="R102" s="234"/>
      <c r="S102" s="234"/>
      <c r="T102" s="226"/>
    </row>
    <row r="103" spans="1:20" s="259" customFormat="1" x14ac:dyDescent="0.35">
      <c r="A103" s="263"/>
      <c r="B103" s="263"/>
      <c r="C103" s="263"/>
      <c r="D103" s="269"/>
      <c r="E103" s="263" t="s">
        <v>129</v>
      </c>
      <c r="F103" s="227"/>
      <c r="G103" s="263" t="s">
        <v>112</v>
      </c>
      <c r="H103" s="227"/>
      <c r="I103" s="263"/>
      <c r="J103" s="226"/>
      <c r="K103" s="226"/>
      <c r="L103" s="226"/>
      <c r="M103" s="226"/>
      <c r="N103" s="226"/>
      <c r="O103" s="226"/>
      <c r="P103" s="226"/>
      <c r="Q103" s="234"/>
      <c r="R103" s="234"/>
      <c r="S103" s="234"/>
      <c r="T103" s="226"/>
    </row>
    <row r="104" spans="1:20" s="259" customFormat="1" x14ac:dyDescent="0.35">
      <c r="A104" s="263"/>
      <c r="B104" s="263"/>
      <c r="C104" s="263"/>
      <c r="D104" s="269"/>
      <c r="E104" s="263" t="s">
        <v>130</v>
      </c>
      <c r="F104" s="227"/>
      <c r="G104" s="263" t="s">
        <v>112</v>
      </c>
      <c r="H104" s="227"/>
      <c r="I104" s="263"/>
      <c r="J104" s="226"/>
      <c r="K104" s="226"/>
      <c r="L104" s="226"/>
      <c r="M104" s="226"/>
      <c r="N104" s="226"/>
      <c r="O104" s="226"/>
      <c r="P104" s="226"/>
      <c r="Q104" s="234"/>
      <c r="R104" s="234"/>
      <c r="S104" s="234"/>
      <c r="T104" s="226"/>
    </row>
    <row r="105" spans="1:20" s="259" customFormat="1" x14ac:dyDescent="0.35">
      <c r="A105" s="263"/>
      <c r="B105" s="263"/>
      <c r="C105" s="263"/>
      <c r="D105" s="269"/>
      <c r="E105" s="263" t="s">
        <v>131</v>
      </c>
      <c r="F105" s="227"/>
      <c r="G105" s="263" t="s">
        <v>112</v>
      </c>
      <c r="H105" s="227"/>
      <c r="I105" s="263"/>
      <c r="J105" s="226"/>
      <c r="K105" s="226"/>
      <c r="L105" s="226"/>
      <c r="M105" s="226"/>
      <c r="N105" s="226"/>
      <c r="O105" s="226"/>
      <c r="P105" s="226"/>
      <c r="Q105" s="234"/>
      <c r="R105" s="234"/>
      <c r="S105" s="234"/>
      <c r="T105" s="226"/>
    </row>
    <row r="106" spans="1:20" s="259" customFormat="1" x14ac:dyDescent="0.35">
      <c r="A106" s="263"/>
      <c r="B106" s="263"/>
      <c r="C106" s="263"/>
      <c r="D106" s="269"/>
      <c r="E106" s="263" t="s">
        <v>132</v>
      </c>
      <c r="F106" s="227"/>
      <c r="G106" s="263" t="s">
        <v>112</v>
      </c>
      <c r="H106" s="227"/>
      <c r="I106" s="263"/>
      <c r="J106" s="226"/>
      <c r="K106" s="226"/>
      <c r="L106" s="226"/>
      <c r="M106" s="226"/>
      <c r="N106" s="226"/>
      <c r="O106" s="226"/>
      <c r="P106" s="226"/>
      <c r="Q106" s="234"/>
      <c r="R106" s="234"/>
      <c r="S106" s="234"/>
      <c r="T106" s="226"/>
    </row>
    <row r="107" spans="1:20" s="259" customFormat="1" x14ac:dyDescent="0.35">
      <c r="A107" s="263"/>
      <c r="B107" s="263"/>
      <c r="C107" s="263"/>
      <c r="D107" s="269"/>
      <c r="E107" s="263"/>
      <c r="F107" s="227"/>
      <c r="G107" s="227"/>
      <c r="H107" s="227"/>
      <c r="I107" s="263"/>
      <c r="J107" s="227"/>
      <c r="K107" s="227"/>
      <c r="L107" s="227"/>
      <c r="M107" s="227"/>
      <c r="N107" s="227"/>
      <c r="O107" s="227"/>
      <c r="P107" s="227"/>
      <c r="Q107" s="263"/>
      <c r="R107" s="263"/>
      <c r="S107" s="263"/>
      <c r="T107" s="227"/>
    </row>
    <row r="108" spans="1:20" s="116" customFormat="1" x14ac:dyDescent="0.35">
      <c r="D108" s="275"/>
      <c r="E108" s="116" t="s">
        <v>133</v>
      </c>
      <c r="F108" s="276"/>
      <c r="G108" s="276" t="s">
        <v>109</v>
      </c>
      <c r="H108" s="276"/>
      <c r="J108" s="277"/>
      <c r="K108" s="277"/>
      <c r="L108" s="277"/>
      <c r="M108" s="277"/>
      <c r="N108" s="277"/>
      <c r="O108" s="277"/>
      <c r="P108" s="277"/>
      <c r="Q108" s="90"/>
      <c r="R108" s="90"/>
      <c r="S108" s="90"/>
      <c r="T108" s="277"/>
    </row>
    <row r="109" spans="1:20" s="116" customFormat="1" x14ac:dyDescent="0.35">
      <c r="D109" s="275"/>
      <c r="E109" s="116" t="s">
        <v>134</v>
      </c>
      <c r="F109" s="276"/>
      <c r="G109" s="276" t="s">
        <v>109</v>
      </c>
      <c r="H109" s="276"/>
      <c r="J109" s="277"/>
      <c r="K109" s="277"/>
      <c r="L109" s="277"/>
      <c r="M109" s="277"/>
      <c r="N109" s="277"/>
      <c r="O109" s="277"/>
      <c r="P109" s="277"/>
      <c r="Q109" s="90"/>
      <c r="R109" s="90"/>
      <c r="S109" s="90"/>
      <c r="T109" s="277"/>
    </row>
    <row r="110" spans="1:20" s="116" customFormat="1" x14ac:dyDescent="0.35">
      <c r="D110" s="275"/>
      <c r="E110" s="116" t="s">
        <v>135</v>
      </c>
      <c r="F110" s="276"/>
      <c r="G110" s="276" t="s">
        <v>109</v>
      </c>
      <c r="H110" s="276"/>
      <c r="J110" s="277"/>
      <c r="K110" s="277"/>
      <c r="L110" s="277"/>
      <c r="M110" s="277"/>
      <c r="N110" s="277"/>
      <c r="O110" s="277"/>
      <c r="P110" s="277"/>
      <c r="Q110" s="90"/>
      <c r="R110" s="90"/>
      <c r="S110" s="90"/>
      <c r="T110" s="277"/>
    </row>
    <row r="111" spans="1:20" s="116" customFormat="1" x14ac:dyDescent="0.35">
      <c r="D111" s="275"/>
      <c r="E111" s="116" t="s">
        <v>136</v>
      </c>
      <c r="F111" s="276"/>
      <c r="G111" s="276" t="s">
        <v>109</v>
      </c>
      <c r="H111" s="276"/>
      <c r="J111" s="277"/>
      <c r="K111" s="277"/>
      <c r="L111" s="277"/>
      <c r="M111" s="277"/>
      <c r="N111" s="277"/>
      <c r="O111" s="277"/>
      <c r="P111" s="277"/>
      <c r="Q111" s="90"/>
      <c r="R111" s="90"/>
      <c r="S111" s="90"/>
      <c r="T111" s="277"/>
    </row>
    <row r="112" spans="1:20" s="116" customFormat="1" x14ac:dyDescent="0.35">
      <c r="D112" s="275"/>
      <c r="E112" s="116" t="s">
        <v>137</v>
      </c>
      <c r="F112" s="276"/>
      <c r="G112" s="276" t="s">
        <v>109</v>
      </c>
      <c r="H112" s="276"/>
      <c r="J112" s="277"/>
      <c r="K112" s="277"/>
      <c r="L112" s="277"/>
      <c r="M112" s="277"/>
      <c r="N112" s="277"/>
      <c r="O112" s="277"/>
      <c r="P112" s="277"/>
      <c r="Q112" s="90"/>
      <c r="R112" s="90"/>
      <c r="S112" s="90"/>
      <c r="T112" s="277"/>
    </row>
    <row r="113" spans="1:20" s="259" customFormat="1" x14ac:dyDescent="0.35">
      <c r="A113" s="263"/>
      <c r="B113" s="263"/>
      <c r="C113" s="263"/>
      <c r="D113" s="269"/>
      <c r="E113" s="116" t="s">
        <v>86</v>
      </c>
      <c r="F113" s="276"/>
      <c r="G113" s="276" t="s">
        <v>109</v>
      </c>
      <c r="H113" s="276"/>
      <c r="I113" s="116"/>
      <c r="J113" s="276"/>
      <c r="K113" s="276"/>
      <c r="L113" s="276"/>
      <c r="M113" s="276"/>
      <c r="N113" s="276"/>
      <c r="O113" s="276"/>
      <c r="P113" s="276"/>
      <c r="Q113" s="116"/>
      <c r="R113" s="116"/>
      <c r="S113" s="116"/>
      <c r="T113" s="276"/>
    </row>
    <row r="114" spans="1:20" s="259" customFormat="1" x14ac:dyDescent="0.35">
      <c r="A114" s="263"/>
      <c r="B114" s="263"/>
      <c r="C114" s="263"/>
      <c r="D114" s="269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</row>
    <row r="115" spans="1:20" s="259" customFormat="1" x14ac:dyDescent="0.35">
      <c r="A115" s="263"/>
      <c r="B115" s="263"/>
      <c r="C115" s="263"/>
      <c r="D115" s="269" t="s">
        <v>81</v>
      </c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</row>
    <row r="116" spans="1:20" s="259" customFormat="1" x14ac:dyDescent="0.35">
      <c r="A116" s="263"/>
      <c r="B116" s="263"/>
      <c r="C116" s="263"/>
      <c r="D116" s="269"/>
      <c r="E116" s="263" t="s">
        <v>116</v>
      </c>
      <c r="F116" s="263"/>
      <c r="G116" s="263" t="s">
        <v>117</v>
      </c>
      <c r="H116" s="263"/>
      <c r="I116" s="263"/>
      <c r="J116" s="226"/>
      <c r="K116" s="226"/>
      <c r="L116" s="226"/>
      <c r="M116" s="226"/>
      <c r="N116" s="234"/>
      <c r="O116" s="226"/>
      <c r="P116" s="226"/>
      <c r="Q116" s="226"/>
      <c r="R116" s="226"/>
      <c r="S116" s="226"/>
      <c r="T116" s="226"/>
    </row>
    <row r="117" spans="1:20" s="116" customFormat="1" x14ac:dyDescent="0.35">
      <c r="D117" s="275"/>
      <c r="E117" s="276" t="s">
        <v>118</v>
      </c>
      <c r="F117" s="276"/>
      <c r="G117" s="276" t="s">
        <v>109</v>
      </c>
      <c r="H117" s="276"/>
      <c r="J117" s="277"/>
      <c r="K117" s="277"/>
      <c r="L117" s="277"/>
      <c r="M117" s="277"/>
      <c r="N117" s="277"/>
      <c r="O117" s="90"/>
      <c r="P117" s="90"/>
      <c r="Q117" s="90"/>
      <c r="R117" s="90"/>
      <c r="S117" s="90"/>
      <c r="T117" s="277"/>
    </row>
    <row r="118" spans="1:20" s="259" customFormat="1" x14ac:dyDescent="0.35">
      <c r="A118" s="263"/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</row>
    <row r="119" spans="1:20" s="259" customFormat="1" ht="13.15" x14ac:dyDescent="0.35">
      <c r="A119" s="260" t="s">
        <v>62</v>
      </c>
      <c r="B119" s="261"/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  <c r="Q119" s="262"/>
      <c r="R119" s="262"/>
      <c r="S119" s="262"/>
      <c r="T119" s="262"/>
    </row>
    <row r="120" spans="1:20" s="259" customFormat="1" x14ac:dyDescent="0.35">
      <c r="A120" s="263"/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</row>
    <row r="121" spans="1:20" s="259" customFormat="1" x14ac:dyDescent="0.35">
      <c r="A121" s="263"/>
      <c r="B121" s="263"/>
      <c r="C121" s="263"/>
      <c r="D121" s="263"/>
      <c r="E121" s="227" t="s">
        <v>138</v>
      </c>
      <c r="F121" s="278">
        <v>42095</v>
      </c>
      <c r="G121" s="227" t="s">
        <v>139</v>
      </c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</row>
    <row r="122" spans="1:20" s="259" customFormat="1" x14ac:dyDescent="0.35">
      <c r="A122" s="263"/>
      <c r="B122" s="263"/>
      <c r="C122" s="263"/>
      <c r="D122" s="263"/>
      <c r="E122" s="227"/>
      <c r="F122" s="227"/>
      <c r="G122" s="227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</row>
    <row r="123" spans="1:20" s="259" customFormat="1" x14ac:dyDescent="0.35">
      <c r="A123" s="263"/>
      <c r="B123" s="263"/>
      <c r="C123" s="263"/>
      <c r="D123" s="263"/>
      <c r="E123" s="227" t="s">
        <v>140</v>
      </c>
      <c r="F123" s="278">
        <v>43921</v>
      </c>
      <c r="G123" s="227" t="s">
        <v>139</v>
      </c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</row>
    <row r="124" spans="1:20" s="259" customFormat="1" x14ac:dyDescent="0.35">
      <c r="A124" s="263"/>
      <c r="B124" s="263"/>
      <c r="C124" s="263"/>
      <c r="D124" s="263"/>
      <c r="E124" s="227"/>
      <c r="F124" s="227"/>
      <c r="G124" s="227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</row>
    <row r="125" spans="1:20" s="259" customFormat="1" x14ac:dyDescent="0.35">
      <c r="A125" s="263"/>
      <c r="B125" s="263"/>
      <c r="C125" s="263"/>
      <c r="D125" s="263"/>
      <c r="E125" s="227" t="s">
        <v>141</v>
      </c>
      <c r="F125" s="278">
        <v>43921</v>
      </c>
      <c r="G125" s="227" t="s">
        <v>139</v>
      </c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</row>
    <row r="126" spans="1:20" s="259" customFormat="1" ht="13.5" x14ac:dyDescent="0.35">
      <c r="A126" s="263"/>
      <c r="B126" s="263"/>
      <c r="C126" s="263"/>
      <c r="D126" s="263"/>
      <c r="E126" s="227" t="s">
        <v>142</v>
      </c>
      <c r="F126" s="279">
        <v>5</v>
      </c>
      <c r="G126" s="273" t="s">
        <v>143</v>
      </c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</row>
    <row r="127" spans="1:20" s="259" customFormat="1" x14ac:dyDescent="0.35">
      <c r="A127" s="263"/>
      <c r="B127" s="263"/>
      <c r="C127" s="263"/>
      <c r="D127" s="263"/>
      <c r="E127" s="227" t="s">
        <v>144</v>
      </c>
      <c r="F127" s="280">
        <f>DATE(YEAR(F125)+F126,MONTH(F125),DAY(F125))</f>
        <v>45747</v>
      </c>
      <c r="G127" s="227" t="s">
        <v>139</v>
      </c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</row>
    <row r="128" spans="1:20" s="259" customFormat="1" x14ac:dyDescent="0.35">
      <c r="A128" s="263"/>
      <c r="B128" s="263"/>
      <c r="C128" s="263"/>
      <c r="D128" s="263"/>
      <c r="E128" s="227"/>
      <c r="F128" s="227"/>
      <c r="G128" s="227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</row>
    <row r="129" spans="1:20" s="259" customFormat="1" x14ac:dyDescent="0.35">
      <c r="A129" s="263"/>
      <c r="B129" s="263"/>
      <c r="C129" s="263"/>
      <c r="D129" s="263"/>
      <c r="E129" s="227" t="s">
        <v>145</v>
      </c>
      <c r="F129" s="278">
        <v>44286</v>
      </c>
      <c r="G129" s="227" t="s">
        <v>139</v>
      </c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</row>
    <row r="130" spans="1:20" s="259" customFormat="1" x14ac:dyDescent="0.35">
      <c r="A130" s="263"/>
      <c r="B130" s="263"/>
      <c r="C130" s="263"/>
      <c r="D130" s="263"/>
      <c r="E130" s="227" t="s">
        <v>146</v>
      </c>
      <c r="F130" s="278">
        <v>45747</v>
      </c>
      <c r="G130" s="227" t="s">
        <v>139</v>
      </c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</row>
    <row r="131" spans="1:20" s="259" customFormat="1" x14ac:dyDescent="0.35">
      <c r="A131" s="263"/>
      <c r="B131" s="263"/>
      <c r="C131" s="263"/>
      <c r="D131" s="263"/>
      <c r="E131" s="227" t="s">
        <v>147</v>
      </c>
      <c r="F131" s="279">
        <v>2016</v>
      </c>
      <c r="G131" s="227" t="s">
        <v>148</v>
      </c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</row>
    <row r="132" spans="1:20" s="259" customFormat="1" x14ac:dyDescent="0.35">
      <c r="A132" s="263"/>
      <c r="B132" s="263"/>
      <c r="C132" s="263"/>
      <c r="D132" s="263"/>
      <c r="E132" s="227" t="s">
        <v>149</v>
      </c>
      <c r="F132" s="279">
        <v>3</v>
      </c>
      <c r="G132" s="227" t="s">
        <v>150</v>
      </c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</row>
    <row r="133" spans="1:20" s="259" customFormat="1" x14ac:dyDescent="0.35">
      <c r="A133" s="263"/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</row>
    <row r="134" spans="1:20" s="223" customFormat="1" ht="13.15" x14ac:dyDescent="0.35">
      <c r="A134" s="224" t="s">
        <v>83</v>
      </c>
      <c r="B134" s="225"/>
      <c r="C134" s="242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</row>
    <row r="135" spans="1:20" x14ac:dyDescent="0.35"/>
  </sheetData>
  <conditionalFormatting sqref="J3:T3">
    <cfRule type="cellIs" dxfId="44" priority="1" operator="equal">
      <formula>"Post-Fcst"</formula>
    </cfRule>
    <cfRule type="cellIs" dxfId="43" priority="2" operator="equal">
      <formula>"Forecast"</formula>
    </cfRule>
    <cfRule type="cellIs" dxfId="42" priority="3" operator="equal">
      <formula>"Pre Fcst"</formula>
    </cfRule>
  </conditionalFormatting>
  <printOptions headings="1"/>
  <pageMargins left="0.7" right="0.7" top="0.75" bottom="0.75" header="0.3" footer="0.3"/>
  <pageSetup paperSize="9" scale="27" orientation="landscape" blackAndWhite="1" r:id="rId1"/>
  <headerFooter>
    <oddHeader xml:space="preserve">&amp;L&amp;F &amp;CSheet: &amp;A &amp;ROFFICIAL </oddHeader>
    <oddFooter xml:space="preserve">&amp;L&amp;D at &amp;T &amp;C&amp;P of &amp;N &amp;ROfwat 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Validation!$A$5:$A$9</xm:f>
          </x14:formula1>
          <xm:sqref>F12</xm:sqref>
        </x14:dataValidation>
        <x14:dataValidation type="list" allowBlank="1" showInputMessage="1" showErrorMessage="1">
          <x14:formula1>
            <xm:f>Validation!$B$5:$B$21</xm:f>
          </x14:formula1>
          <xm:sqref>F9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CEABF"/>
    <outlinePr summaryBelow="0" summaryRight="0"/>
    <pageSetUpPr fitToPage="1"/>
  </sheetPr>
  <dimension ref="A1:CA88"/>
  <sheetViews>
    <sheetView view="pageBreakPreview" zoomScale="60" zoomScaleNormal="10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.15" zeroHeight="1" x14ac:dyDescent="0.35"/>
  <cols>
    <col min="1" max="1" width="1.625" style="81" customWidth="1"/>
    <col min="2" max="2" width="1.625" style="82" customWidth="1"/>
    <col min="3" max="3" width="1.625" style="26" customWidth="1"/>
    <col min="4" max="4" width="1.625" style="83" customWidth="1"/>
    <col min="5" max="5" width="45.625" style="10" customWidth="1"/>
    <col min="6" max="8" width="15.625" style="34" customWidth="1"/>
    <col min="9" max="9" width="2.625" style="34" customWidth="1"/>
    <col min="10" max="20" width="9.625" style="34" customWidth="1"/>
    <col min="21" max="79" width="0" style="34" hidden="1" customWidth="1"/>
    <col min="80" max="16384" width="9.625" style="34" hidden="1"/>
  </cols>
  <sheetData>
    <row r="1" spans="1:79" s="135" customFormat="1" ht="29.25" x14ac:dyDescent="0.95">
      <c r="A1" s="136" t="str">
        <f ca="1" xml:space="preserve"> RIGHT(CELL("filename", $A$1), LEN(CELL("filename", $A$1)) - SEARCH("]", CELL("filename", $A$1)))</f>
        <v>Time</v>
      </c>
      <c r="B1" s="134"/>
      <c r="C1" s="154"/>
      <c r="D1" s="134"/>
      <c r="E1" s="155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79" s="18" customFormat="1" x14ac:dyDescent="0.35">
      <c r="A2" s="12"/>
      <c r="B2" s="13"/>
      <c r="C2" s="14"/>
      <c r="D2" s="15"/>
      <c r="E2" s="16" t="str">
        <f>Time!E$22</f>
        <v>Model Period END</v>
      </c>
      <c r="F2" s="17"/>
      <c r="G2" s="17"/>
      <c r="H2" s="17"/>
      <c r="I2" s="17"/>
      <c r="J2" s="17">
        <f>Time!J$22</f>
        <v>42460</v>
      </c>
      <c r="K2" s="17">
        <f>Time!K$22</f>
        <v>42825</v>
      </c>
      <c r="L2" s="17">
        <f>Time!L$22</f>
        <v>43190</v>
      </c>
      <c r="M2" s="17">
        <f>Time!M$22</f>
        <v>43555</v>
      </c>
      <c r="N2" s="17">
        <f>Time!N$22</f>
        <v>43921</v>
      </c>
      <c r="O2" s="17">
        <f>Time!O$22</f>
        <v>44286</v>
      </c>
      <c r="P2" s="17">
        <f>Time!P$22</f>
        <v>44651</v>
      </c>
      <c r="Q2" s="17">
        <f>Time!Q$22</f>
        <v>45016</v>
      </c>
      <c r="R2" s="17">
        <f>Time!R$22</f>
        <v>45382</v>
      </c>
      <c r="S2" s="17">
        <f>Time!S$22</f>
        <v>45747</v>
      </c>
      <c r="T2" s="17">
        <f>Time!T$22</f>
        <v>46112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</row>
    <row r="3" spans="1:79" s="23" customFormat="1" x14ac:dyDescent="0.35">
      <c r="A3" s="19"/>
      <c r="B3" s="20"/>
      <c r="C3" s="21"/>
      <c r="D3" s="22"/>
      <c r="E3" s="16" t="str">
        <f>Time!E$58</f>
        <v>Pre Forecast vs Forecast</v>
      </c>
      <c r="F3" s="17"/>
      <c r="G3" s="17"/>
      <c r="H3" s="17"/>
      <c r="I3" s="17"/>
      <c r="J3" s="17" t="str">
        <f>Time!J$58</f>
        <v>Pre Fcst</v>
      </c>
      <c r="K3" s="17" t="str">
        <f>Time!K$58</f>
        <v>Pre Fcst</v>
      </c>
      <c r="L3" s="17" t="str">
        <f>Time!L$58</f>
        <v>Pre Fcst</v>
      </c>
      <c r="M3" s="17" t="str">
        <f>Time!M$58</f>
        <v>Pre Fcst</v>
      </c>
      <c r="N3" s="17" t="str">
        <f>Time!N$58</f>
        <v>Pre Fcst</v>
      </c>
      <c r="O3" s="17" t="str">
        <f>Time!O$58</f>
        <v>Forecast</v>
      </c>
      <c r="P3" s="17" t="str">
        <f>Time!P$58</f>
        <v>Forecast</v>
      </c>
      <c r="Q3" s="17" t="str">
        <f>Time!Q$58</f>
        <v>Forecast</v>
      </c>
      <c r="R3" s="17" t="str">
        <f>Time!R$58</f>
        <v>Forecast</v>
      </c>
      <c r="S3" s="17" t="str">
        <f>Time!S$58</f>
        <v>Forecast</v>
      </c>
      <c r="T3" s="17" t="str">
        <f>Time!T$58</f>
        <v>Post-Fcst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</row>
    <row r="4" spans="1:79" s="165" customFormat="1" x14ac:dyDescent="0.35">
      <c r="A4" s="159"/>
      <c r="B4" s="160"/>
      <c r="C4" s="161"/>
      <c r="D4" s="162"/>
      <c r="E4" s="163" t="str">
        <f>Time!E$85</f>
        <v>Financial Year Ending</v>
      </c>
      <c r="F4" s="164"/>
      <c r="G4" s="164"/>
      <c r="H4" s="164"/>
      <c r="J4" s="165">
        <f>Time!J$85</f>
        <v>2016</v>
      </c>
      <c r="K4" s="165">
        <f>Time!K$85</f>
        <v>2017</v>
      </c>
      <c r="L4" s="165">
        <f>Time!L$85</f>
        <v>2018</v>
      </c>
      <c r="M4" s="165">
        <f>Time!M$85</f>
        <v>2019</v>
      </c>
      <c r="N4" s="165">
        <f>Time!N$85</f>
        <v>2020</v>
      </c>
      <c r="O4" s="165">
        <f>Time!O$85</f>
        <v>2021</v>
      </c>
      <c r="P4" s="165">
        <f>Time!P$85</f>
        <v>2022</v>
      </c>
      <c r="Q4" s="165">
        <f>Time!Q$85</f>
        <v>2023</v>
      </c>
      <c r="R4" s="165">
        <f>Time!R$85</f>
        <v>2024</v>
      </c>
      <c r="S4" s="165">
        <f>Time!S$85</f>
        <v>2025</v>
      </c>
      <c r="T4" s="165">
        <f>Time!T$85</f>
        <v>2026</v>
      </c>
    </row>
    <row r="5" spans="1:79" s="33" customFormat="1" x14ac:dyDescent="0.35">
      <c r="A5" s="29"/>
      <c r="B5" s="30"/>
      <c r="C5" s="31"/>
      <c r="D5" s="32"/>
      <c r="E5" s="16" t="str">
        <f>Time!E$10</f>
        <v>Model column counter</v>
      </c>
      <c r="F5" s="23" t="s">
        <v>84</v>
      </c>
      <c r="G5" s="23" t="s">
        <v>85</v>
      </c>
      <c r="H5" s="23" t="s">
        <v>86</v>
      </c>
      <c r="I5" s="28"/>
      <c r="J5" s="28">
        <f>Time!J$10</f>
        <v>1</v>
      </c>
      <c r="K5" s="28">
        <f>Time!K$10</f>
        <v>2</v>
      </c>
      <c r="L5" s="28">
        <f>Time!L$10</f>
        <v>3</v>
      </c>
      <c r="M5" s="28">
        <f>Time!M$10</f>
        <v>4</v>
      </c>
      <c r="N5" s="28">
        <f>Time!N$10</f>
        <v>5</v>
      </c>
      <c r="O5" s="28">
        <f>Time!O$10</f>
        <v>6</v>
      </c>
      <c r="P5" s="28">
        <f>Time!P$10</f>
        <v>7</v>
      </c>
      <c r="Q5" s="28">
        <f>Time!Q$10</f>
        <v>8</v>
      </c>
      <c r="R5" s="28">
        <f>Time!R$10</f>
        <v>9</v>
      </c>
      <c r="S5" s="28">
        <f>Time!S$10</f>
        <v>10</v>
      </c>
      <c r="T5" s="28">
        <f>Time!T$10</f>
        <v>11</v>
      </c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</row>
    <row r="6" spans="1:79" s="33" customFormat="1" x14ac:dyDescent="0.35">
      <c r="A6" s="29"/>
      <c r="B6" s="30"/>
      <c r="C6" s="31"/>
      <c r="D6" s="32"/>
      <c r="E6" s="16"/>
      <c r="F6" s="23"/>
      <c r="G6" s="23"/>
      <c r="H6" s="23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</row>
    <row r="7" spans="1:79" x14ac:dyDescent="0.35">
      <c r="A7" s="84" t="s">
        <v>151</v>
      </c>
      <c r="B7" s="85"/>
      <c r="C7" s="85"/>
      <c r="D7" s="86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</row>
    <row r="8" spans="1:79" x14ac:dyDescent="0.35">
      <c r="A8" s="24"/>
      <c r="B8" s="25"/>
      <c r="D8" s="27"/>
    </row>
    <row r="9" spans="1:79" s="36" customFormat="1" x14ac:dyDescent="0.35">
      <c r="A9" s="19"/>
      <c r="B9" s="20" t="s">
        <v>152</v>
      </c>
      <c r="C9" s="21"/>
      <c r="D9" s="22"/>
      <c r="E9" s="35"/>
      <c r="G9" s="37"/>
    </row>
    <row r="10" spans="1:79" s="42" customFormat="1" x14ac:dyDescent="0.35">
      <c r="A10" s="38"/>
      <c r="B10" s="39"/>
      <c r="C10" s="40"/>
      <c r="D10" s="41"/>
      <c r="E10" s="10" t="s">
        <v>153</v>
      </c>
      <c r="G10" s="42" t="s">
        <v>154</v>
      </c>
      <c r="J10" s="42">
        <f xml:space="preserve"> I10 + 1</f>
        <v>1</v>
      </c>
      <c r="K10" s="42">
        <f t="shared" ref="K10:T10" si="0" xml:space="preserve"> J10 + 1</f>
        <v>2</v>
      </c>
      <c r="L10" s="42">
        <f t="shared" si="0"/>
        <v>3</v>
      </c>
      <c r="M10" s="42">
        <f t="shared" si="0"/>
        <v>4</v>
      </c>
      <c r="N10" s="42">
        <f t="shared" si="0"/>
        <v>5</v>
      </c>
      <c r="O10" s="42">
        <f t="shared" si="0"/>
        <v>6</v>
      </c>
      <c r="P10" s="42">
        <f t="shared" si="0"/>
        <v>7</v>
      </c>
      <c r="Q10" s="42">
        <f t="shared" si="0"/>
        <v>8</v>
      </c>
      <c r="R10" s="42">
        <f t="shared" si="0"/>
        <v>9</v>
      </c>
      <c r="S10" s="42">
        <f t="shared" si="0"/>
        <v>10</v>
      </c>
      <c r="T10" s="42">
        <f t="shared" si="0"/>
        <v>11</v>
      </c>
    </row>
    <row r="11" spans="1:79" x14ac:dyDescent="0.35">
      <c r="A11" s="24"/>
      <c r="B11" s="25"/>
      <c r="D11" s="27"/>
      <c r="E11" s="10" t="s">
        <v>155</v>
      </c>
      <c r="F11" s="34">
        <f xml:space="preserve"> MAX(J10:CA10)</f>
        <v>11</v>
      </c>
      <c r="G11" s="34" t="s">
        <v>156</v>
      </c>
    </row>
    <row r="12" spans="1:79" x14ac:dyDescent="0.35">
      <c r="A12" s="24"/>
      <c r="B12" s="25"/>
      <c r="D12" s="27"/>
    </row>
    <row r="13" spans="1:79" s="47" customFormat="1" x14ac:dyDescent="0.35">
      <c r="A13" s="43"/>
      <c r="B13" s="44"/>
      <c r="C13" s="45"/>
      <c r="D13" s="46"/>
      <c r="E13" s="10" t="str">
        <f t="shared" ref="E13:T13" si="1" xml:space="preserve"> E$10</f>
        <v>Model column counter</v>
      </c>
      <c r="F13" s="47">
        <f t="shared" si="1"/>
        <v>0</v>
      </c>
      <c r="G13" s="47" t="str">
        <f t="shared" si="1"/>
        <v>counter</v>
      </c>
      <c r="H13" s="47">
        <f t="shared" si="1"/>
        <v>0</v>
      </c>
      <c r="I13" s="47">
        <f t="shared" si="1"/>
        <v>0</v>
      </c>
      <c r="J13" s="47">
        <f xml:space="preserve"> J$10</f>
        <v>1</v>
      </c>
      <c r="K13" s="47">
        <f t="shared" si="1"/>
        <v>2</v>
      </c>
      <c r="L13" s="47">
        <f t="shared" si="1"/>
        <v>3</v>
      </c>
      <c r="M13" s="47">
        <f t="shared" si="1"/>
        <v>4</v>
      </c>
      <c r="N13" s="47">
        <f t="shared" si="1"/>
        <v>5</v>
      </c>
      <c r="O13" s="47">
        <f t="shared" si="1"/>
        <v>6</v>
      </c>
      <c r="P13" s="47">
        <f t="shared" si="1"/>
        <v>7</v>
      </c>
      <c r="Q13" s="47">
        <f t="shared" si="1"/>
        <v>8</v>
      </c>
      <c r="R13" s="47">
        <f t="shared" si="1"/>
        <v>9</v>
      </c>
      <c r="S13" s="47">
        <f t="shared" si="1"/>
        <v>10</v>
      </c>
      <c r="T13" s="47">
        <f t="shared" si="1"/>
        <v>11</v>
      </c>
    </row>
    <row r="14" spans="1:79" x14ac:dyDescent="0.35">
      <c r="A14" s="24"/>
      <c r="B14" s="25"/>
      <c r="D14" s="27"/>
      <c r="E14" s="10" t="s">
        <v>157</v>
      </c>
      <c r="G14" s="34" t="s">
        <v>158</v>
      </c>
      <c r="H14" s="34">
        <f xml:space="preserve"> SUM(J14:CA14)</f>
        <v>1</v>
      </c>
      <c r="J14" s="34">
        <f xml:space="preserve"> IF( J13 = 1, 1, 0)</f>
        <v>1</v>
      </c>
      <c r="K14" s="34">
        <f t="shared" ref="K14:S14" si="2" xml:space="preserve"> IF( K13 = 1, 1, 0)</f>
        <v>0</v>
      </c>
      <c r="L14" s="34">
        <f t="shared" si="2"/>
        <v>0</v>
      </c>
      <c r="M14" s="34">
        <f t="shared" si="2"/>
        <v>0</v>
      </c>
      <c r="N14" s="34">
        <f t="shared" si="2"/>
        <v>0</v>
      </c>
      <c r="O14" s="34">
        <f t="shared" si="2"/>
        <v>0</v>
      </c>
      <c r="P14" s="34">
        <f t="shared" si="2"/>
        <v>0</v>
      </c>
      <c r="Q14" s="34">
        <f t="shared" si="2"/>
        <v>0</v>
      </c>
      <c r="R14" s="34">
        <f t="shared" si="2"/>
        <v>0</v>
      </c>
      <c r="S14" s="34">
        <f t="shared" si="2"/>
        <v>0</v>
      </c>
      <c r="T14" s="34">
        <f xml:space="preserve"> IF( T13 = 1, 1, 0)</f>
        <v>0</v>
      </c>
    </row>
    <row r="15" spans="1:79" x14ac:dyDescent="0.35">
      <c r="A15" s="24"/>
      <c r="B15" s="25"/>
      <c r="D15" s="27"/>
    </row>
    <row r="16" spans="1:79" s="53" customFormat="1" x14ac:dyDescent="0.35">
      <c r="A16" s="48"/>
      <c r="B16" s="49"/>
      <c r="C16" s="50"/>
      <c r="D16" s="51"/>
      <c r="E16" s="52" t="str">
        <f xml:space="preserve"> Inputs!E$121</f>
        <v>First date of time ruler</v>
      </c>
      <c r="F16" s="53">
        <f xml:space="preserve"> Inputs!F$121</f>
        <v>42095</v>
      </c>
      <c r="G16" s="53" t="str">
        <f xml:space="preserve"> Inputs!G$121</f>
        <v>date</v>
      </c>
    </row>
    <row r="17" spans="1:79" s="54" customFormat="1" x14ac:dyDescent="0.35">
      <c r="A17" s="48"/>
      <c r="B17" s="49"/>
      <c r="C17" s="50"/>
      <c r="D17" s="51"/>
      <c r="E17" s="10" t="s">
        <v>159</v>
      </c>
      <c r="F17" s="54">
        <f xml:space="preserve"> DATE(YEAR(F16), MONTH(F16), 1)</f>
        <v>42095</v>
      </c>
      <c r="G17" s="54" t="s">
        <v>160</v>
      </c>
    </row>
    <row r="18" spans="1:79" s="53" customFormat="1" x14ac:dyDescent="0.35">
      <c r="A18" s="48"/>
      <c r="B18" s="49"/>
      <c r="C18" s="50"/>
      <c r="D18" s="51"/>
      <c r="E18" s="52"/>
    </row>
    <row r="19" spans="1:79" s="54" customFormat="1" x14ac:dyDescent="0.35">
      <c r="A19" s="48"/>
      <c r="B19" s="49"/>
      <c r="C19" s="50"/>
      <c r="D19" s="51"/>
      <c r="E19" s="10" t="str">
        <f xml:space="preserve"> E$17</f>
        <v>First model period BEG</v>
      </c>
      <c r="F19" s="54">
        <f xml:space="preserve"> F$17</f>
        <v>42095</v>
      </c>
      <c r="G19" s="54" t="str">
        <f xml:space="preserve"> G$17</f>
        <v>month</v>
      </c>
    </row>
    <row r="20" spans="1:79" x14ac:dyDescent="0.35">
      <c r="A20" s="24"/>
      <c r="B20" s="25"/>
      <c r="D20" s="27"/>
      <c r="E20" s="10" t="str">
        <f t="shared" ref="E20:T20" si="3" xml:space="preserve"> E$14</f>
        <v>First model column flag</v>
      </c>
      <c r="F20" s="34">
        <f t="shared" si="3"/>
        <v>0</v>
      </c>
      <c r="G20" s="34" t="str">
        <f t="shared" si="3"/>
        <v>flag</v>
      </c>
      <c r="H20" s="34">
        <f t="shared" si="3"/>
        <v>1</v>
      </c>
      <c r="I20" s="34">
        <f t="shared" si="3"/>
        <v>0</v>
      </c>
      <c r="J20" s="34">
        <f t="shared" si="3"/>
        <v>1</v>
      </c>
      <c r="K20" s="34">
        <f t="shared" si="3"/>
        <v>0</v>
      </c>
      <c r="L20" s="34">
        <f t="shared" si="3"/>
        <v>0</v>
      </c>
      <c r="M20" s="34">
        <f t="shared" si="3"/>
        <v>0</v>
      </c>
      <c r="N20" s="34">
        <f t="shared" si="3"/>
        <v>0</v>
      </c>
      <c r="O20" s="34">
        <f t="shared" si="3"/>
        <v>0</v>
      </c>
      <c r="P20" s="34">
        <f t="shared" si="3"/>
        <v>0</v>
      </c>
      <c r="Q20" s="34">
        <f t="shared" si="3"/>
        <v>0</v>
      </c>
      <c r="R20" s="34">
        <f t="shared" si="3"/>
        <v>0</v>
      </c>
      <c r="S20" s="34">
        <f t="shared" si="3"/>
        <v>0</v>
      </c>
      <c r="T20" s="34">
        <f t="shared" si="3"/>
        <v>0</v>
      </c>
    </row>
    <row r="21" spans="1:79" s="59" customFormat="1" x14ac:dyDescent="0.35">
      <c r="A21" s="55"/>
      <c r="B21" s="56"/>
      <c r="C21" s="57"/>
      <c r="D21" s="58"/>
      <c r="E21" s="10" t="s">
        <v>161</v>
      </c>
      <c r="G21" s="59" t="s">
        <v>139</v>
      </c>
      <c r="J21" s="59">
        <f t="shared" ref="J21:T21" si="4" xml:space="preserve"> IF( J20 = 1, $F19, I22 + 1)</f>
        <v>42095</v>
      </c>
      <c r="K21" s="59">
        <f t="shared" si="4"/>
        <v>42461</v>
      </c>
      <c r="L21" s="59">
        <f t="shared" si="4"/>
        <v>42826</v>
      </c>
      <c r="M21" s="59">
        <f t="shared" si="4"/>
        <v>43191</v>
      </c>
      <c r="N21" s="59">
        <f t="shared" si="4"/>
        <v>43556</v>
      </c>
      <c r="O21" s="59">
        <f t="shared" si="4"/>
        <v>43922</v>
      </c>
      <c r="P21" s="59">
        <f t="shared" si="4"/>
        <v>44287</v>
      </c>
      <c r="Q21" s="59">
        <f t="shared" si="4"/>
        <v>44652</v>
      </c>
      <c r="R21" s="59">
        <f t="shared" si="4"/>
        <v>45017</v>
      </c>
      <c r="S21" s="59">
        <f t="shared" si="4"/>
        <v>45383</v>
      </c>
      <c r="T21" s="59">
        <f t="shared" si="4"/>
        <v>45748</v>
      </c>
    </row>
    <row r="22" spans="1:79" s="62" customFormat="1" x14ac:dyDescent="0.35">
      <c r="A22" s="55"/>
      <c r="B22" s="56"/>
      <c r="C22" s="57"/>
      <c r="D22" s="58"/>
      <c r="E22" s="60" t="s">
        <v>162</v>
      </c>
      <c r="F22" s="61"/>
      <c r="G22" s="62" t="s">
        <v>139</v>
      </c>
      <c r="J22" s="62">
        <f t="shared" ref="J22:S22" si="5" xml:space="preserve"> DATE(YEAR(J21), MONTH(J21) + 12, DAY(1) - 1)</f>
        <v>42460</v>
      </c>
      <c r="K22" s="62">
        <f t="shared" si="5"/>
        <v>42825</v>
      </c>
      <c r="L22" s="62">
        <f t="shared" si="5"/>
        <v>43190</v>
      </c>
      <c r="M22" s="62">
        <f t="shared" si="5"/>
        <v>43555</v>
      </c>
      <c r="N22" s="62">
        <f t="shared" si="5"/>
        <v>43921</v>
      </c>
      <c r="O22" s="62">
        <f t="shared" si="5"/>
        <v>44286</v>
      </c>
      <c r="P22" s="62">
        <f t="shared" si="5"/>
        <v>44651</v>
      </c>
      <c r="Q22" s="62">
        <f t="shared" si="5"/>
        <v>45016</v>
      </c>
      <c r="R22" s="62">
        <f t="shared" si="5"/>
        <v>45382</v>
      </c>
      <c r="S22" s="62">
        <f t="shared" si="5"/>
        <v>45747</v>
      </c>
      <c r="T22" s="62">
        <f xml:space="preserve"> DATE(YEAR(T21), MONTH(T21) + 12, DAY(1) - 1)</f>
        <v>46112</v>
      </c>
    </row>
    <row r="23" spans="1:79" s="59" customFormat="1" x14ac:dyDescent="0.35">
      <c r="A23" s="55"/>
      <c r="B23" s="56"/>
      <c r="C23" s="57"/>
      <c r="D23" s="58"/>
      <c r="E23" s="10"/>
    </row>
    <row r="24" spans="1:79" s="59" customFormat="1" x14ac:dyDescent="0.35">
      <c r="A24" s="55"/>
      <c r="B24" s="56"/>
      <c r="C24" s="57"/>
      <c r="D24" s="58"/>
      <c r="E24" s="10" t="str">
        <f t="shared" ref="E24:T24" si="6" xml:space="preserve"> E$22</f>
        <v>Model Period END</v>
      </c>
      <c r="F24" s="59">
        <f t="shared" si="6"/>
        <v>0</v>
      </c>
      <c r="G24" s="59" t="str">
        <f t="shared" si="6"/>
        <v>date</v>
      </c>
      <c r="H24" s="59">
        <f t="shared" si="6"/>
        <v>0</v>
      </c>
      <c r="I24" s="59">
        <f t="shared" si="6"/>
        <v>0</v>
      </c>
      <c r="J24" s="59">
        <f t="shared" si="6"/>
        <v>42460</v>
      </c>
      <c r="K24" s="59">
        <f t="shared" si="6"/>
        <v>42825</v>
      </c>
      <c r="L24" s="59">
        <f t="shared" si="6"/>
        <v>43190</v>
      </c>
      <c r="M24" s="59">
        <f t="shared" si="6"/>
        <v>43555</v>
      </c>
      <c r="N24" s="59">
        <f t="shared" si="6"/>
        <v>43921</v>
      </c>
      <c r="O24" s="59">
        <f t="shared" si="6"/>
        <v>44286</v>
      </c>
      <c r="P24" s="59">
        <f t="shared" si="6"/>
        <v>44651</v>
      </c>
      <c r="Q24" s="59">
        <f t="shared" si="6"/>
        <v>45016</v>
      </c>
      <c r="R24" s="59">
        <f t="shared" si="6"/>
        <v>45382</v>
      </c>
      <c r="S24" s="59">
        <f t="shared" si="6"/>
        <v>45747</v>
      </c>
      <c r="T24" s="59">
        <f t="shared" si="6"/>
        <v>46112</v>
      </c>
    </row>
    <row r="25" spans="1:79" s="59" customFormat="1" x14ac:dyDescent="0.35">
      <c r="A25" s="55"/>
      <c r="B25" s="56"/>
      <c r="C25" s="57"/>
      <c r="D25" s="58" t="s">
        <v>163</v>
      </c>
      <c r="E25" s="10" t="str">
        <f t="shared" ref="E25:T25" si="7" xml:space="preserve"> E$21</f>
        <v>Model Period BEG</v>
      </c>
      <c r="F25" s="59">
        <f t="shared" si="7"/>
        <v>0</v>
      </c>
      <c r="G25" s="59" t="str">
        <f t="shared" si="7"/>
        <v>date</v>
      </c>
      <c r="H25" s="59">
        <f t="shared" si="7"/>
        <v>0</v>
      </c>
      <c r="I25" s="59">
        <f t="shared" si="7"/>
        <v>0</v>
      </c>
      <c r="J25" s="59">
        <f t="shared" si="7"/>
        <v>42095</v>
      </c>
      <c r="K25" s="59">
        <f t="shared" si="7"/>
        <v>42461</v>
      </c>
      <c r="L25" s="59">
        <f t="shared" si="7"/>
        <v>42826</v>
      </c>
      <c r="M25" s="59">
        <f t="shared" si="7"/>
        <v>43191</v>
      </c>
      <c r="N25" s="59">
        <f t="shared" si="7"/>
        <v>43556</v>
      </c>
      <c r="O25" s="59">
        <f t="shared" si="7"/>
        <v>43922</v>
      </c>
      <c r="P25" s="59">
        <f t="shared" si="7"/>
        <v>44287</v>
      </c>
      <c r="Q25" s="59">
        <f t="shared" si="7"/>
        <v>44652</v>
      </c>
      <c r="R25" s="59">
        <f t="shared" si="7"/>
        <v>45017</v>
      </c>
      <c r="S25" s="59">
        <f t="shared" si="7"/>
        <v>45383</v>
      </c>
      <c r="T25" s="59">
        <f t="shared" si="7"/>
        <v>45748</v>
      </c>
    </row>
    <row r="26" spans="1:79" s="67" customFormat="1" x14ac:dyDescent="0.35">
      <c r="A26" s="63"/>
      <c r="B26" s="64"/>
      <c r="C26" s="65"/>
      <c r="D26" s="66"/>
      <c r="E26" s="10" t="s">
        <v>164</v>
      </c>
      <c r="G26" s="67" t="s">
        <v>165</v>
      </c>
      <c r="H26" s="68">
        <f xml:space="preserve"> SUM(J26:CA26)</f>
        <v>4018</v>
      </c>
      <c r="J26" s="68">
        <f t="shared" ref="J26:S26" si="8" xml:space="preserve"> J24 - J25 + 1</f>
        <v>366</v>
      </c>
      <c r="K26" s="68">
        <f t="shared" si="8"/>
        <v>365</v>
      </c>
      <c r="L26" s="68">
        <f t="shared" si="8"/>
        <v>365</v>
      </c>
      <c r="M26" s="68">
        <f t="shared" si="8"/>
        <v>365</v>
      </c>
      <c r="N26" s="68">
        <f t="shared" si="8"/>
        <v>366</v>
      </c>
      <c r="O26" s="68">
        <f t="shared" si="8"/>
        <v>365</v>
      </c>
      <c r="P26" s="68">
        <f t="shared" si="8"/>
        <v>365</v>
      </c>
      <c r="Q26" s="68">
        <f t="shared" si="8"/>
        <v>365</v>
      </c>
      <c r="R26" s="68">
        <f t="shared" si="8"/>
        <v>366</v>
      </c>
      <c r="S26" s="68">
        <f t="shared" si="8"/>
        <v>365</v>
      </c>
      <c r="T26" s="68">
        <f xml:space="preserve"> T24 - T25 + 1</f>
        <v>365</v>
      </c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</row>
    <row r="27" spans="1:79" s="36" customFormat="1" x14ac:dyDescent="0.35">
      <c r="A27" s="19"/>
      <c r="B27" s="20"/>
      <c r="C27" s="21"/>
      <c r="D27" s="22"/>
      <c r="E27" s="35"/>
      <c r="G27" s="37"/>
    </row>
    <row r="28" spans="1:79" s="36" customFormat="1" x14ac:dyDescent="0.35">
      <c r="A28" s="19"/>
      <c r="B28" s="20"/>
      <c r="C28" s="21"/>
      <c r="D28" s="22"/>
      <c r="E28" s="35"/>
      <c r="G28" s="37"/>
    </row>
    <row r="29" spans="1:79" s="59" customFormat="1" x14ac:dyDescent="0.35">
      <c r="A29" s="84" t="s">
        <v>166</v>
      </c>
      <c r="B29" s="85"/>
      <c r="C29" s="85"/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1:79" s="59" customFormat="1" x14ac:dyDescent="0.35">
      <c r="A30" s="55"/>
      <c r="B30" s="56"/>
      <c r="C30" s="57"/>
      <c r="D30" s="58"/>
      <c r="E30" s="10"/>
    </row>
    <row r="31" spans="1:79" s="53" customFormat="1" x14ac:dyDescent="0.35">
      <c r="A31" s="48"/>
      <c r="B31" s="49"/>
      <c r="C31" s="50"/>
      <c r="D31" s="51"/>
      <c r="E31" s="52" t="str">
        <f xml:space="preserve"> Inputs!E$123</f>
        <v>Last Pre Forecast Date</v>
      </c>
      <c r="F31" s="53">
        <f xml:space="preserve"> Inputs!F$123</f>
        <v>43921</v>
      </c>
      <c r="G31" s="53" t="str">
        <f xml:space="preserve"> Inputs!G$123</f>
        <v>date</v>
      </c>
    </row>
    <row r="32" spans="1:79" s="70" customFormat="1" x14ac:dyDescent="0.35">
      <c r="A32" s="55"/>
      <c r="B32" s="56"/>
      <c r="C32" s="57"/>
      <c r="D32" s="58"/>
      <c r="E32" s="69" t="str">
        <f t="shared" ref="E32:T32" si="9" xml:space="preserve"> E$22</f>
        <v>Model Period END</v>
      </c>
      <c r="F32" s="70">
        <f t="shared" si="9"/>
        <v>0</v>
      </c>
      <c r="G32" s="70" t="str">
        <f t="shared" si="9"/>
        <v>date</v>
      </c>
      <c r="H32" s="70">
        <f t="shared" si="9"/>
        <v>0</v>
      </c>
      <c r="I32" s="70">
        <f t="shared" si="9"/>
        <v>0</v>
      </c>
      <c r="J32" s="70">
        <f t="shared" si="9"/>
        <v>42460</v>
      </c>
      <c r="K32" s="70">
        <f t="shared" si="9"/>
        <v>42825</v>
      </c>
      <c r="L32" s="70">
        <f t="shared" si="9"/>
        <v>43190</v>
      </c>
      <c r="M32" s="70">
        <f t="shared" si="9"/>
        <v>43555</v>
      </c>
      <c r="N32" s="70">
        <f t="shared" si="9"/>
        <v>43921</v>
      </c>
      <c r="O32" s="70">
        <f t="shared" si="9"/>
        <v>44286</v>
      </c>
      <c r="P32" s="70">
        <f t="shared" si="9"/>
        <v>44651</v>
      </c>
      <c r="Q32" s="70">
        <f t="shared" si="9"/>
        <v>45016</v>
      </c>
      <c r="R32" s="70">
        <f t="shared" si="9"/>
        <v>45382</v>
      </c>
      <c r="S32" s="70">
        <f t="shared" si="9"/>
        <v>45747</v>
      </c>
      <c r="T32" s="70">
        <f t="shared" si="9"/>
        <v>46112</v>
      </c>
    </row>
    <row r="33" spans="1:79" x14ac:dyDescent="0.35">
      <c r="A33" s="24"/>
      <c r="B33" s="25"/>
      <c r="D33" s="27"/>
      <c r="E33" s="10" t="s">
        <v>167</v>
      </c>
      <c r="G33" s="34" t="s">
        <v>158</v>
      </c>
      <c r="H33" s="34">
        <f xml:space="preserve"> SUM(J33:CA33)</f>
        <v>1</v>
      </c>
      <c r="J33" s="34">
        <f t="shared" ref="J33:S33" si="10" xml:space="preserve"> IF(J32 = $F31, 1, 0)</f>
        <v>0</v>
      </c>
      <c r="K33" s="34">
        <f t="shared" si="10"/>
        <v>0</v>
      </c>
      <c r="L33" s="34">
        <f t="shared" si="10"/>
        <v>0</v>
      </c>
      <c r="M33" s="34">
        <f t="shared" si="10"/>
        <v>0</v>
      </c>
      <c r="N33" s="34">
        <f t="shared" si="10"/>
        <v>1</v>
      </c>
      <c r="O33" s="34">
        <f t="shared" si="10"/>
        <v>0</v>
      </c>
      <c r="P33" s="34">
        <f t="shared" si="10"/>
        <v>0</v>
      </c>
      <c r="Q33" s="34">
        <f t="shared" si="10"/>
        <v>0</v>
      </c>
      <c r="R33" s="34">
        <f t="shared" si="10"/>
        <v>0</v>
      </c>
      <c r="S33" s="34">
        <f t="shared" si="10"/>
        <v>0</v>
      </c>
      <c r="T33" s="34">
        <f xml:space="preserve"> IF(T32 = $F31, 1, 0)</f>
        <v>0</v>
      </c>
    </row>
    <row r="34" spans="1:79" x14ac:dyDescent="0.35">
      <c r="A34" s="24"/>
      <c r="B34" s="25"/>
      <c r="D34" s="27"/>
      <c r="E34" s="10" t="s">
        <v>168</v>
      </c>
      <c r="G34" s="34" t="s">
        <v>158</v>
      </c>
      <c r="H34" s="34">
        <f xml:space="preserve"> SUM(J34:CA34)</f>
        <v>5</v>
      </c>
      <c r="J34" s="34">
        <f t="shared" ref="J34:S34" si="11" xml:space="preserve"> IF($F31 &gt;= J32, 1, 0)</f>
        <v>1</v>
      </c>
      <c r="K34" s="34">
        <f t="shared" si="11"/>
        <v>1</v>
      </c>
      <c r="L34" s="34">
        <f t="shared" si="11"/>
        <v>1</v>
      </c>
      <c r="M34" s="34">
        <f t="shared" si="11"/>
        <v>1</v>
      </c>
      <c r="N34" s="34">
        <f t="shared" si="11"/>
        <v>1</v>
      </c>
      <c r="O34" s="34">
        <f t="shared" si="11"/>
        <v>0</v>
      </c>
      <c r="P34" s="34">
        <f t="shared" si="11"/>
        <v>0</v>
      </c>
      <c r="Q34" s="34">
        <f t="shared" si="11"/>
        <v>0</v>
      </c>
      <c r="R34" s="34">
        <f t="shared" si="11"/>
        <v>0</v>
      </c>
      <c r="S34" s="34">
        <f t="shared" si="11"/>
        <v>0</v>
      </c>
      <c r="T34" s="34">
        <f xml:space="preserve"> IF($F31 &gt;= T32, 1, 0)</f>
        <v>0</v>
      </c>
    </row>
    <row r="35" spans="1:79" x14ac:dyDescent="0.35">
      <c r="A35" s="24"/>
      <c r="B35" s="25"/>
      <c r="D35" s="27"/>
      <c r="E35" s="10" t="s">
        <v>169</v>
      </c>
      <c r="F35" s="68">
        <f xml:space="preserve"> SUM(J34:CA34)</f>
        <v>5</v>
      </c>
      <c r="G35" s="34" t="s">
        <v>170</v>
      </c>
    </row>
    <row r="36" spans="1:79" x14ac:dyDescent="0.35">
      <c r="A36" s="24"/>
      <c r="B36" s="25"/>
      <c r="D36" s="27"/>
    </row>
    <row r="37" spans="1:79" s="53" customFormat="1" x14ac:dyDescent="0.35">
      <c r="A37" s="48"/>
      <c r="B37" s="49"/>
      <c r="C37" s="50"/>
      <c r="D37" s="51"/>
      <c r="E37" s="52" t="str">
        <f xml:space="preserve"> Inputs!E$125</f>
        <v>Acquisition date (midnight)</v>
      </c>
      <c r="F37" s="53">
        <f xml:space="preserve"> Inputs!F$125</f>
        <v>43921</v>
      </c>
      <c r="G37" s="53" t="str">
        <f xml:space="preserve"> Inputs!G$125</f>
        <v>date</v>
      </c>
    </row>
    <row r="38" spans="1:79" s="70" customFormat="1" x14ac:dyDescent="0.35">
      <c r="A38" s="55"/>
      <c r="B38" s="56"/>
      <c r="C38" s="57"/>
      <c r="D38" s="58"/>
      <c r="E38" s="69" t="str">
        <f t="shared" ref="E38:T38" si="12" xml:space="preserve"> E$22</f>
        <v>Model Period END</v>
      </c>
      <c r="F38" s="70">
        <f t="shared" si="12"/>
        <v>0</v>
      </c>
      <c r="G38" s="70" t="str">
        <f t="shared" si="12"/>
        <v>date</v>
      </c>
      <c r="H38" s="70">
        <f t="shared" si="12"/>
        <v>0</v>
      </c>
      <c r="I38" s="70">
        <f t="shared" si="12"/>
        <v>0</v>
      </c>
      <c r="J38" s="70">
        <f t="shared" si="12"/>
        <v>42460</v>
      </c>
      <c r="K38" s="70">
        <f t="shared" si="12"/>
        <v>42825</v>
      </c>
      <c r="L38" s="70">
        <f t="shared" si="12"/>
        <v>43190</v>
      </c>
      <c r="M38" s="70">
        <f t="shared" si="12"/>
        <v>43555</v>
      </c>
      <c r="N38" s="70">
        <f t="shared" si="12"/>
        <v>43921</v>
      </c>
      <c r="O38" s="70">
        <f t="shared" si="12"/>
        <v>44286</v>
      </c>
      <c r="P38" s="70">
        <f t="shared" si="12"/>
        <v>44651</v>
      </c>
      <c r="Q38" s="70">
        <f t="shared" si="12"/>
        <v>45016</v>
      </c>
      <c r="R38" s="70">
        <f t="shared" si="12"/>
        <v>45382</v>
      </c>
      <c r="S38" s="70">
        <f t="shared" si="12"/>
        <v>45747</v>
      </c>
      <c r="T38" s="70">
        <f t="shared" si="12"/>
        <v>46112</v>
      </c>
    </row>
    <row r="39" spans="1:79" s="72" customFormat="1" x14ac:dyDescent="0.35">
      <c r="A39" s="24"/>
      <c r="B39" s="25"/>
      <c r="C39" s="26"/>
      <c r="D39" s="27"/>
      <c r="E39" s="71" t="s">
        <v>171</v>
      </c>
      <c r="G39" s="72" t="s">
        <v>158</v>
      </c>
      <c r="H39" s="72">
        <f xml:space="preserve"> SUM(J39:CA39)</f>
        <v>1</v>
      </c>
      <c r="J39" s="72">
        <f t="shared" ref="J39:S39" si="13" xml:space="preserve"> IF(J38 = $F37, 1, 0)</f>
        <v>0</v>
      </c>
      <c r="K39" s="72">
        <f t="shared" si="13"/>
        <v>0</v>
      </c>
      <c r="L39" s="72">
        <f t="shared" si="13"/>
        <v>0</v>
      </c>
      <c r="M39" s="72">
        <f t="shared" si="13"/>
        <v>0</v>
      </c>
      <c r="N39" s="72">
        <f t="shared" si="13"/>
        <v>1</v>
      </c>
      <c r="O39" s="72">
        <f t="shared" si="13"/>
        <v>0</v>
      </c>
      <c r="P39" s="72">
        <f t="shared" si="13"/>
        <v>0</v>
      </c>
      <c r="Q39" s="72">
        <f t="shared" si="13"/>
        <v>0</v>
      </c>
      <c r="R39" s="72">
        <f t="shared" si="13"/>
        <v>0</v>
      </c>
      <c r="S39" s="72">
        <f t="shared" si="13"/>
        <v>0</v>
      </c>
      <c r="T39" s="72">
        <f xml:space="preserve"> IF(T38 = $F37, 1, 0)</f>
        <v>0</v>
      </c>
    </row>
    <row r="40" spans="1:79" s="59" customFormat="1" x14ac:dyDescent="0.35">
      <c r="A40" s="55"/>
      <c r="B40" s="56"/>
      <c r="C40" s="57"/>
      <c r="D40" s="58"/>
      <c r="E40" s="10"/>
    </row>
    <row r="41" spans="1:79" s="59" customFormat="1" x14ac:dyDescent="0.35">
      <c r="A41" s="55"/>
      <c r="B41" s="56"/>
      <c r="C41" s="57"/>
      <c r="D41" s="58"/>
      <c r="E41" s="10"/>
    </row>
    <row r="42" spans="1:79" s="59" customFormat="1" x14ac:dyDescent="0.35">
      <c r="A42" s="84" t="s">
        <v>172</v>
      </c>
      <c r="B42" s="85"/>
      <c r="C42" s="85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1:79" x14ac:dyDescent="0.35">
      <c r="A43" s="24"/>
      <c r="B43" s="25"/>
      <c r="D43" s="27"/>
    </row>
    <row r="44" spans="1:79" x14ac:dyDescent="0.35">
      <c r="A44" s="24"/>
      <c r="B44" s="25"/>
      <c r="D44" s="27"/>
      <c r="E44" s="10" t="str">
        <f t="shared" ref="E44:T44" si="14" xml:space="preserve"> E$33</f>
        <v>Last Pre Forecast Flag</v>
      </c>
      <c r="F44" s="34">
        <f t="shared" si="14"/>
        <v>0</v>
      </c>
      <c r="G44" s="34" t="str">
        <f t="shared" si="14"/>
        <v>flag</v>
      </c>
      <c r="H44" s="34">
        <f t="shared" si="14"/>
        <v>1</v>
      </c>
      <c r="I44" s="34">
        <f t="shared" si="14"/>
        <v>0</v>
      </c>
      <c r="J44" s="34">
        <f t="shared" si="14"/>
        <v>0</v>
      </c>
      <c r="K44" s="34">
        <f t="shared" si="14"/>
        <v>0</v>
      </c>
      <c r="L44" s="34">
        <f t="shared" si="14"/>
        <v>0</v>
      </c>
      <c r="M44" s="34">
        <f t="shared" si="14"/>
        <v>0</v>
      </c>
      <c r="N44" s="34">
        <f t="shared" si="14"/>
        <v>1</v>
      </c>
      <c r="O44" s="34">
        <f t="shared" si="14"/>
        <v>0</v>
      </c>
      <c r="P44" s="34">
        <f t="shared" si="14"/>
        <v>0</v>
      </c>
      <c r="Q44" s="34">
        <f t="shared" si="14"/>
        <v>0</v>
      </c>
      <c r="R44" s="34">
        <f t="shared" si="14"/>
        <v>0</v>
      </c>
      <c r="S44" s="34">
        <f t="shared" si="14"/>
        <v>0</v>
      </c>
      <c r="T44" s="34">
        <f t="shared" si="14"/>
        <v>0</v>
      </c>
    </row>
    <row r="45" spans="1:79" s="72" customFormat="1" x14ac:dyDescent="0.35">
      <c r="A45" s="73"/>
      <c r="B45" s="74"/>
      <c r="C45" s="75"/>
      <c r="D45" s="76"/>
      <c r="E45" s="71" t="s">
        <v>173</v>
      </c>
      <c r="G45" s="72" t="s">
        <v>158</v>
      </c>
      <c r="H45" s="72">
        <f xml:space="preserve"> SUM(J45:CA45)</f>
        <v>1</v>
      </c>
      <c r="J45" s="72">
        <f t="shared" ref="J45:T45" si="15" xml:space="preserve"> I44</f>
        <v>0</v>
      </c>
      <c r="K45" s="72">
        <f t="shared" si="15"/>
        <v>0</v>
      </c>
      <c r="L45" s="72">
        <f t="shared" si="15"/>
        <v>0</v>
      </c>
      <c r="M45" s="72">
        <f t="shared" si="15"/>
        <v>0</v>
      </c>
      <c r="N45" s="72">
        <f t="shared" si="15"/>
        <v>0</v>
      </c>
      <c r="O45" s="72">
        <f t="shared" si="15"/>
        <v>1</v>
      </c>
      <c r="P45" s="72">
        <f t="shared" si="15"/>
        <v>0</v>
      </c>
      <c r="Q45" s="72">
        <f t="shared" si="15"/>
        <v>0</v>
      </c>
      <c r="R45" s="72">
        <f t="shared" si="15"/>
        <v>0</v>
      </c>
      <c r="S45" s="72">
        <f t="shared" si="15"/>
        <v>0</v>
      </c>
      <c r="T45" s="72">
        <f t="shared" si="15"/>
        <v>0</v>
      </c>
    </row>
    <row r="46" spans="1:79" x14ac:dyDescent="0.35">
      <c r="A46" s="24"/>
      <c r="B46" s="25"/>
      <c r="D46" s="27"/>
    </row>
    <row r="47" spans="1:79" s="53" customFormat="1" x14ac:dyDescent="0.35">
      <c r="A47" s="48"/>
      <c r="B47" s="49"/>
      <c r="C47" s="50"/>
      <c r="D47" s="51"/>
      <c r="E47" s="52" t="str">
        <f>Inputs!E$127</f>
        <v>Last forecast date</v>
      </c>
      <c r="F47" s="53">
        <f>Inputs!F$127</f>
        <v>45747</v>
      </c>
      <c r="G47" s="53" t="str">
        <f>Inputs!G$127</f>
        <v>date</v>
      </c>
    </row>
    <row r="48" spans="1:79" x14ac:dyDescent="0.35">
      <c r="A48" s="24"/>
      <c r="B48" s="25"/>
      <c r="D48" s="27"/>
      <c r="E48" s="69" t="str">
        <f t="shared" ref="E48:T48" si="16" xml:space="preserve"> E$22</f>
        <v>Model Period END</v>
      </c>
      <c r="F48" s="70">
        <f t="shared" si="16"/>
        <v>0</v>
      </c>
      <c r="G48" s="70" t="str">
        <f t="shared" si="16"/>
        <v>date</v>
      </c>
      <c r="H48" s="70">
        <f t="shared" si="16"/>
        <v>0</v>
      </c>
      <c r="I48" s="70">
        <f t="shared" si="16"/>
        <v>0</v>
      </c>
      <c r="J48" s="70">
        <f t="shared" si="16"/>
        <v>42460</v>
      </c>
      <c r="K48" s="70">
        <f t="shared" si="16"/>
        <v>42825</v>
      </c>
      <c r="L48" s="70">
        <f t="shared" si="16"/>
        <v>43190</v>
      </c>
      <c r="M48" s="70">
        <f t="shared" si="16"/>
        <v>43555</v>
      </c>
      <c r="N48" s="70">
        <f t="shared" si="16"/>
        <v>43921</v>
      </c>
      <c r="O48" s="70">
        <f t="shared" si="16"/>
        <v>44286</v>
      </c>
      <c r="P48" s="70">
        <f t="shared" si="16"/>
        <v>44651</v>
      </c>
      <c r="Q48" s="70">
        <f t="shared" si="16"/>
        <v>45016</v>
      </c>
      <c r="R48" s="70">
        <f t="shared" si="16"/>
        <v>45382</v>
      </c>
      <c r="S48" s="70">
        <f t="shared" si="16"/>
        <v>45747</v>
      </c>
      <c r="T48" s="70">
        <f t="shared" si="16"/>
        <v>46112</v>
      </c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</row>
    <row r="49" spans="1:20" x14ac:dyDescent="0.35">
      <c r="A49" s="24"/>
      <c r="B49" s="25"/>
      <c r="D49" s="27"/>
      <c r="E49" s="10" t="s">
        <v>174</v>
      </c>
      <c r="G49" s="34" t="s">
        <v>158</v>
      </c>
      <c r="H49" s="34">
        <f xml:space="preserve"> SUM(J49:CA49)</f>
        <v>1</v>
      </c>
      <c r="J49" s="34">
        <f t="shared" ref="J49:T49" si="17" xml:space="preserve"> IF(AND($F47 &gt; I48, $F47 &lt;= J48), 1, 0)</f>
        <v>0</v>
      </c>
      <c r="K49" s="34">
        <f t="shared" si="17"/>
        <v>0</v>
      </c>
      <c r="L49" s="34">
        <f t="shared" si="17"/>
        <v>0</v>
      </c>
      <c r="M49" s="34">
        <f t="shared" si="17"/>
        <v>0</v>
      </c>
      <c r="N49" s="34">
        <f t="shared" si="17"/>
        <v>0</v>
      </c>
      <c r="O49" s="34">
        <f t="shared" si="17"/>
        <v>0</v>
      </c>
      <c r="P49" s="34">
        <f t="shared" si="17"/>
        <v>0</v>
      </c>
      <c r="Q49" s="34">
        <f t="shared" si="17"/>
        <v>0</v>
      </c>
      <c r="R49" s="34">
        <f t="shared" si="17"/>
        <v>0</v>
      </c>
      <c r="S49" s="34">
        <f t="shared" si="17"/>
        <v>1</v>
      </c>
      <c r="T49" s="34">
        <f t="shared" si="17"/>
        <v>0</v>
      </c>
    </row>
    <row r="50" spans="1:20" x14ac:dyDescent="0.35">
      <c r="A50" s="24"/>
      <c r="B50" s="25"/>
      <c r="D50" s="27"/>
    </row>
    <row r="51" spans="1:20" x14ac:dyDescent="0.35">
      <c r="A51" s="24"/>
      <c r="B51" s="25"/>
      <c r="D51" s="27"/>
      <c r="E51" s="10" t="str">
        <f t="shared" ref="E51:T51" si="18" xml:space="preserve"> E$45</f>
        <v>1st Forecast Period Flag</v>
      </c>
      <c r="F51" s="34">
        <f t="shared" si="18"/>
        <v>0</v>
      </c>
      <c r="G51" s="34" t="str">
        <f t="shared" si="18"/>
        <v>flag</v>
      </c>
      <c r="H51" s="34">
        <f t="shared" si="18"/>
        <v>1</v>
      </c>
      <c r="I51" s="34">
        <f t="shared" si="18"/>
        <v>0</v>
      </c>
      <c r="J51" s="34">
        <f t="shared" si="18"/>
        <v>0</v>
      </c>
      <c r="K51" s="34">
        <f t="shared" si="18"/>
        <v>0</v>
      </c>
      <c r="L51" s="34">
        <f t="shared" si="18"/>
        <v>0</v>
      </c>
      <c r="M51" s="34">
        <f t="shared" si="18"/>
        <v>0</v>
      </c>
      <c r="N51" s="34">
        <f t="shared" si="18"/>
        <v>0</v>
      </c>
      <c r="O51" s="34">
        <f t="shared" si="18"/>
        <v>1</v>
      </c>
      <c r="P51" s="34">
        <f t="shared" si="18"/>
        <v>0</v>
      </c>
      <c r="Q51" s="34">
        <f t="shared" si="18"/>
        <v>0</v>
      </c>
      <c r="R51" s="34">
        <f t="shared" si="18"/>
        <v>0</v>
      </c>
      <c r="S51" s="34">
        <f t="shared" si="18"/>
        <v>0</v>
      </c>
      <c r="T51" s="34">
        <f t="shared" si="18"/>
        <v>0</v>
      </c>
    </row>
    <row r="52" spans="1:20" x14ac:dyDescent="0.35">
      <c r="A52" s="24"/>
      <c r="B52" s="25"/>
      <c r="D52" s="27"/>
      <c r="E52" s="10" t="str">
        <f t="shared" ref="E52:T52" si="19" xml:space="preserve"> E$49</f>
        <v>Last Forecast Period Flag</v>
      </c>
      <c r="F52" s="34">
        <f t="shared" si="19"/>
        <v>0</v>
      </c>
      <c r="G52" s="34" t="str">
        <f t="shared" si="19"/>
        <v>flag</v>
      </c>
      <c r="H52" s="34">
        <f t="shared" si="19"/>
        <v>1</v>
      </c>
      <c r="I52" s="34">
        <f t="shared" si="19"/>
        <v>0</v>
      </c>
      <c r="J52" s="34">
        <f t="shared" si="19"/>
        <v>0</v>
      </c>
      <c r="K52" s="34">
        <f t="shared" si="19"/>
        <v>0</v>
      </c>
      <c r="L52" s="34">
        <f t="shared" si="19"/>
        <v>0</v>
      </c>
      <c r="M52" s="34">
        <f t="shared" si="19"/>
        <v>0</v>
      </c>
      <c r="N52" s="34">
        <f t="shared" si="19"/>
        <v>0</v>
      </c>
      <c r="O52" s="34">
        <f t="shared" si="19"/>
        <v>0</v>
      </c>
      <c r="P52" s="34">
        <f t="shared" si="19"/>
        <v>0</v>
      </c>
      <c r="Q52" s="34">
        <f t="shared" si="19"/>
        <v>0</v>
      </c>
      <c r="R52" s="34">
        <f t="shared" si="19"/>
        <v>0</v>
      </c>
      <c r="S52" s="34">
        <f t="shared" si="19"/>
        <v>1</v>
      </c>
      <c r="T52" s="34">
        <f t="shared" si="19"/>
        <v>0</v>
      </c>
    </row>
    <row r="53" spans="1:20" s="61" customFormat="1" x14ac:dyDescent="0.35">
      <c r="A53" s="24"/>
      <c r="B53" s="25"/>
      <c r="C53" s="26"/>
      <c r="D53" s="27"/>
      <c r="E53" s="60" t="s">
        <v>175</v>
      </c>
      <c r="G53" s="61" t="s">
        <v>158</v>
      </c>
      <c r="H53" s="61">
        <f xml:space="preserve"> SUM(J53:CA53)</f>
        <v>5</v>
      </c>
      <c r="J53" s="61">
        <f t="shared" ref="J53:T53" si="20" xml:space="preserve"> J51 - I52 + I53</f>
        <v>0</v>
      </c>
      <c r="K53" s="61">
        <f t="shared" si="20"/>
        <v>0</v>
      </c>
      <c r="L53" s="61">
        <f t="shared" si="20"/>
        <v>0</v>
      </c>
      <c r="M53" s="61">
        <f t="shared" si="20"/>
        <v>0</v>
      </c>
      <c r="N53" s="61">
        <f t="shared" si="20"/>
        <v>0</v>
      </c>
      <c r="O53" s="61">
        <f t="shared" si="20"/>
        <v>1</v>
      </c>
      <c r="P53" s="61">
        <f t="shared" si="20"/>
        <v>1</v>
      </c>
      <c r="Q53" s="61">
        <f t="shared" si="20"/>
        <v>1</v>
      </c>
      <c r="R53" s="61">
        <f t="shared" si="20"/>
        <v>1</v>
      </c>
      <c r="S53" s="61">
        <f t="shared" si="20"/>
        <v>1</v>
      </c>
      <c r="T53" s="61">
        <f t="shared" si="20"/>
        <v>0</v>
      </c>
    </row>
    <row r="54" spans="1:20" x14ac:dyDescent="0.35">
      <c r="A54" s="24"/>
      <c r="B54" s="25"/>
      <c r="D54" s="27"/>
      <c r="E54" s="10" t="s">
        <v>176</v>
      </c>
      <c r="F54" s="34">
        <f xml:space="preserve"> SUM(J53:CA53)</f>
        <v>5</v>
      </c>
      <c r="G54" s="34" t="s">
        <v>170</v>
      </c>
    </row>
    <row r="55" spans="1:20" x14ac:dyDescent="0.35">
      <c r="A55" s="24"/>
      <c r="B55" s="25"/>
      <c r="D55" s="27"/>
    </row>
    <row r="56" spans="1:20" x14ac:dyDescent="0.35">
      <c r="A56" s="24"/>
      <c r="B56" s="25"/>
      <c r="D56" s="27"/>
      <c r="E56" s="10" t="str">
        <f t="shared" ref="E56:T56" si="21" xml:space="preserve"> E$34</f>
        <v>Pre Forecast Period Flag</v>
      </c>
      <c r="F56" s="34">
        <f t="shared" si="21"/>
        <v>0</v>
      </c>
      <c r="G56" s="34" t="str">
        <f t="shared" si="21"/>
        <v>flag</v>
      </c>
      <c r="H56" s="34">
        <f t="shared" si="21"/>
        <v>5</v>
      </c>
      <c r="I56" s="34">
        <f t="shared" si="21"/>
        <v>0</v>
      </c>
      <c r="J56" s="34">
        <f t="shared" si="21"/>
        <v>1</v>
      </c>
      <c r="K56" s="34">
        <f t="shared" si="21"/>
        <v>1</v>
      </c>
      <c r="L56" s="34">
        <f t="shared" si="21"/>
        <v>1</v>
      </c>
      <c r="M56" s="34">
        <f t="shared" si="21"/>
        <v>1</v>
      </c>
      <c r="N56" s="34">
        <f t="shared" si="21"/>
        <v>1</v>
      </c>
      <c r="O56" s="34">
        <f t="shared" si="21"/>
        <v>0</v>
      </c>
      <c r="P56" s="34">
        <f t="shared" si="21"/>
        <v>0</v>
      </c>
      <c r="Q56" s="34">
        <f t="shared" si="21"/>
        <v>0</v>
      </c>
      <c r="R56" s="34">
        <f t="shared" si="21"/>
        <v>0</v>
      </c>
      <c r="S56" s="34">
        <f t="shared" si="21"/>
        <v>0</v>
      </c>
      <c r="T56" s="34">
        <f t="shared" si="21"/>
        <v>0</v>
      </c>
    </row>
    <row r="57" spans="1:20" x14ac:dyDescent="0.35">
      <c r="A57" s="24"/>
      <c r="B57" s="25"/>
      <c r="D57" s="27"/>
      <c r="E57" s="10" t="str">
        <f t="shared" ref="E57:T57" si="22" xml:space="preserve"> E$53</f>
        <v>Forecast Period Flag</v>
      </c>
      <c r="F57" s="34">
        <f t="shared" si="22"/>
        <v>0</v>
      </c>
      <c r="G57" s="34" t="str">
        <f t="shared" si="22"/>
        <v>flag</v>
      </c>
      <c r="H57" s="34">
        <f t="shared" si="22"/>
        <v>5</v>
      </c>
      <c r="I57" s="34">
        <f t="shared" si="22"/>
        <v>0</v>
      </c>
      <c r="J57" s="34">
        <f t="shared" si="22"/>
        <v>0</v>
      </c>
      <c r="K57" s="34">
        <f t="shared" si="22"/>
        <v>0</v>
      </c>
      <c r="L57" s="34">
        <f t="shared" si="22"/>
        <v>0</v>
      </c>
      <c r="M57" s="34">
        <f t="shared" si="22"/>
        <v>0</v>
      </c>
      <c r="N57" s="34">
        <f t="shared" si="22"/>
        <v>0</v>
      </c>
      <c r="O57" s="34">
        <f t="shared" si="22"/>
        <v>1</v>
      </c>
      <c r="P57" s="34">
        <f t="shared" si="22"/>
        <v>1</v>
      </c>
      <c r="Q57" s="34">
        <f t="shared" si="22"/>
        <v>1</v>
      </c>
      <c r="R57" s="34">
        <f t="shared" si="22"/>
        <v>1</v>
      </c>
      <c r="S57" s="34">
        <f t="shared" si="22"/>
        <v>1</v>
      </c>
      <c r="T57" s="34">
        <f t="shared" si="22"/>
        <v>0</v>
      </c>
    </row>
    <row r="58" spans="1:20" x14ac:dyDescent="0.35">
      <c r="A58" s="24"/>
      <c r="B58" s="25"/>
      <c r="D58" s="27"/>
      <c r="E58" s="10" t="s">
        <v>177</v>
      </c>
      <c r="G58" s="34" t="s">
        <v>158</v>
      </c>
      <c r="J58" s="34" t="str">
        <f t="shared" ref="J58:S58" si="23" xml:space="preserve"> IF(J56 = 1, "Pre Fcst", IF(J57 = 1, "Forecast", "Post-Fcst"))</f>
        <v>Pre Fcst</v>
      </c>
      <c r="K58" s="34" t="str">
        <f t="shared" si="23"/>
        <v>Pre Fcst</v>
      </c>
      <c r="L58" s="34" t="str">
        <f t="shared" si="23"/>
        <v>Pre Fcst</v>
      </c>
      <c r="M58" s="34" t="str">
        <f t="shared" si="23"/>
        <v>Pre Fcst</v>
      </c>
      <c r="N58" s="34" t="str">
        <f t="shared" si="23"/>
        <v>Pre Fcst</v>
      </c>
      <c r="O58" s="34" t="str">
        <f t="shared" si="23"/>
        <v>Forecast</v>
      </c>
      <c r="P58" s="34" t="str">
        <f t="shared" si="23"/>
        <v>Forecast</v>
      </c>
      <c r="Q58" s="34" t="str">
        <f t="shared" si="23"/>
        <v>Forecast</v>
      </c>
      <c r="R58" s="34" t="str">
        <f t="shared" si="23"/>
        <v>Forecast</v>
      </c>
      <c r="S58" s="34" t="str">
        <f t="shared" si="23"/>
        <v>Forecast</v>
      </c>
      <c r="T58" s="34" t="str">
        <f xml:space="preserve"> IF(T56 = 1, "Pre Fcst", IF(T57 = 1, "Forecast", "Post-Fcst"))</f>
        <v>Post-Fcst</v>
      </c>
    </row>
    <row r="59" spans="1:20" x14ac:dyDescent="0.35">
      <c r="A59" s="24"/>
      <c r="B59" s="25"/>
      <c r="D59" s="27"/>
    </row>
    <row r="60" spans="1:20" x14ac:dyDescent="0.35">
      <c r="A60" s="24"/>
      <c r="B60" s="25"/>
      <c r="D60" s="27"/>
    </row>
    <row r="61" spans="1:20" s="59" customFormat="1" x14ac:dyDescent="0.35">
      <c r="A61" s="84" t="s">
        <v>178</v>
      </c>
      <c r="B61" s="85"/>
      <c r="C61" s="85"/>
      <c r="D61" s="86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1:20" x14ac:dyDescent="0.35">
      <c r="A62" s="24"/>
      <c r="B62" s="25"/>
      <c r="D62" s="27"/>
    </row>
    <row r="63" spans="1:20" x14ac:dyDescent="0.35">
      <c r="A63" s="24"/>
      <c r="B63" s="25"/>
      <c r="D63" s="27"/>
      <c r="E63" s="10" t="str">
        <f t="shared" ref="E63:T63" si="24" xml:space="preserve"> E$49</f>
        <v>Last Forecast Period Flag</v>
      </c>
      <c r="F63" s="34">
        <f t="shared" si="24"/>
        <v>0</v>
      </c>
      <c r="G63" s="34" t="str">
        <f t="shared" si="24"/>
        <v>flag</v>
      </c>
      <c r="H63" s="34">
        <f t="shared" si="24"/>
        <v>1</v>
      </c>
      <c r="I63" s="34">
        <f t="shared" si="24"/>
        <v>0</v>
      </c>
      <c r="J63" s="34">
        <f t="shared" si="24"/>
        <v>0</v>
      </c>
      <c r="K63" s="34">
        <f t="shared" si="24"/>
        <v>0</v>
      </c>
      <c r="L63" s="34">
        <f t="shared" si="24"/>
        <v>0</v>
      </c>
      <c r="M63" s="34">
        <f t="shared" si="24"/>
        <v>0</v>
      </c>
      <c r="N63" s="34">
        <f t="shared" si="24"/>
        <v>0</v>
      </c>
      <c r="O63" s="34">
        <f t="shared" si="24"/>
        <v>0</v>
      </c>
      <c r="P63" s="34">
        <f t="shared" si="24"/>
        <v>0</v>
      </c>
      <c r="Q63" s="34">
        <f t="shared" si="24"/>
        <v>0</v>
      </c>
      <c r="R63" s="34">
        <f t="shared" si="24"/>
        <v>0</v>
      </c>
      <c r="S63" s="34">
        <f t="shared" si="24"/>
        <v>1</v>
      </c>
      <c r="T63" s="34">
        <f t="shared" si="24"/>
        <v>0</v>
      </c>
    </row>
    <row r="64" spans="1:20" x14ac:dyDescent="0.35">
      <c r="A64" s="24"/>
      <c r="B64" s="25"/>
      <c r="D64" s="27"/>
      <c r="E64" s="10" t="s">
        <v>179</v>
      </c>
      <c r="G64" s="34" t="s">
        <v>158</v>
      </c>
      <c r="H64" s="34">
        <f xml:space="preserve"> SUM(J64:CA64)</f>
        <v>1</v>
      </c>
      <c r="J64" s="34">
        <f t="shared" ref="J64:T64" si="25" xml:space="preserve"> I63</f>
        <v>0</v>
      </c>
      <c r="K64" s="34">
        <f t="shared" si="25"/>
        <v>0</v>
      </c>
      <c r="L64" s="34">
        <f t="shared" si="25"/>
        <v>0</v>
      </c>
      <c r="M64" s="34">
        <f t="shared" si="25"/>
        <v>0</v>
      </c>
      <c r="N64" s="34">
        <f t="shared" si="25"/>
        <v>0</v>
      </c>
      <c r="O64" s="34">
        <f t="shared" si="25"/>
        <v>0</v>
      </c>
      <c r="P64" s="34">
        <f t="shared" si="25"/>
        <v>0</v>
      </c>
      <c r="Q64" s="34">
        <f t="shared" si="25"/>
        <v>0</v>
      </c>
      <c r="R64" s="34">
        <f t="shared" si="25"/>
        <v>0</v>
      </c>
      <c r="S64" s="34">
        <f t="shared" si="25"/>
        <v>0</v>
      </c>
      <c r="T64" s="34">
        <f t="shared" si="25"/>
        <v>1</v>
      </c>
    </row>
    <row r="65" spans="1:20" x14ac:dyDescent="0.35">
      <c r="A65" s="24"/>
      <c r="B65" s="25"/>
      <c r="D65" s="27"/>
    </row>
    <row r="66" spans="1:20" x14ac:dyDescent="0.35">
      <c r="A66" s="24"/>
      <c r="B66" s="25"/>
      <c r="D66" s="27"/>
      <c r="E66" s="10" t="str">
        <f t="shared" ref="E66:T66" si="26" xml:space="preserve"> E$64</f>
        <v>1st Post Last Forecast Period Flag</v>
      </c>
      <c r="F66" s="34">
        <f t="shared" si="26"/>
        <v>0</v>
      </c>
      <c r="G66" s="34" t="str">
        <f t="shared" si="26"/>
        <v>flag</v>
      </c>
      <c r="H66" s="34">
        <f t="shared" si="26"/>
        <v>1</v>
      </c>
      <c r="I66" s="34">
        <f t="shared" si="26"/>
        <v>0</v>
      </c>
      <c r="J66" s="34">
        <f t="shared" si="26"/>
        <v>0</v>
      </c>
      <c r="K66" s="34">
        <f t="shared" si="26"/>
        <v>0</v>
      </c>
      <c r="L66" s="34">
        <f t="shared" si="26"/>
        <v>0</v>
      </c>
      <c r="M66" s="34">
        <f t="shared" si="26"/>
        <v>0</v>
      </c>
      <c r="N66" s="34">
        <f t="shared" si="26"/>
        <v>0</v>
      </c>
      <c r="O66" s="34">
        <f t="shared" si="26"/>
        <v>0</v>
      </c>
      <c r="P66" s="34">
        <f t="shared" si="26"/>
        <v>0</v>
      </c>
      <c r="Q66" s="34">
        <f t="shared" si="26"/>
        <v>0</v>
      </c>
      <c r="R66" s="34">
        <f t="shared" si="26"/>
        <v>0</v>
      </c>
      <c r="S66" s="34">
        <f t="shared" si="26"/>
        <v>0</v>
      </c>
      <c r="T66" s="34">
        <f t="shared" si="26"/>
        <v>1</v>
      </c>
    </row>
    <row r="67" spans="1:20" x14ac:dyDescent="0.35">
      <c r="A67" s="24"/>
      <c r="B67" s="25"/>
      <c r="D67" s="27"/>
      <c r="E67" s="10" t="s">
        <v>180</v>
      </c>
      <c r="G67" s="34" t="s">
        <v>158</v>
      </c>
      <c r="H67" s="34">
        <f xml:space="preserve"> SUM(J67:CA67)</f>
        <v>1</v>
      </c>
      <c r="J67" s="34">
        <f t="shared" ref="J67:T67" si="27" xml:space="preserve"> I67 + J66</f>
        <v>0</v>
      </c>
      <c r="K67" s="34">
        <f t="shared" si="27"/>
        <v>0</v>
      </c>
      <c r="L67" s="34">
        <f t="shared" si="27"/>
        <v>0</v>
      </c>
      <c r="M67" s="34">
        <f t="shared" si="27"/>
        <v>0</v>
      </c>
      <c r="N67" s="34">
        <f t="shared" si="27"/>
        <v>0</v>
      </c>
      <c r="O67" s="34">
        <f t="shared" si="27"/>
        <v>0</v>
      </c>
      <c r="P67" s="34">
        <f t="shared" si="27"/>
        <v>0</v>
      </c>
      <c r="Q67" s="34">
        <f t="shared" si="27"/>
        <v>0</v>
      </c>
      <c r="R67" s="34">
        <f t="shared" si="27"/>
        <v>0</v>
      </c>
      <c r="S67" s="34">
        <f t="shared" si="27"/>
        <v>0</v>
      </c>
      <c r="T67" s="34">
        <f t="shared" si="27"/>
        <v>1</v>
      </c>
    </row>
    <row r="68" spans="1:20" x14ac:dyDescent="0.35">
      <c r="A68" s="24"/>
      <c r="B68" s="25"/>
      <c r="D68" s="27"/>
      <c r="E68" s="10" t="s">
        <v>181</v>
      </c>
      <c r="F68" s="34">
        <f xml:space="preserve"> SUM(J67:CA67)</f>
        <v>1</v>
      </c>
      <c r="G68" s="34" t="s">
        <v>170</v>
      </c>
    </row>
    <row r="69" spans="1:20" x14ac:dyDescent="0.35">
      <c r="A69" s="24"/>
      <c r="B69" s="25"/>
      <c r="D69" s="27"/>
    </row>
    <row r="70" spans="1:20" x14ac:dyDescent="0.35">
      <c r="A70" s="24"/>
      <c r="B70" s="25"/>
      <c r="D70" s="27"/>
    </row>
    <row r="71" spans="1:20" s="59" customFormat="1" x14ac:dyDescent="0.35">
      <c r="A71" s="84" t="s">
        <v>182</v>
      </c>
      <c r="B71" s="85"/>
      <c r="C71" s="85"/>
      <c r="D71" s="86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1:20" x14ac:dyDescent="0.35">
      <c r="A72" s="24"/>
      <c r="B72" s="25"/>
      <c r="D72" s="27"/>
    </row>
    <row r="73" spans="1:20" x14ac:dyDescent="0.35">
      <c r="A73" s="24"/>
      <c r="B73" s="25"/>
      <c r="D73" s="27"/>
      <c r="E73" s="10" t="str">
        <f xml:space="preserve"> E$11</f>
        <v>Model Column Total</v>
      </c>
      <c r="F73" s="34">
        <f xml:space="preserve"> F$11</f>
        <v>11</v>
      </c>
      <c r="G73" s="34" t="str">
        <f xml:space="preserve"> G$11</f>
        <v>column</v>
      </c>
    </row>
    <row r="74" spans="1:20" x14ac:dyDescent="0.35">
      <c r="A74" s="24"/>
      <c r="B74" s="25"/>
      <c r="D74" s="27" t="s">
        <v>163</v>
      </c>
      <c r="E74" s="10" t="str">
        <f xml:space="preserve"> E$35</f>
        <v>Pre Forecast Period Total</v>
      </c>
      <c r="F74" s="34">
        <f xml:space="preserve"> F$35</f>
        <v>5</v>
      </c>
      <c r="G74" s="34" t="str">
        <f xml:space="preserve"> G$35</f>
        <v>columns</v>
      </c>
    </row>
    <row r="75" spans="1:20" x14ac:dyDescent="0.35">
      <c r="A75" s="24"/>
      <c r="B75" s="25"/>
      <c r="D75" s="27" t="s">
        <v>163</v>
      </c>
      <c r="E75" s="10" t="str">
        <f xml:space="preserve"> E$54</f>
        <v xml:space="preserve">Forecast Period Total </v>
      </c>
      <c r="F75" s="34">
        <f xml:space="preserve"> F$54</f>
        <v>5</v>
      </c>
      <c r="G75" s="34" t="str">
        <f xml:space="preserve"> G$54</f>
        <v>columns</v>
      </c>
    </row>
    <row r="76" spans="1:20" x14ac:dyDescent="0.35">
      <c r="A76" s="24"/>
      <c r="B76" s="25"/>
      <c r="D76" s="27" t="s">
        <v>163</v>
      </c>
      <c r="E76" s="10" t="str">
        <f xml:space="preserve"> E$68</f>
        <v>Post Forecast Period Total</v>
      </c>
      <c r="F76" s="34">
        <f xml:space="preserve"> F$68</f>
        <v>1</v>
      </c>
      <c r="G76" s="34" t="str">
        <f xml:space="preserve"> G$68</f>
        <v>columns</v>
      </c>
    </row>
    <row r="77" spans="1:20" x14ac:dyDescent="0.35">
      <c r="A77" s="24"/>
      <c r="B77" s="25"/>
      <c r="D77" s="27"/>
      <c r="E77" s="10" t="s">
        <v>183</v>
      </c>
      <c r="F77" s="77">
        <f xml:space="preserve"> IF(F73 - SUM(F74:F76) &lt;&gt; 0, 1, 0)</f>
        <v>0</v>
      </c>
      <c r="G77" s="34" t="s">
        <v>184</v>
      </c>
    </row>
    <row r="78" spans="1:20" x14ac:dyDescent="0.35">
      <c r="A78" s="24"/>
      <c r="B78" s="25"/>
      <c r="D78" s="27"/>
    </row>
    <row r="79" spans="1:20" x14ac:dyDescent="0.35">
      <c r="A79" s="78"/>
      <c r="B79" s="78" t="s">
        <v>185</v>
      </c>
      <c r="D79" s="27"/>
    </row>
    <row r="80" spans="1:20" x14ac:dyDescent="0.35">
      <c r="A80" s="24"/>
      <c r="B80" s="25"/>
      <c r="D80" s="27"/>
    </row>
    <row r="81" spans="1:20" x14ac:dyDescent="0.35">
      <c r="A81" s="24"/>
      <c r="B81" s="25"/>
      <c r="D81" s="27"/>
      <c r="E81" s="52" t="str">
        <f>Inputs!E131</f>
        <v>First Modelling Column Financial Year Number</v>
      </c>
      <c r="F81" s="79">
        <f>Inputs!F131</f>
        <v>2016</v>
      </c>
      <c r="G81" s="80" t="str">
        <f>Inputs!G131</f>
        <v>year</v>
      </c>
    </row>
    <row r="82" spans="1:20" x14ac:dyDescent="0.35">
      <c r="A82" s="24"/>
      <c r="B82" s="25"/>
      <c r="D82" s="27"/>
      <c r="E82" s="52" t="str">
        <f>Inputs!E132</f>
        <v>Financial Year End Month Number</v>
      </c>
      <c r="F82" s="80">
        <f>Inputs!F132</f>
        <v>3</v>
      </c>
      <c r="G82" s="80" t="str">
        <f>Inputs!G132</f>
        <v>month #</v>
      </c>
    </row>
    <row r="83" spans="1:20" s="59" customFormat="1" x14ac:dyDescent="0.35">
      <c r="A83" s="55"/>
      <c r="B83" s="56"/>
      <c r="C83" s="57"/>
      <c r="D83" s="58"/>
      <c r="E83" s="10" t="str">
        <f t="shared" ref="E83:T83" si="28" xml:space="preserve"> E$22</f>
        <v>Model Period END</v>
      </c>
      <c r="F83" s="59">
        <f t="shared" si="28"/>
        <v>0</v>
      </c>
      <c r="G83" s="59" t="str">
        <f t="shared" si="28"/>
        <v>date</v>
      </c>
      <c r="H83" s="59">
        <f t="shared" si="28"/>
        <v>0</v>
      </c>
      <c r="I83" s="59">
        <f t="shared" si="28"/>
        <v>0</v>
      </c>
      <c r="J83" s="59">
        <f t="shared" si="28"/>
        <v>42460</v>
      </c>
      <c r="K83" s="59">
        <f t="shared" si="28"/>
        <v>42825</v>
      </c>
      <c r="L83" s="59">
        <f t="shared" si="28"/>
        <v>43190</v>
      </c>
      <c r="M83" s="59">
        <f t="shared" si="28"/>
        <v>43555</v>
      </c>
      <c r="N83" s="59">
        <f t="shared" si="28"/>
        <v>43921</v>
      </c>
      <c r="O83" s="59">
        <f t="shared" si="28"/>
        <v>44286</v>
      </c>
      <c r="P83" s="59">
        <f t="shared" si="28"/>
        <v>44651</v>
      </c>
      <c r="Q83" s="59">
        <f t="shared" si="28"/>
        <v>45016</v>
      </c>
      <c r="R83" s="59">
        <f t="shared" si="28"/>
        <v>45382</v>
      </c>
      <c r="S83" s="59">
        <f t="shared" si="28"/>
        <v>45747</v>
      </c>
      <c r="T83" s="59">
        <f t="shared" si="28"/>
        <v>46112</v>
      </c>
    </row>
    <row r="84" spans="1:20" x14ac:dyDescent="0.35">
      <c r="A84" s="24"/>
      <c r="B84" s="25"/>
      <c r="D84" s="27"/>
      <c r="E84" s="10" t="str">
        <f t="shared" ref="E84:T84" si="29" xml:space="preserve"> E$14</f>
        <v>First model column flag</v>
      </c>
      <c r="F84" s="34">
        <f t="shared" si="29"/>
        <v>0</v>
      </c>
      <c r="G84" s="34" t="str">
        <f t="shared" si="29"/>
        <v>flag</v>
      </c>
      <c r="H84" s="34">
        <f t="shared" si="29"/>
        <v>1</v>
      </c>
      <c r="I84" s="34">
        <f t="shared" si="29"/>
        <v>0</v>
      </c>
      <c r="J84" s="34">
        <f t="shared" si="29"/>
        <v>1</v>
      </c>
      <c r="K84" s="34">
        <f t="shared" si="29"/>
        <v>0</v>
      </c>
      <c r="L84" s="34">
        <f t="shared" si="29"/>
        <v>0</v>
      </c>
      <c r="M84" s="34">
        <f t="shared" si="29"/>
        <v>0</v>
      </c>
      <c r="N84" s="34">
        <f t="shared" si="29"/>
        <v>0</v>
      </c>
      <c r="O84" s="34">
        <f t="shared" si="29"/>
        <v>0</v>
      </c>
      <c r="P84" s="34">
        <f t="shared" si="29"/>
        <v>0</v>
      </c>
      <c r="Q84" s="34">
        <f t="shared" si="29"/>
        <v>0</v>
      </c>
      <c r="R84" s="34">
        <f t="shared" si="29"/>
        <v>0</v>
      </c>
      <c r="S84" s="34">
        <f t="shared" si="29"/>
        <v>0</v>
      </c>
      <c r="T84" s="34">
        <f t="shared" si="29"/>
        <v>0</v>
      </c>
    </row>
    <row r="85" spans="1:20" s="61" customFormat="1" x14ac:dyDescent="0.35">
      <c r="A85" s="24"/>
      <c r="B85" s="25"/>
      <c r="C85" s="26"/>
      <c r="D85" s="27"/>
      <c r="E85" s="60" t="s">
        <v>186</v>
      </c>
      <c r="G85" s="61" t="s">
        <v>187</v>
      </c>
      <c r="J85" s="61">
        <f xml:space="preserve"> IF(J84 = 1, $F81, IF(J83 &gt; (DATE(I85, $F82 + 1, 1) - 1), I85 + 1, I85))</f>
        <v>2016</v>
      </c>
      <c r="K85" s="61">
        <f t="shared" ref="K85:T85" si="30" xml:space="preserve"> IF(K84 = 1, $F81, IF(K83 &gt; (DATE(J85, $F82 + 1, 1) - 1), J85 + 1, J85))</f>
        <v>2017</v>
      </c>
      <c r="L85" s="61">
        <f t="shared" si="30"/>
        <v>2018</v>
      </c>
      <c r="M85" s="61">
        <f t="shared" si="30"/>
        <v>2019</v>
      </c>
      <c r="N85" s="61">
        <f t="shared" si="30"/>
        <v>2020</v>
      </c>
      <c r="O85" s="61">
        <f t="shared" si="30"/>
        <v>2021</v>
      </c>
      <c r="P85" s="61">
        <f t="shared" si="30"/>
        <v>2022</v>
      </c>
      <c r="Q85" s="61">
        <f t="shared" si="30"/>
        <v>2023</v>
      </c>
      <c r="R85" s="61">
        <f t="shared" si="30"/>
        <v>2024</v>
      </c>
      <c r="S85" s="61">
        <f t="shared" si="30"/>
        <v>2025</v>
      </c>
      <c r="T85" s="61">
        <f t="shared" si="30"/>
        <v>2026</v>
      </c>
    </row>
    <row r="86" spans="1:20" x14ac:dyDescent="0.35"/>
    <row r="87" spans="1:20" s="223" customFormat="1" x14ac:dyDescent="0.35">
      <c r="A87" s="224" t="s">
        <v>83</v>
      </c>
      <c r="B87" s="225"/>
      <c r="C87" s="242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</row>
    <row r="88" spans="1:20" x14ac:dyDescent="0.35"/>
  </sheetData>
  <conditionalFormatting sqref="F77">
    <cfRule type="cellIs" dxfId="41" priority="15" stopIfTrue="1" operator="notEqual">
      <formula>0</formula>
    </cfRule>
    <cfRule type="cellIs" dxfId="40" priority="16" stopIfTrue="1" operator="equal">
      <formula>""</formula>
    </cfRule>
  </conditionalFormatting>
  <conditionalFormatting sqref="J3:S3 U3:CA3">
    <cfRule type="cellIs" dxfId="39" priority="12" operator="equal">
      <formula>"Post-Fcst"</formula>
    </cfRule>
    <cfRule type="cellIs" dxfId="38" priority="13" operator="equal">
      <formula>"Forecast"</formula>
    </cfRule>
    <cfRule type="cellIs" dxfId="37" priority="14" operator="equal">
      <formula>"Pre Fcst"</formula>
    </cfRule>
  </conditionalFormatting>
  <conditionalFormatting sqref="T3">
    <cfRule type="cellIs" dxfId="36" priority="1" operator="equal">
      <formula>"Post-Fcst"</formula>
    </cfRule>
    <cfRule type="cellIs" dxfId="35" priority="2" operator="equal">
      <formula>"Forecast"</formula>
    </cfRule>
    <cfRule type="cellIs" dxfId="34" priority="3" operator="equal">
      <formula>"Pre Fcst"</formula>
    </cfRule>
  </conditionalFormatting>
  <printOptions headings="1"/>
  <pageMargins left="0.7" right="0.7" top="0.75" bottom="0.75" header="0.3" footer="0.3"/>
  <pageSetup paperSize="9" scale="40" orientation="landscape" blackAndWhite="1" r:id="rId1"/>
  <headerFooter>
    <oddHeader xml:space="preserve">&amp;L&amp;F &amp;CSheet: &amp;A &amp;ROFFICIAL </oddHeader>
    <oddFooter xml:space="preserve">&amp;L&amp;D at &amp;T &amp;C&amp;P of &amp;N &amp;ROfwat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ABF"/>
    <outlinePr summaryBelow="0" summaryRight="0"/>
    <pageSetUpPr fitToPage="1"/>
  </sheetPr>
  <dimension ref="A1:T16"/>
  <sheetViews>
    <sheetView zoomScaleNormal="10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35"/>
  <cols>
    <col min="1" max="1" width="1.625" style="126" customWidth="1"/>
    <col min="2" max="2" width="1.625" style="205" customWidth="1"/>
    <col min="3" max="3" width="1.625" style="128" customWidth="1"/>
    <col min="4" max="4" width="1.625" style="117" customWidth="1"/>
    <col min="5" max="5" width="45.625" style="117" customWidth="1"/>
    <col min="6" max="7" width="15.625" style="117" customWidth="1"/>
    <col min="8" max="8" width="15.625" style="34" customWidth="1"/>
    <col min="9" max="9" width="2.625" style="34" customWidth="1"/>
    <col min="10" max="20" width="9.625" style="34" customWidth="1"/>
    <col min="21" max="16384" width="9.625" style="34" hidden="1"/>
  </cols>
  <sheetData>
    <row r="1" spans="1:20" s="135" customFormat="1" ht="29.25" x14ac:dyDescent="0.35">
      <c r="A1" s="194" t="str">
        <f ca="1" xml:space="preserve"> RIGHT(CELL("filename", $A$1), LEN(CELL("filename", $A$1)) - SEARCH("]", CELL("filename", $A$1)))</f>
        <v>Index</v>
      </c>
      <c r="B1" s="195"/>
      <c r="C1" s="196"/>
      <c r="D1" s="192"/>
      <c r="E1" s="192"/>
      <c r="F1" s="192"/>
      <c r="G1" s="192"/>
      <c r="H1" s="92">
        <f>Inputs!F9</f>
        <v>0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s="18" customFormat="1" ht="13.15" x14ac:dyDescent="0.35">
      <c r="A2" s="197"/>
      <c r="B2" s="198"/>
      <c r="C2" s="199"/>
      <c r="D2" s="200"/>
      <c r="E2" s="167" t="str">
        <f>Time!E$22</f>
        <v>Model Period END</v>
      </c>
      <c r="F2" s="167"/>
      <c r="G2" s="167"/>
      <c r="H2" s="17"/>
      <c r="I2" s="17"/>
      <c r="J2" s="17">
        <f>Time!J$22</f>
        <v>42460</v>
      </c>
      <c r="K2" s="17">
        <f>Time!K$22</f>
        <v>42825</v>
      </c>
      <c r="L2" s="17">
        <f>Time!L$22</f>
        <v>43190</v>
      </c>
      <c r="M2" s="17">
        <f>Time!M$22</f>
        <v>43555</v>
      </c>
      <c r="N2" s="17">
        <f>Time!N$22</f>
        <v>43921</v>
      </c>
      <c r="O2" s="17">
        <f>Time!O$22</f>
        <v>44286</v>
      </c>
      <c r="P2" s="17">
        <f>Time!P$22</f>
        <v>44651</v>
      </c>
      <c r="Q2" s="17">
        <f>Time!Q$22</f>
        <v>45016</v>
      </c>
      <c r="R2" s="17">
        <f>Time!R$22</f>
        <v>45382</v>
      </c>
      <c r="S2" s="17">
        <f>Time!S$22</f>
        <v>45747</v>
      </c>
      <c r="T2" s="17">
        <f>Time!T$22</f>
        <v>46112</v>
      </c>
    </row>
    <row r="3" spans="1:20" s="23" customFormat="1" ht="13.15" x14ac:dyDescent="0.35">
      <c r="A3" s="193"/>
      <c r="B3" s="198"/>
      <c r="C3" s="199"/>
      <c r="D3" s="200"/>
      <c r="E3" s="167" t="str">
        <f>Time!E$58</f>
        <v>Pre Forecast vs Forecast</v>
      </c>
      <c r="F3" s="167"/>
      <c r="G3" s="167"/>
      <c r="H3" s="17"/>
      <c r="I3" s="17"/>
      <c r="J3" s="1" t="str">
        <f>Time!J$58</f>
        <v>Pre Fcst</v>
      </c>
      <c r="K3" s="1" t="str">
        <f>Time!K$58</f>
        <v>Pre Fcst</v>
      </c>
      <c r="L3" s="1" t="str">
        <f>Time!L$58</f>
        <v>Pre Fcst</v>
      </c>
      <c r="M3" s="1" t="str">
        <f>Time!M$58</f>
        <v>Pre Fcst</v>
      </c>
      <c r="N3" s="1" t="str">
        <f>Time!N$58</f>
        <v>Pre Fcst</v>
      </c>
      <c r="O3" s="1" t="str">
        <f>Time!O$58</f>
        <v>Forecast</v>
      </c>
      <c r="P3" s="1" t="str">
        <f>Time!P$58</f>
        <v>Forecast</v>
      </c>
      <c r="Q3" s="1" t="str">
        <f>Time!Q$58</f>
        <v>Forecast</v>
      </c>
      <c r="R3" s="1" t="str">
        <f>Time!R$58</f>
        <v>Forecast</v>
      </c>
      <c r="S3" s="1" t="str">
        <f>Time!S$58</f>
        <v>Forecast</v>
      </c>
      <c r="T3" s="1" t="str">
        <f>Time!T$58</f>
        <v>Post-Fcst</v>
      </c>
    </row>
    <row r="4" spans="1:20" s="166" customFormat="1" ht="13.15" x14ac:dyDescent="0.35">
      <c r="A4" s="193"/>
      <c r="B4" s="201"/>
      <c r="C4" s="199"/>
      <c r="D4" s="202"/>
      <c r="E4" s="168" t="str">
        <f>Time!E$85</f>
        <v>Financial Year Ending</v>
      </c>
      <c r="F4" s="168"/>
      <c r="G4" s="168"/>
      <c r="H4" s="164"/>
      <c r="I4" s="164"/>
      <c r="J4" s="165">
        <f>Time!J$85</f>
        <v>2016</v>
      </c>
      <c r="K4" s="165">
        <f>Time!K$85</f>
        <v>2017</v>
      </c>
      <c r="L4" s="165">
        <f>Time!L$85</f>
        <v>2018</v>
      </c>
      <c r="M4" s="165">
        <f>Time!M$85</f>
        <v>2019</v>
      </c>
      <c r="N4" s="165">
        <f>Time!N$85</f>
        <v>2020</v>
      </c>
      <c r="O4" s="165">
        <f>Time!O$85</f>
        <v>2021</v>
      </c>
      <c r="P4" s="165">
        <f>Time!P$85</f>
        <v>2022</v>
      </c>
      <c r="Q4" s="165">
        <f>Time!Q$85</f>
        <v>2023</v>
      </c>
      <c r="R4" s="165">
        <f>Time!R$85</f>
        <v>2024</v>
      </c>
      <c r="S4" s="165">
        <f>Time!S$85</f>
        <v>2025</v>
      </c>
      <c r="T4" s="165">
        <f>Time!T$85</f>
        <v>2026</v>
      </c>
    </row>
    <row r="5" spans="1:20" s="33" customFormat="1" ht="13.15" x14ac:dyDescent="0.35">
      <c r="A5" s="193"/>
      <c r="B5" s="198"/>
      <c r="C5" s="199"/>
      <c r="D5" s="200"/>
      <c r="E5" s="168" t="str">
        <f>Time!E$10</f>
        <v>Model column counter</v>
      </c>
      <c r="F5" s="193" t="s">
        <v>84</v>
      </c>
      <c r="G5" s="193" t="s">
        <v>85</v>
      </c>
      <c r="H5" s="23" t="s">
        <v>86</v>
      </c>
      <c r="I5" s="28"/>
      <c r="J5" s="28">
        <f>Time!J$10</f>
        <v>1</v>
      </c>
      <c r="K5" s="28">
        <f>Time!K$10</f>
        <v>2</v>
      </c>
      <c r="L5" s="28">
        <f>Time!L$10</f>
        <v>3</v>
      </c>
      <c r="M5" s="28">
        <f>Time!M$10</f>
        <v>4</v>
      </c>
      <c r="N5" s="28">
        <f>Time!N$10</f>
        <v>5</v>
      </c>
      <c r="O5" s="28">
        <f>Time!O$10</f>
        <v>6</v>
      </c>
      <c r="P5" s="28">
        <f>Time!P$10</f>
        <v>7</v>
      </c>
      <c r="Q5" s="28">
        <f>Time!Q$10</f>
        <v>8</v>
      </c>
      <c r="R5" s="28">
        <f>Time!R$10</f>
        <v>9</v>
      </c>
      <c r="S5" s="28">
        <f>Time!S$10</f>
        <v>10</v>
      </c>
      <c r="T5" s="28">
        <f>Time!T$10</f>
        <v>11</v>
      </c>
    </row>
    <row r="6" spans="1:20" s="249" customFormat="1" ht="13.15" x14ac:dyDescent="0.35">
      <c r="B6" s="250"/>
      <c r="C6" s="251"/>
      <c r="D6" s="252"/>
      <c r="E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</row>
    <row r="7" spans="1:20" s="227" customFormat="1" ht="13.15" x14ac:dyDescent="0.35">
      <c r="A7" s="224" t="s">
        <v>188</v>
      </c>
      <c r="B7" s="225"/>
      <c r="C7" s="225"/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</row>
    <row r="8" spans="1:20" s="227" customFormat="1" ht="13.5" x14ac:dyDescent="0.35">
      <c r="A8" s="228"/>
      <c r="B8" s="229"/>
      <c r="C8" s="230"/>
      <c r="H8" s="253"/>
    </row>
    <row r="9" spans="1:20" s="233" customFormat="1" ht="13.15" x14ac:dyDescent="0.35">
      <c r="A9" s="231"/>
      <c r="B9" s="229"/>
      <c r="E9" s="233" t="str">
        <f>Inputs!E73</f>
        <v>November CPIH Index</v>
      </c>
      <c r="G9" s="233" t="str">
        <f>Inputs!G73</f>
        <v>Index</v>
      </c>
      <c r="J9" s="233">
        <f>Inputs!J73</f>
        <v>263.10000000000002</v>
      </c>
      <c r="K9" s="233">
        <f>Inputs!K73</f>
        <v>272.5</v>
      </c>
      <c r="L9" s="233">
        <f>Inputs!L73</f>
        <v>281.60000000000002</v>
      </c>
      <c r="M9" s="233">
        <f>Inputs!M73</f>
        <v>0</v>
      </c>
      <c r="N9" s="233">
        <f>Inputs!N73</f>
        <v>0</v>
      </c>
      <c r="O9" s="233">
        <f>Inputs!O73</f>
        <v>0</v>
      </c>
      <c r="P9" s="233">
        <f>Inputs!P73</f>
        <v>0</v>
      </c>
      <c r="Q9" s="233">
        <f>Inputs!Q73</f>
        <v>0</v>
      </c>
      <c r="R9" s="233">
        <f>Inputs!R73</f>
        <v>0</v>
      </c>
      <c r="S9" s="233">
        <f>Inputs!S73</f>
        <v>0</v>
      </c>
      <c r="T9" s="233">
        <f>Inputs!T73</f>
        <v>0</v>
      </c>
    </row>
    <row r="10" spans="1:20" s="256" customFormat="1" ht="13.15" x14ac:dyDescent="0.35">
      <c r="A10" s="254"/>
      <c r="B10" s="255"/>
      <c r="E10" s="257" t="s">
        <v>189</v>
      </c>
      <c r="F10" s="257"/>
      <c r="G10" s="257" t="s">
        <v>109</v>
      </c>
      <c r="H10" s="257"/>
      <c r="I10" s="257"/>
      <c r="J10" s="258"/>
      <c r="K10" s="258"/>
      <c r="L10" s="257">
        <f t="shared" ref="L10:T10" si="0">IF(K9&lt;&gt;0,K9/J9-1,0)</f>
        <v>3.572786012922835E-2</v>
      </c>
      <c r="M10" s="257">
        <f t="shared" si="0"/>
        <v>3.3394495412844227E-2</v>
      </c>
      <c r="N10" s="257">
        <f t="shared" si="0"/>
        <v>0</v>
      </c>
      <c r="O10" s="257">
        <f t="shared" si="0"/>
        <v>0</v>
      </c>
      <c r="P10" s="257">
        <f t="shared" si="0"/>
        <v>0</v>
      </c>
      <c r="Q10" s="257">
        <f t="shared" si="0"/>
        <v>0</v>
      </c>
      <c r="R10" s="257">
        <f t="shared" si="0"/>
        <v>0</v>
      </c>
      <c r="S10" s="257">
        <f t="shared" si="0"/>
        <v>0</v>
      </c>
      <c r="T10" s="257">
        <f t="shared" si="0"/>
        <v>0</v>
      </c>
    </row>
    <row r="11" spans="1:20" s="227" customFormat="1" ht="13.15" x14ac:dyDescent="0.35">
      <c r="A11" s="228"/>
      <c r="B11" s="229"/>
      <c r="C11" s="230"/>
    </row>
    <row r="12" spans="1:20" s="233" customFormat="1" ht="13.15" x14ac:dyDescent="0.35">
      <c r="A12" s="231"/>
      <c r="B12" s="229"/>
      <c r="E12" s="233" t="str">
        <f>Inputs!E73</f>
        <v>November CPIH Index</v>
      </c>
      <c r="G12" s="233" t="str">
        <f>Inputs!G73</f>
        <v>Index</v>
      </c>
      <c r="J12" s="233">
        <f>Inputs!J73</f>
        <v>263.10000000000002</v>
      </c>
      <c r="K12" s="233">
        <f>Inputs!K73</f>
        <v>272.5</v>
      </c>
      <c r="L12" s="233">
        <f>Inputs!L73</f>
        <v>281.60000000000002</v>
      </c>
      <c r="M12" s="233">
        <f>Inputs!M73</f>
        <v>0</v>
      </c>
      <c r="N12" s="233">
        <f>Inputs!N73</f>
        <v>0</v>
      </c>
      <c r="O12" s="233">
        <f>Inputs!O73</f>
        <v>0</v>
      </c>
      <c r="P12" s="233">
        <f>Inputs!P73</f>
        <v>0</v>
      </c>
      <c r="Q12" s="233">
        <f>Inputs!Q73</f>
        <v>0</v>
      </c>
      <c r="R12" s="233">
        <f>Inputs!R73</f>
        <v>0</v>
      </c>
      <c r="S12" s="233">
        <f>Inputs!S73</f>
        <v>0</v>
      </c>
      <c r="T12" s="233">
        <f>Inputs!T73</f>
        <v>0</v>
      </c>
    </row>
    <row r="13" spans="1:20" s="256" customFormat="1" ht="13.15" x14ac:dyDescent="0.35">
      <c r="A13" s="254"/>
      <c r="B13" s="255"/>
      <c r="E13" s="257" t="s">
        <v>190</v>
      </c>
      <c r="F13" s="257"/>
      <c r="G13" s="257" t="s">
        <v>109</v>
      </c>
      <c r="H13" s="257"/>
      <c r="I13" s="257"/>
      <c r="J13" s="258"/>
      <c r="K13" s="258"/>
      <c r="L13" s="257">
        <f t="shared" ref="L13:T13" si="1">IF(K12&lt;&gt;0,K12/$K12,K13)</f>
        <v>1</v>
      </c>
      <c r="M13" s="257">
        <f t="shared" si="1"/>
        <v>1.0333944954128442</v>
      </c>
      <c r="N13" s="257">
        <f t="shared" si="1"/>
        <v>1.0333944954128442</v>
      </c>
      <c r="O13" s="257">
        <f t="shared" si="1"/>
        <v>1.0333944954128442</v>
      </c>
      <c r="P13" s="257">
        <f t="shared" si="1"/>
        <v>1.0333944954128442</v>
      </c>
      <c r="Q13" s="257">
        <f t="shared" si="1"/>
        <v>1.0333944954128442</v>
      </c>
      <c r="R13" s="257">
        <f t="shared" si="1"/>
        <v>1.0333944954128442</v>
      </c>
      <c r="S13" s="257">
        <f t="shared" si="1"/>
        <v>1.0333944954128442</v>
      </c>
      <c r="T13" s="257">
        <f t="shared" si="1"/>
        <v>1.0333944954128442</v>
      </c>
    </row>
    <row r="14" spans="1:20" s="227" customFormat="1" ht="13.15" x14ac:dyDescent="0.35">
      <c r="A14" s="228"/>
      <c r="B14" s="229"/>
      <c r="C14" s="230"/>
    </row>
    <row r="15" spans="1:20" s="227" customFormat="1" ht="13.15" x14ac:dyDescent="0.35">
      <c r="A15" s="224" t="s">
        <v>83</v>
      </c>
      <c r="B15" s="225"/>
      <c r="C15" s="242"/>
      <c r="D15" s="243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</row>
    <row r="16" spans="1:20" x14ac:dyDescent="0.35"/>
  </sheetData>
  <conditionalFormatting sqref="J3:T3">
    <cfRule type="cellIs" dxfId="33" priority="1" operator="equal">
      <formula>"Post-Fcst"</formula>
    </cfRule>
    <cfRule type="cellIs" dxfId="32" priority="2" operator="equal">
      <formula>"Forecast"</formula>
    </cfRule>
    <cfRule type="cellIs" dxfId="31" priority="3" operator="equal">
      <formula>"Pre Fcst"</formula>
    </cfRule>
  </conditionalFormatting>
  <printOptions headings="1"/>
  <pageMargins left="0.7" right="0.7" top="0.75" bottom="0.75" header="0.3" footer="0.3"/>
  <pageSetup paperSize="9" scale="57" orientation="landscape" blackAndWhite="1" r:id="rId1"/>
  <headerFooter>
    <oddHeader xml:space="preserve">&amp;L&amp;F &amp;CSheet: &amp;A &amp;ROFFICIAL </oddHeader>
    <oddFooter xml:space="preserve">&amp;L&amp;D at &amp;T &amp;C&amp;P of &amp;N &amp;ROfwat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M119"/>
  <sheetViews>
    <sheetView view="pageBreakPreview" zoomScale="60" zoomScaleNormal="100" workbookViewId="0"/>
  </sheetViews>
  <sheetFormatPr defaultColWidth="9.625" defaultRowHeight="12.75" x14ac:dyDescent="0.35"/>
  <cols>
    <col min="1" max="4" width="1.625" style="149" customWidth="1"/>
    <col min="5" max="5" width="45.625" style="149" customWidth="1"/>
    <col min="6" max="7" width="15.625" style="149" customWidth="1"/>
    <col min="8" max="8" width="15.625" style="6" customWidth="1"/>
    <col min="9" max="9" width="2.625" style="6" customWidth="1"/>
    <col min="10" max="16384" width="9.625" style="6"/>
  </cols>
  <sheetData>
    <row r="1" spans="1:12" s="109" customFormat="1" ht="29.25" x14ac:dyDescent="0.35">
      <c r="A1" s="170" t="str">
        <f ca="1" xml:space="preserve"> RIGHT(CELL("filename", $A$1), LEN(CELL("filename", $A$1)) - SEARCH("]", CELL("filename", $A$1)))</f>
        <v>Abatements and deferrals</v>
      </c>
      <c r="B1" s="171"/>
      <c r="C1" s="171"/>
      <c r="D1" s="171"/>
      <c r="E1" s="172"/>
      <c r="F1" s="172"/>
      <c r="G1" s="172"/>
      <c r="H1" s="92">
        <f>Inputs!F9</f>
        <v>0</v>
      </c>
      <c r="I1" s="93"/>
      <c r="J1" s="108"/>
      <c r="L1" s="110"/>
    </row>
    <row r="2" spans="1:12" s="94" customFormat="1" ht="13.15" x14ac:dyDescent="0.35">
      <c r="A2" s="173"/>
      <c r="B2" s="173"/>
      <c r="C2" s="173"/>
      <c r="D2" s="173"/>
      <c r="E2" s="173"/>
      <c r="F2" s="174" t="s">
        <v>84</v>
      </c>
      <c r="G2" s="174" t="s">
        <v>85</v>
      </c>
      <c r="H2" s="95" t="s">
        <v>86</v>
      </c>
    </row>
    <row r="3" spans="1:12" s="9" customFormat="1" ht="13.15" x14ac:dyDescent="0.35">
      <c r="A3" s="84" t="s">
        <v>191</v>
      </c>
      <c r="B3" s="175"/>
      <c r="C3" s="175"/>
      <c r="D3" s="176"/>
      <c r="E3" s="87"/>
      <c r="F3" s="96"/>
      <c r="G3" s="96"/>
      <c r="H3" s="89"/>
      <c r="I3" s="88"/>
    </row>
    <row r="4" spans="1:12" s="101" customFormat="1" x14ac:dyDescent="0.35">
      <c r="A4" s="98"/>
      <c r="B4" s="177"/>
      <c r="C4" s="177"/>
      <c r="D4" s="178"/>
      <c r="E4" s="99"/>
      <c r="F4" s="100"/>
      <c r="G4" s="100"/>
      <c r="I4" s="102"/>
    </row>
    <row r="5" spans="1:12" s="101" customFormat="1" ht="13.15" x14ac:dyDescent="0.35">
      <c r="A5" s="98"/>
      <c r="B5" s="99"/>
      <c r="C5" s="179" t="s">
        <v>192</v>
      </c>
      <c r="D5" s="178"/>
      <c r="E5" s="99"/>
      <c r="F5" s="100"/>
      <c r="G5" s="100"/>
      <c r="I5" s="102"/>
    </row>
    <row r="6" spans="1:12" s="101" customFormat="1" x14ac:dyDescent="0.35">
      <c r="A6" s="98"/>
      <c r="B6" s="177"/>
      <c r="C6" s="177"/>
      <c r="D6" s="178"/>
      <c r="E6" s="99"/>
      <c r="F6" s="100"/>
      <c r="G6" s="100"/>
      <c r="I6" s="102"/>
    </row>
    <row r="7" spans="1:12" s="4" customFormat="1" x14ac:dyDescent="0.35">
      <c r="A7" s="180"/>
      <c r="B7" s="180"/>
      <c r="C7" s="180"/>
      <c r="D7" s="181" t="str">
        <f>Inputs!D19</f>
        <v>ODI payments (by price control)</v>
      </c>
      <c r="E7" s="180"/>
      <c r="F7" s="182"/>
      <c r="G7" s="182"/>
    </row>
    <row r="8" spans="1:12" s="4" customFormat="1" x14ac:dyDescent="0.35">
      <c r="A8" s="180"/>
      <c r="B8" s="180"/>
      <c r="C8" s="180"/>
      <c r="D8" s="180"/>
      <c r="E8" s="107" t="str">
        <f>Inputs!E20</f>
        <v>Water resources</v>
      </c>
      <c r="F8" s="183"/>
      <c r="G8" s="183" t="str">
        <f>Inputs!G20</f>
        <v>£m (2017-18 prices)</v>
      </c>
      <c r="H8" s="104">
        <f>Inputs!F20</f>
        <v>0</v>
      </c>
    </row>
    <row r="9" spans="1:12" s="4" customFormat="1" x14ac:dyDescent="0.35">
      <c r="A9" s="180"/>
      <c r="B9" s="180"/>
      <c r="C9" s="180"/>
      <c r="D9" s="180"/>
      <c r="E9" s="107" t="str">
        <f>Inputs!E21</f>
        <v>Water network plus</v>
      </c>
      <c r="F9" s="183"/>
      <c r="G9" s="183" t="str">
        <f>Inputs!G21</f>
        <v>£m (2017-18 prices)</v>
      </c>
      <c r="H9" s="104">
        <f>Inputs!F21</f>
        <v>0</v>
      </c>
    </row>
    <row r="10" spans="1:12" s="4" customFormat="1" x14ac:dyDescent="0.35">
      <c r="A10" s="180"/>
      <c r="B10" s="180"/>
      <c r="C10" s="180"/>
      <c r="D10" s="180"/>
      <c r="E10" s="107" t="str">
        <f>Inputs!E22</f>
        <v>Wastewater network plus</v>
      </c>
      <c r="F10" s="183"/>
      <c r="G10" s="183" t="str">
        <f>Inputs!G22</f>
        <v>£m (2017-18 prices)</v>
      </c>
      <c r="H10" s="104">
        <f>Inputs!F22</f>
        <v>0</v>
      </c>
    </row>
    <row r="11" spans="1:12" s="4" customFormat="1" x14ac:dyDescent="0.35">
      <c r="A11" s="180"/>
      <c r="B11" s="180"/>
      <c r="C11" s="180"/>
      <c r="D11" s="180"/>
      <c r="E11" s="107" t="str">
        <f>Inputs!E23</f>
        <v>Bioresources (sludge)</v>
      </c>
      <c r="F11" s="183"/>
      <c r="G11" s="183" t="str">
        <f>Inputs!G23</f>
        <v>£m (2017-18 prices)</v>
      </c>
      <c r="H11" s="104">
        <f>Inputs!F23</f>
        <v>0</v>
      </c>
    </row>
    <row r="12" spans="1:12" s="4" customFormat="1" x14ac:dyDescent="0.35">
      <c r="A12" s="180"/>
      <c r="B12" s="180"/>
      <c r="C12" s="180"/>
      <c r="D12" s="180"/>
      <c r="E12" s="107" t="str">
        <f>Inputs!E24</f>
        <v>Residential retail</v>
      </c>
      <c r="F12" s="183"/>
      <c r="G12" s="183" t="str">
        <f>Inputs!G24</f>
        <v>£m (2017-18 prices)</v>
      </c>
      <c r="H12" s="104">
        <f>Inputs!F24</f>
        <v>0</v>
      </c>
    </row>
    <row r="13" spans="1:12" s="4" customFormat="1" x14ac:dyDescent="0.35">
      <c r="A13" s="180"/>
      <c r="B13" s="180"/>
      <c r="C13" s="180"/>
      <c r="D13" s="180"/>
      <c r="E13" s="107" t="str">
        <f>Inputs!E25</f>
        <v>Business retail</v>
      </c>
      <c r="F13" s="183"/>
      <c r="G13" s="183" t="str">
        <f>Inputs!G25</f>
        <v>£m (2017-18 prices)</v>
      </c>
      <c r="H13" s="104">
        <f>Inputs!F25</f>
        <v>0</v>
      </c>
    </row>
    <row r="14" spans="1:12" s="4" customFormat="1" x14ac:dyDescent="0.35">
      <c r="A14" s="180"/>
      <c r="B14" s="180"/>
      <c r="C14" s="180"/>
      <c r="D14" s="180"/>
      <c r="E14" s="107" t="str">
        <f>Inputs!E26</f>
        <v>Dummy control</v>
      </c>
      <c r="F14" s="183"/>
      <c r="G14" s="183" t="str">
        <f>Inputs!G26</f>
        <v>£m (2017-18 prices)</v>
      </c>
      <c r="H14" s="104">
        <f>Inputs!F26</f>
        <v>0</v>
      </c>
    </row>
    <row r="15" spans="1:12" s="4" customFormat="1" x14ac:dyDescent="0.35">
      <c r="A15" s="180"/>
      <c r="B15" s="180"/>
      <c r="C15" s="180"/>
      <c r="D15" s="180"/>
      <c r="E15" s="107"/>
      <c r="F15" s="183"/>
      <c r="G15" s="183"/>
      <c r="H15" s="105"/>
    </row>
    <row r="16" spans="1:12" s="4" customFormat="1" x14ac:dyDescent="0.35">
      <c r="A16" s="180"/>
      <c r="B16" s="180"/>
      <c r="C16" s="180"/>
      <c r="D16" s="181" t="str">
        <f>Inputs!D28</f>
        <v>Other in-period adjustments</v>
      </c>
      <c r="E16" s="180"/>
      <c r="F16" s="182"/>
      <c r="G16" s="182"/>
    </row>
    <row r="17" spans="1:13" s="4" customFormat="1" x14ac:dyDescent="0.35">
      <c r="A17" s="180"/>
      <c r="B17" s="180"/>
      <c r="C17" s="180"/>
      <c r="D17" s="180"/>
      <c r="E17" s="107" t="str">
        <f>Inputs!E29</f>
        <v>C-MeX payments</v>
      </c>
      <c r="F17" s="183"/>
      <c r="G17" s="183" t="str">
        <f>Inputs!G29</f>
        <v>£m (2017-18 prices)</v>
      </c>
      <c r="H17" s="104">
        <f>Inputs!F29</f>
        <v>0</v>
      </c>
    </row>
    <row r="18" spans="1:13" s="4" customFormat="1" x14ac:dyDescent="0.35">
      <c r="A18" s="180"/>
      <c r="B18" s="180"/>
      <c r="C18" s="180"/>
      <c r="D18" s="180"/>
      <c r="E18" s="107" t="str">
        <f>Inputs!E30</f>
        <v>D-MeX payments (water network plus)</v>
      </c>
      <c r="F18" s="183"/>
      <c r="G18" s="183" t="str">
        <f>Inputs!G30</f>
        <v>£m (2017-18 prices)</v>
      </c>
      <c r="H18" s="104">
        <f>Inputs!F30</f>
        <v>0</v>
      </c>
    </row>
    <row r="19" spans="1:13" s="4" customFormat="1" x14ac:dyDescent="0.35">
      <c r="A19" s="180"/>
      <c r="B19" s="180"/>
      <c r="C19" s="180"/>
      <c r="D19" s="180"/>
      <c r="E19" s="107" t="str">
        <f>Inputs!E31</f>
        <v>D-MeX payments (wastewater network plus)</v>
      </c>
      <c r="F19" s="183"/>
      <c r="G19" s="183" t="str">
        <f>Inputs!G31</f>
        <v>£m (2017-18 prices)</v>
      </c>
      <c r="H19" s="104">
        <f>Inputs!F31</f>
        <v>0</v>
      </c>
    </row>
    <row r="20" spans="1:13" s="4" customFormat="1" x14ac:dyDescent="0.35">
      <c r="A20" s="180"/>
      <c r="B20" s="180"/>
      <c r="C20" s="180"/>
      <c r="D20" s="180"/>
      <c r="E20" s="180"/>
      <c r="F20" s="182"/>
      <c r="G20" s="182"/>
    </row>
    <row r="21" spans="1:13" s="4" customFormat="1" x14ac:dyDescent="0.35">
      <c r="A21" s="180"/>
      <c r="B21" s="180"/>
      <c r="C21" s="180"/>
      <c r="D21" s="181" t="str">
        <f>Inputs!D33</f>
        <v>ODI payments deferred from previous reporting year</v>
      </c>
      <c r="E21" s="180"/>
      <c r="F21" s="182"/>
      <c r="G21" s="182"/>
    </row>
    <row r="22" spans="1:13" s="106" customFormat="1" x14ac:dyDescent="0.35">
      <c r="A22" s="184"/>
      <c r="B22" s="184"/>
      <c r="C22" s="184"/>
      <c r="D22" s="184"/>
      <c r="E22" s="107" t="str">
        <f>Inputs!E34</f>
        <v>Water resources</v>
      </c>
      <c r="F22" s="183"/>
      <c r="G22" s="183" t="str">
        <f>Inputs!G34</f>
        <v>£m (2017-18 prices)</v>
      </c>
      <c r="H22" s="104">
        <f>Inputs!F34</f>
        <v>0</v>
      </c>
    </row>
    <row r="23" spans="1:13" s="106" customFormat="1" x14ac:dyDescent="0.35">
      <c r="A23" s="184"/>
      <c r="B23" s="184"/>
      <c r="C23" s="184"/>
      <c r="D23" s="184"/>
      <c r="E23" s="107" t="str">
        <f>Inputs!E35</f>
        <v>Water network plus</v>
      </c>
      <c r="F23" s="183"/>
      <c r="G23" s="183" t="str">
        <f>Inputs!G35</f>
        <v>£m (2017-18 prices)</v>
      </c>
      <c r="H23" s="104">
        <f>Inputs!F35</f>
        <v>0</v>
      </c>
    </row>
    <row r="24" spans="1:13" s="106" customFormat="1" x14ac:dyDescent="0.35">
      <c r="A24" s="184"/>
      <c r="B24" s="184"/>
      <c r="C24" s="184"/>
      <c r="D24" s="184"/>
      <c r="E24" s="107" t="str">
        <f>Inputs!E36</f>
        <v>Wastewater network plus</v>
      </c>
      <c r="F24" s="183"/>
      <c r="G24" s="183" t="str">
        <f>Inputs!G36</f>
        <v>£m (2017-18 prices)</v>
      </c>
      <c r="H24" s="104">
        <f>Inputs!F36</f>
        <v>0</v>
      </c>
    </row>
    <row r="25" spans="1:13" s="106" customFormat="1" x14ac:dyDescent="0.35">
      <c r="A25" s="184"/>
      <c r="B25" s="184"/>
      <c r="C25" s="184"/>
      <c r="D25" s="184"/>
      <c r="E25" s="107" t="str">
        <f>Inputs!E37</f>
        <v>Bioresources (sludge)</v>
      </c>
      <c r="F25" s="183"/>
      <c r="G25" s="183" t="str">
        <f>Inputs!G37</f>
        <v>£m (2017-18 prices)</v>
      </c>
      <c r="H25" s="104">
        <f>Inputs!F37</f>
        <v>0</v>
      </c>
    </row>
    <row r="26" spans="1:13" s="106" customFormat="1" x14ac:dyDescent="0.35">
      <c r="A26" s="184"/>
      <c r="B26" s="184"/>
      <c r="C26" s="184"/>
      <c r="D26" s="184"/>
      <c r="E26" s="107" t="str">
        <f>Inputs!E38</f>
        <v>Residential retail</v>
      </c>
      <c r="F26" s="183"/>
      <c r="G26" s="183" t="str">
        <f>Inputs!G38</f>
        <v>£m (2017-18 prices)</v>
      </c>
      <c r="H26" s="104">
        <f>Inputs!F38</f>
        <v>0</v>
      </c>
    </row>
    <row r="27" spans="1:13" s="106" customFormat="1" x14ac:dyDescent="0.35">
      <c r="A27" s="184"/>
      <c r="B27" s="184"/>
      <c r="C27" s="184"/>
      <c r="D27" s="184"/>
      <c r="E27" s="107" t="str">
        <f>Inputs!E39</f>
        <v>Business retail</v>
      </c>
      <c r="F27" s="183"/>
      <c r="G27" s="183" t="str">
        <f>Inputs!G39</f>
        <v>£m (2017-18 prices)</v>
      </c>
      <c r="H27" s="104">
        <f>Inputs!F39</f>
        <v>0</v>
      </c>
    </row>
    <row r="28" spans="1:13" s="106" customFormat="1" x14ac:dyDescent="0.35">
      <c r="A28" s="184"/>
      <c r="B28" s="184"/>
      <c r="C28" s="184"/>
      <c r="D28" s="184"/>
      <c r="E28" s="107" t="str">
        <f>Inputs!E40</f>
        <v>Dummy control</v>
      </c>
      <c r="F28" s="183"/>
      <c r="G28" s="183" t="str">
        <f>Inputs!G40</f>
        <v>£m (2017-18 prices)</v>
      </c>
      <c r="H28" s="104">
        <f>Inputs!F40</f>
        <v>0</v>
      </c>
    </row>
    <row r="29" spans="1:13" s="4" customFormat="1" x14ac:dyDescent="0.35">
      <c r="A29" s="180"/>
      <c r="B29" s="180"/>
      <c r="C29" s="180"/>
      <c r="D29" s="180"/>
      <c r="E29" s="180"/>
      <c r="F29" s="182"/>
      <c r="G29" s="182"/>
      <c r="M29" s="106"/>
    </row>
    <row r="30" spans="1:13" s="4" customFormat="1" x14ac:dyDescent="0.35">
      <c r="A30" s="180"/>
      <c r="B30" s="180"/>
      <c r="C30" s="180"/>
      <c r="D30" s="181" t="s">
        <v>193</v>
      </c>
      <c r="E30" s="180"/>
      <c r="F30" s="182"/>
      <c r="G30" s="182"/>
      <c r="M30" s="106"/>
    </row>
    <row r="31" spans="1:13" s="4" customFormat="1" x14ac:dyDescent="0.35">
      <c r="A31" s="180"/>
      <c r="B31" s="180"/>
      <c r="C31" s="180"/>
      <c r="D31" s="180"/>
      <c r="E31" s="180" t="s">
        <v>63</v>
      </c>
      <c r="F31" s="182"/>
      <c r="G31" s="182" t="str">
        <f>Inputs!$F$15</f>
        <v>£m (2017-18 prices)</v>
      </c>
      <c r="H31" s="138">
        <f>H8+H22</f>
        <v>0</v>
      </c>
      <c r="M31" s="106"/>
    </row>
    <row r="32" spans="1:13" s="4" customFormat="1" x14ac:dyDescent="0.35">
      <c r="A32" s="180"/>
      <c r="B32" s="180"/>
      <c r="C32" s="180"/>
      <c r="D32" s="180"/>
      <c r="E32" s="180" t="s">
        <v>69</v>
      </c>
      <c r="F32" s="182"/>
      <c r="G32" s="182" t="str">
        <f>Inputs!$F$15</f>
        <v>£m (2017-18 prices)</v>
      </c>
      <c r="H32" s="158">
        <f>H9+H18+H23</f>
        <v>0</v>
      </c>
      <c r="M32" s="106"/>
    </row>
    <row r="33" spans="1:13" s="4" customFormat="1" x14ac:dyDescent="0.35">
      <c r="A33" s="180"/>
      <c r="B33" s="180"/>
      <c r="C33" s="180"/>
      <c r="D33" s="180"/>
      <c r="E33" s="180" t="s">
        <v>73</v>
      </c>
      <c r="F33" s="182"/>
      <c r="G33" s="182" t="str">
        <f>Inputs!$F$15</f>
        <v>£m (2017-18 prices)</v>
      </c>
      <c r="H33" s="138">
        <f>H10+H19+H24</f>
        <v>0</v>
      </c>
      <c r="M33" s="106"/>
    </row>
    <row r="34" spans="1:13" s="4" customFormat="1" x14ac:dyDescent="0.35">
      <c r="A34" s="180"/>
      <c r="B34" s="180"/>
      <c r="C34" s="180"/>
      <c r="D34" s="180"/>
      <c r="E34" s="180" t="s">
        <v>79</v>
      </c>
      <c r="F34" s="182"/>
      <c r="G34" s="182" t="str">
        <f>Inputs!$F$15</f>
        <v>£m (2017-18 prices)</v>
      </c>
      <c r="H34" s="138">
        <f>H11+H25</f>
        <v>0</v>
      </c>
      <c r="M34" s="106"/>
    </row>
    <row r="35" spans="1:13" s="4" customFormat="1" x14ac:dyDescent="0.35">
      <c r="A35" s="180"/>
      <c r="B35" s="180"/>
      <c r="C35" s="180"/>
      <c r="D35" s="180"/>
      <c r="E35" s="180" t="s">
        <v>75</v>
      </c>
      <c r="F35" s="182"/>
      <c r="G35" s="182" t="str">
        <f>Inputs!$F$15</f>
        <v>£m (2017-18 prices)</v>
      </c>
      <c r="H35" s="138">
        <f>H12+H17+H26</f>
        <v>0</v>
      </c>
      <c r="M35" s="106"/>
    </row>
    <row r="36" spans="1:13" s="4" customFormat="1" x14ac:dyDescent="0.35">
      <c r="A36" s="180"/>
      <c r="B36" s="180"/>
      <c r="C36" s="180"/>
      <c r="D36" s="180"/>
      <c r="E36" s="180" t="s">
        <v>77</v>
      </c>
      <c r="F36" s="182"/>
      <c r="G36" s="182" t="str">
        <f>Inputs!$F$15</f>
        <v>£m (2017-18 prices)</v>
      </c>
      <c r="H36" s="138">
        <f>H13+H27</f>
        <v>0</v>
      </c>
      <c r="M36" s="106"/>
    </row>
    <row r="37" spans="1:13" s="4" customFormat="1" x14ac:dyDescent="0.35">
      <c r="A37" s="180"/>
      <c r="B37" s="180"/>
      <c r="C37" s="180"/>
      <c r="D37" s="180"/>
      <c r="E37" s="180" t="s">
        <v>81</v>
      </c>
      <c r="F37" s="182"/>
      <c r="G37" s="182" t="str">
        <f>Inputs!$F$15</f>
        <v>£m (2017-18 prices)</v>
      </c>
      <c r="H37" s="138">
        <f>H14+H28</f>
        <v>0</v>
      </c>
    </row>
    <row r="38" spans="1:13" s="4" customFormat="1" x14ac:dyDescent="0.35">
      <c r="A38" s="180"/>
      <c r="B38" s="180"/>
      <c r="C38" s="180"/>
      <c r="D38" s="180"/>
      <c r="E38" s="180"/>
      <c r="F38" s="182"/>
      <c r="G38" s="182"/>
      <c r="H38" s="111"/>
    </row>
    <row r="39" spans="1:13" s="4" customFormat="1" ht="13.15" x14ac:dyDescent="0.35">
      <c r="A39" s="180"/>
      <c r="B39" s="180"/>
      <c r="C39" s="185" t="s">
        <v>104</v>
      </c>
      <c r="D39" s="180"/>
      <c r="E39" s="180"/>
      <c r="F39" s="182"/>
      <c r="G39" s="182"/>
      <c r="H39" s="111"/>
    </row>
    <row r="40" spans="1:13" s="4" customFormat="1" x14ac:dyDescent="0.35">
      <c r="A40" s="180"/>
      <c r="B40" s="180"/>
      <c r="C40" s="180"/>
      <c r="D40" s="180"/>
      <c r="E40" s="180"/>
      <c r="F40" s="182"/>
      <c r="G40" s="182"/>
      <c r="H40" s="111"/>
    </row>
    <row r="41" spans="1:13" s="4" customFormat="1" x14ac:dyDescent="0.35">
      <c r="A41" s="180"/>
      <c r="B41" s="180"/>
      <c r="C41" s="180"/>
      <c r="D41" s="181" t="str">
        <f>Inputs!D45</f>
        <v>Voluntary abatements</v>
      </c>
      <c r="E41" s="180"/>
      <c r="F41" s="182"/>
      <c r="G41" s="182"/>
      <c r="H41" s="111"/>
    </row>
    <row r="42" spans="1:13" s="4" customFormat="1" x14ac:dyDescent="0.35">
      <c r="A42" s="180"/>
      <c r="B42" s="180"/>
      <c r="C42" s="180"/>
      <c r="D42" s="180"/>
      <c r="E42" s="107" t="str">
        <f>Inputs!E46</f>
        <v>Water resources</v>
      </c>
      <c r="F42" s="183"/>
      <c r="G42" s="183" t="str">
        <f>Inputs!G46</f>
        <v>£m (2017-18 prices)</v>
      </c>
      <c r="H42" s="104">
        <f>Inputs!F46</f>
        <v>0</v>
      </c>
    </row>
    <row r="43" spans="1:13" s="4" customFormat="1" x14ac:dyDescent="0.35">
      <c r="A43" s="180"/>
      <c r="B43" s="180"/>
      <c r="C43" s="180"/>
      <c r="D43" s="180"/>
      <c r="E43" s="107" t="str">
        <f>Inputs!E47</f>
        <v>Water network plus</v>
      </c>
      <c r="F43" s="183"/>
      <c r="G43" s="183" t="str">
        <f>Inputs!G47</f>
        <v>£m (2017-18 prices)</v>
      </c>
      <c r="H43" s="104">
        <f>Inputs!F47</f>
        <v>0</v>
      </c>
    </row>
    <row r="44" spans="1:13" s="4" customFormat="1" x14ac:dyDescent="0.35">
      <c r="A44" s="180"/>
      <c r="B44" s="180"/>
      <c r="C44" s="180"/>
      <c r="D44" s="180"/>
      <c r="E44" s="107" t="str">
        <f>Inputs!E48</f>
        <v>Wastewater network plus</v>
      </c>
      <c r="F44" s="183"/>
      <c r="G44" s="183" t="str">
        <f>Inputs!G48</f>
        <v>£m (2017-18 prices)</v>
      </c>
      <c r="H44" s="104">
        <f>Inputs!F48</f>
        <v>0</v>
      </c>
    </row>
    <row r="45" spans="1:13" s="4" customFormat="1" x14ac:dyDescent="0.35">
      <c r="A45" s="180"/>
      <c r="B45" s="180"/>
      <c r="C45" s="180"/>
      <c r="D45" s="180"/>
      <c r="E45" s="107" t="str">
        <f>Inputs!E49</f>
        <v>Bioresources (sludge)</v>
      </c>
      <c r="F45" s="183"/>
      <c r="G45" s="183" t="str">
        <f>Inputs!G49</f>
        <v>£m (2017-18 prices)</v>
      </c>
      <c r="H45" s="104">
        <f>Inputs!F49</f>
        <v>0</v>
      </c>
    </row>
    <row r="46" spans="1:13" s="4" customFormat="1" x14ac:dyDescent="0.35">
      <c r="A46" s="180"/>
      <c r="B46" s="180"/>
      <c r="C46" s="180"/>
      <c r="D46" s="180"/>
      <c r="E46" s="107" t="str">
        <f>Inputs!E50</f>
        <v>Residential retail</v>
      </c>
      <c r="F46" s="183"/>
      <c r="G46" s="183" t="str">
        <f>Inputs!G50</f>
        <v>£m (2017-18 prices)</v>
      </c>
      <c r="H46" s="104">
        <f>Inputs!F50</f>
        <v>0</v>
      </c>
    </row>
    <row r="47" spans="1:13" s="4" customFormat="1" x14ac:dyDescent="0.35">
      <c r="A47" s="180"/>
      <c r="B47" s="180"/>
      <c r="C47" s="180"/>
      <c r="D47" s="180"/>
      <c r="E47" s="107" t="str">
        <f>Inputs!E51</f>
        <v>Business retail</v>
      </c>
      <c r="F47" s="183"/>
      <c r="G47" s="183" t="str">
        <f>Inputs!G51</f>
        <v>£m (2017-18 prices)</v>
      </c>
      <c r="H47" s="104">
        <f>Inputs!F51</f>
        <v>0</v>
      </c>
    </row>
    <row r="48" spans="1:13" s="4" customFormat="1" x14ac:dyDescent="0.35">
      <c r="A48" s="180"/>
      <c r="B48" s="180"/>
      <c r="C48" s="180"/>
      <c r="D48" s="180"/>
      <c r="E48" s="107" t="str">
        <f>Inputs!E52</f>
        <v>Dummy control</v>
      </c>
      <c r="F48" s="183"/>
      <c r="G48" s="183" t="str">
        <f>Inputs!G52</f>
        <v>£m (2017-18 prices)</v>
      </c>
      <c r="H48" s="104">
        <f>Inputs!F52</f>
        <v>0</v>
      </c>
    </row>
    <row r="49" spans="1:9" s="4" customFormat="1" x14ac:dyDescent="0.35">
      <c r="A49" s="180"/>
      <c r="B49" s="180"/>
      <c r="C49" s="180"/>
      <c r="D49" s="180"/>
      <c r="E49" s="180"/>
      <c r="F49" s="182"/>
      <c r="G49" s="182"/>
    </row>
    <row r="50" spans="1:9" s="4" customFormat="1" x14ac:dyDescent="0.35">
      <c r="A50" s="180"/>
      <c r="B50" s="180"/>
      <c r="C50" s="180"/>
      <c r="D50" s="181" t="s">
        <v>194</v>
      </c>
      <c r="E50" s="180"/>
      <c r="F50" s="182"/>
      <c r="G50" s="182"/>
    </row>
    <row r="51" spans="1:9" s="4" customFormat="1" x14ac:dyDescent="0.35">
      <c r="A51" s="180"/>
      <c r="B51" s="180"/>
      <c r="C51" s="180"/>
      <c r="D51" s="180"/>
      <c r="E51" s="180" t="s">
        <v>63</v>
      </c>
      <c r="F51" s="182"/>
      <c r="G51" s="182" t="str">
        <f>Inputs!$F$15</f>
        <v>£m (2017-18 prices)</v>
      </c>
      <c r="H51" s="138">
        <f t="shared" ref="H51:H57" si="0">IF(H31&gt;0,IF(H42&lt;H31,H31-H42,0),H31)</f>
        <v>0</v>
      </c>
    </row>
    <row r="52" spans="1:9" s="4" customFormat="1" x14ac:dyDescent="0.35">
      <c r="A52" s="180"/>
      <c r="B52" s="180"/>
      <c r="C52" s="180"/>
      <c r="D52" s="180"/>
      <c r="E52" s="180" t="s">
        <v>69</v>
      </c>
      <c r="F52" s="182"/>
      <c r="G52" s="182" t="str">
        <f>Inputs!$F$15</f>
        <v>£m (2017-18 prices)</v>
      </c>
      <c r="H52" s="138">
        <f t="shared" si="0"/>
        <v>0</v>
      </c>
    </row>
    <row r="53" spans="1:9" s="4" customFormat="1" x14ac:dyDescent="0.35">
      <c r="A53" s="180"/>
      <c r="B53" s="180"/>
      <c r="C53" s="180"/>
      <c r="D53" s="180"/>
      <c r="E53" s="180" t="s">
        <v>73</v>
      </c>
      <c r="F53" s="182"/>
      <c r="G53" s="182" t="str">
        <f>Inputs!$F$15</f>
        <v>£m (2017-18 prices)</v>
      </c>
      <c r="H53" s="138">
        <f>IF(H33&gt;0,IF(H44&lt;H33,H33-H44,0),H33)</f>
        <v>0</v>
      </c>
    </row>
    <row r="54" spans="1:9" s="4" customFormat="1" x14ac:dyDescent="0.35">
      <c r="A54" s="180"/>
      <c r="B54" s="180"/>
      <c r="C54" s="180"/>
      <c r="D54" s="180"/>
      <c r="E54" s="180" t="s">
        <v>79</v>
      </c>
      <c r="F54" s="182"/>
      <c r="G54" s="182" t="str">
        <f>Inputs!$F$15</f>
        <v>£m (2017-18 prices)</v>
      </c>
      <c r="H54" s="138">
        <f t="shared" si="0"/>
        <v>0</v>
      </c>
    </row>
    <row r="55" spans="1:9" s="4" customFormat="1" x14ac:dyDescent="0.35">
      <c r="A55" s="180"/>
      <c r="B55" s="180"/>
      <c r="C55" s="180"/>
      <c r="D55" s="180"/>
      <c r="E55" s="180" t="s">
        <v>75</v>
      </c>
      <c r="F55" s="182"/>
      <c r="G55" s="182" t="str">
        <f>Inputs!$F$15</f>
        <v>£m (2017-18 prices)</v>
      </c>
      <c r="H55" s="138">
        <f t="shared" si="0"/>
        <v>0</v>
      </c>
    </row>
    <row r="56" spans="1:9" s="4" customFormat="1" x14ac:dyDescent="0.35">
      <c r="A56" s="180"/>
      <c r="B56" s="180"/>
      <c r="C56" s="180"/>
      <c r="D56" s="180"/>
      <c r="E56" s="180" t="s">
        <v>77</v>
      </c>
      <c r="F56" s="182"/>
      <c r="G56" s="182" t="str">
        <f>Inputs!$F$15</f>
        <v>£m (2017-18 prices)</v>
      </c>
      <c r="H56" s="138">
        <f t="shared" si="0"/>
        <v>0</v>
      </c>
    </row>
    <row r="57" spans="1:9" s="4" customFormat="1" x14ac:dyDescent="0.35">
      <c r="A57" s="180"/>
      <c r="B57" s="180"/>
      <c r="C57" s="180"/>
      <c r="D57" s="180"/>
      <c r="E57" s="180" t="s">
        <v>81</v>
      </c>
      <c r="F57" s="182"/>
      <c r="G57" s="182" t="str">
        <f>Inputs!$F$15</f>
        <v>£m (2017-18 prices)</v>
      </c>
      <c r="H57" s="138">
        <f t="shared" si="0"/>
        <v>0</v>
      </c>
    </row>
    <row r="58" spans="1:9" s="4" customFormat="1" x14ac:dyDescent="0.35">
      <c r="A58" s="180"/>
      <c r="B58" s="180"/>
      <c r="C58" s="180"/>
      <c r="D58" s="180"/>
      <c r="E58" s="180"/>
      <c r="F58" s="182"/>
      <c r="G58" s="182"/>
    </row>
    <row r="59" spans="1:9" s="9" customFormat="1" ht="13.15" x14ac:dyDescent="0.35">
      <c r="A59" s="84" t="s">
        <v>195</v>
      </c>
      <c r="B59" s="175"/>
      <c r="C59" s="175"/>
      <c r="D59" s="176"/>
      <c r="E59" s="87"/>
      <c r="F59" s="96"/>
      <c r="G59" s="96"/>
      <c r="H59" s="89"/>
      <c r="I59" s="88"/>
    </row>
    <row r="60" spans="1:9" s="4" customFormat="1" x14ac:dyDescent="0.35">
      <c r="A60" s="180"/>
      <c r="B60" s="180"/>
      <c r="C60" s="180"/>
      <c r="D60" s="180"/>
      <c r="E60" s="180"/>
      <c r="F60" s="182"/>
      <c r="G60" s="182"/>
    </row>
    <row r="61" spans="1:9" s="4" customFormat="1" ht="13.15" x14ac:dyDescent="0.35">
      <c r="A61" s="180"/>
      <c r="B61" s="180"/>
      <c r="C61" s="185" t="s">
        <v>105</v>
      </c>
      <c r="D61" s="180"/>
      <c r="E61" s="180"/>
      <c r="F61" s="182"/>
      <c r="G61" s="182"/>
    </row>
    <row r="62" spans="1:9" s="4" customFormat="1" x14ac:dyDescent="0.35">
      <c r="A62" s="180"/>
      <c r="B62" s="180"/>
      <c r="C62" s="180"/>
      <c r="D62" s="180"/>
      <c r="E62" s="180"/>
      <c r="F62" s="182"/>
      <c r="G62" s="182"/>
    </row>
    <row r="63" spans="1:9" s="4" customFormat="1" x14ac:dyDescent="0.35">
      <c r="A63" s="180"/>
      <c r="B63" s="180"/>
      <c r="C63" s="180"/>
      <c r="D63" s="181" t="str">
        <f>Inputs!D54</f>
        <v>Voluntary deferrals</v>
      </c>
      <c r="E63" s="180"/>
      <c r="F63" s="182"/>
      <c r="G63" s="182"/>
    </row>
    <row r="64" spans="1:9" s="4" customFormat="1" x14ac:dyDescent="0.35">
      <c r="A64" s="180"/>
      <c r="B64" s="180"/>
      <c r="C64" s="180"/>
      <c r="D64" s="180"/>
      <c r="E64" s="107" t="str">
        <f>Inputs!E55</f>
        <v>Water resources</v>
      </c>
      <c r="F64" s="183"/>
      <c r="G64" s="183" t="str">
        <f>Inputs!G55</f>
        <v>£m (2017-18 prices)</v>
      </c>
      <c r="H64" s="104">
        <f>Inputs!F55</f>
        <v>0</v>
      </c>
    </row>
    <row r="65" spans="1:8" s="4" customFormat="1" x14ac:dyDescent="0.35">
      <c r="A65" s="180"/>
      <c r="B65" s="180"/>
      <c r="C65" s="180"/>
      <c r="D65" s="180"/>
      <c r="E65" s="107" t="str">
        <f>Inputs!E56</f>
        <v>Water network plus</v>
      </c>
      <c r="F65" s="183"/>
      <c r="G65" s="183" t="str">
        <f>Inputs!G56</f>
        <v>£m (2017-18 prices)</v>
      </c>
      <c r="H65" s="104">
        <f>Inputs!F56</f>
        <v>0</v>
      </c>
    </row>
    <row r="66" spans="1:8" s="4" customFormat="1" x14ac:dyDescent="0.35">
      <c r="A66" s="180"/>
      <c r="B66" s="180"/>
      <c r="C66" s="180"/>
      <c r="D66" s="180"/>
      <c r="E66" s="107" t="str">
        <f>Inputs!E57</f>
        <v>Wastewater network plus</v>
      </c>
      <c r="F66" s="183"/>
      <c r="G66" s="183" t="str">
        <f>Inputs!G57</f>
        <v>£m (2017-18 prices)</v>
      </c>
      <c r="H66" s="104">
        <f>Inputs!F57</f>
        <v>0</v>
      </c>
    </row>
    <row r="67" spans="1:8" s="4" customFormat="1" x14ac:dyDescent="0.35">
      <c r="A67" s="180"/>
      <c r="B67" s="180"/>
      <c r="C67" s="180"/>
      <c r="D67" s="180"/>
      <c r="E67" s="107" t="str">
        <f>Inputs!E58</f>
        <v>Bioresources (sludge)</v>
      </c>
      <c r="F67" s="183"/>
      <c r="G67" s="183" t="str">
        <f>Inputs!G58</f>
        <v>£m (2017-18 prices)</v>
      </c>
      <c r="H67" s="104">
        <f>Inputs!F58</f>
        <v>0</v>
      </c>
    </row>
    <row r="68" spans="1:8" s="4" customFormat="1" x14ac:dyDescent="0.35">
      <c r="A68" s="180"/>
      <c r="B68" s="180"/>
      <c r="C68" s="180"/>
      <c r="D68" s="180"/>
      <c r="E68" s="107" t="str">
        <f>Inputs!E59</f>
        <v>Residential retail</v>
      </c>
      <c r="F68" s="183"/>
      <c r="G68" s="183" t="str">
        <f>Inputs!G59</f>
        <v>£m (2017-18 prices)</v>
      </c>
      <c r="H68" s="104">
        <f>Inputs!F59</f>
        <v>0</v>
      </c>
    </row>
    <row r="69" spans="1:8" s="4" customFormat="1" x14ac:dyDescent="0.35">
      <c r="A69" s="180"/>
      <c r="B69" s="180"/>
      <c r="C69" s="180"/>
      <c r="D69" s="180"/>
      <c r="E69" s="107" t="str">
        <f>Inputs!E60</f>
        <v>Business retail</v>
      </c>
      <c r="F69" s="183"/>
      <c r="G69" s="183" t="str">
        <f>Inputs!G60</f>
        <v>£m (2017-18 prices)</v>
      </c>
      <c r="H69" s="104">
        <f>Inputs!F60</f>
        <v>0</v>
      </c>
    </row>
    <row r="70" spans="1:8" s="4" customFormat="1" x14ac:dyDescent="0.35">
      <c r="A70" s="180"/>
      <c r="B70" s="180"/>
      <c r="C70" s="180"/>
      <c r="D70" s="180"/>
      <c r="E70" s="107" t="str">
        <f>Inputs!E61</f>
        <v>Dummy control</v>
      </c>
      <c r="F70" s="183"/>
      <c r="G70" s="183" t="str">
        <f>Inputs!G61</f>
        <v>£m (2017-18 prices)</v>
      </c>
      <c r="H70" s="104">
        <f>Inputs!F61</f>
        <v>0</v>
      </c>
    </row>
    <row r="71" spans="1:8" s="4" customFormat="1" x14ac:dyDescent="0.35">
      <c r="A71" s="180"/>
      <c r="B71" s="180"/>
      <c r="C71" s="180"/>
      <c r="D71" s="180"/>
      <c r="E71" s="180"/>
      <c r="F71" s="182"/>
      <c r="G71" s="182"/>
    </row>
    <row r="72" spans="1:8" s="4" customFormat="1" x14ac:dyDescent="0.35">
      <c r="A72" s="180"/>
      <c r="B72" s="180"/>
      <c r="C72" s="180"/>
      <c r="D72" s="181" t="s">
        <v>196</v>
      </c>
      <c r="E72" s="180"/>
      <c r="F72" s="182"/>
      <c r="G72" s="182"/>
    </row>
    <row r="73" spans="1:8" s="4" customFormat="1" x14ac:dyDescent="0.35">
      <c r="A73" s="180"/>
      <c r="B73" s="180"/>
      <c r="C73" s="180"/>
      <c r="D73" s="180"/>
      <c r="E73" s="180" t="s">
        <v>63</v>
      </c>
      <c r="F73" s="182"/>
      <c r="G73" s="182" t="str">
        <f>Inputs!$F$15</f>
        <v>£m (2017-18 prices)</v>
      </c>
      <c r="H73" s="111">
        <f>H51-H64</f>
        <v>0</v>
      </c>
    </row>
    <row r="74" spans="1:8" s="4" customFormat="1" x14ac:dyDescent="0.35">
      <c r="A74" s="180"/>
      <c r="B74" s="180"/>
      <c r="C74" s="180"/>
      <c r="D74" s="180"/>
      <c r="E74" s="180" t="s">
        <v>69</v>
      </c>
      <c r="F74" s="182"/>
      <c r="G74" s="182" t="str">
        <f>Inputs!$F$15</f>
        <v>£m (2017-18 prices)</v>
      </c>
      <c r="H74" s="111">
        <f t="shared" ref="H74:H79" si="1">H52-H65</f>
        <v>0</v>
      </c>
    </row>
    <row r="75" spans="1:8" s="4" customFormat="1" x14ac:dyDescent="0.35">
      <c r="A75" s="180"/>
      <c r="B75" s="180"/>
      <c r="C75" s="180"/>
      <c r="D75" s="180"/>
      <c r="E75" s="180" t="s">
        <v>73</v>
      </c>
      <c r="F75" s="182"/>
      <c r="G75" s="182" t="str">
        <f>Inputs!$F$15</f>
        <v>£m (2017-18 prices)</v>
      </c>
      <c r="H75" s="111">
        <f t="shared" si="1"/>
        <v>0</v>
      </c>
    </row>
    <row r="76" spans="1:8" s="4" customFormat="1" x14ac:dyDescent="0.35">
      <c r="A76" s="180"/>
      <c r="B76" s="180"/>
      <c r="C76" s="180"/>
      <c r="D76" s="180"/>
      <c r="E76" s="180" t="s">
        <v>79</v>
      </c>
      <c r="F76" s="182"/>
      <c r="G76" s="182" t="str">
        <f>Inputs!$F$15</f>
        <v>£m (2017-18 prices)</v>
      </c>
      <c r="H76" s="111">
        <f t="shared" si="1"/>
        <v>0</v>
      </c>
    </row>
    <row r="77" spans="1:8" s="4" customFormat="1" x14ac:dyDescent="0.35">
      <c r="A77" s="180"/>
      <c r="B77" s="180"/>
      <c r="C77" s="180"/>
      <c r="D77" s="180"/>
      <c r="E77" s="180" t="s">
        <v>75</v>
      </c>
      <c r="F77" s="182"/>
      <c r="G77" s="182" t="str">
        <f>Inputs!$F$15</f>
        <v>£m (2017-18 prices)</v>
      </c>
      <c r="H77" s="111">
        <f t="shared" si="1"/>
        <v>0</v>
      </c>
    </row>
    <row r="78" spans="1:8" s="4" customFormat="1" x14ac:dyDescent="0.35">
      <c r="A78" s="180"/>
      <c r="B78" s="180"/>
      <c r="C78" s="180"/>
      <c r="D78" s="180"/>
      <c r="E78" s="180" t="s">
        <v>77</v>
      </c>
      <c r="F78" s="182"/>
      <c r="G78" s="182" t="str">
        <f>Inputs!$F$15</f>
        <v>£m (2017-18 prices)</v>
      </c>
      <c r="H78" s="111">
        <f t="shared" si="1"/>
        <v>0</v>
      </c>
    </row>
    <row r="79" spans="1:8" s="4" customFormat="1" x14ac:dyDescent="0.35">
      <c r="A79" s="180"/>
      <c r="B79" s="180"/>
      <c r="C79" s="180"/>
      <c r="D79" s="180"/>
      <c r="E79" s="180" t="s">
        <v>81</v>
      </c>
      <c r="F79" s="182"/>
      <c r="G79" s="182" t="str">
        <f>Inputs!$F$15</f>
        <v>£m (2017-18 prices)</v>
      </c>
      <c r="H79" s="111">
        <f t="shared" si="1"/>
        <v>0</v>
      </c>
    </row>
    <row r="80" spans="1:8" s="4" customFormat="1" x14ac:dyDescent="0.35">
      <c r="A80" s="180"/>
      <c r="B80" s="180"/>
      <c r="C80" s="180"/>
      <c r="D80" s="180"/>
      <c r="E80" s="180"/>
      <c r="F80" s="182"/>
      <c r="G80" s="182"/>
    </row>
    <row r="81" spans="1:8" s="4" customFormat="1" ht="13.15" x14ac:dyDescent="0.35">
      <c r="A81" s="180"/>
      <c r="B81" s="180"/>
      <c r="C81" s="185" t="s">
        <v>197</v>
      </c>
      <c r="D81" s="180"/>
      <c r="E81" s="180"/>
      <c r="F81" s="182"/>
      <c r="G81" s="182"/>
    </row>
    <row r="82" spans="1:8" s="4" customFormat="1" x14ac:dyDescent="0.35">
      <c r="A82" s="180"/>
      <c r="B82" s="180"/>
      <c r="C82" s="180"/>
      <c r="D82" s="180"/>
      <c r="E82" s="180"/>
      <c r="F82" s="182"/>
      <c r="G82" s="182"/>
    </row>
    <row r="83" spans="1:8" s="4" customFormat="1" x14ac:dyDescent="0.35">
      <c r="A83" s="180"/>
      <c r="B83" s="180"/>
      <c r="C83" s="180"/>
      <c r="D83" s="181" t="s">
        <v>198</v>
      </c>
      <c r="E83" s="180"/>
      <c r="F83" s="182"/>
      <c r="G83" s="182"/>
    </row>
    <row r="84" spans="1:8" s="4" customFormat="1" x14ac:dyDescent="0.35">
      <c r="A84" s="180"/>
      <c r="B84" s="180"/>
      <c r="C84" s="180"/>
      <c r="D84" s="180"/>
      <c r="E84" s="107" t="str">
        <f>Inputs!E67</f>
        <v>Discount rate (wholesale weighted average cost of capital - real CPIH)</v>
      </c>
      <c r="F84" s="183"/>
      <c r="G84" s="183" t="str">
        <f>Inputs!G67</f>
        <v>Percentage</v>
      </c>
      <c r="H84" s="112">
        <f>Inputs!F67</f>
        <v>2.4E-2</v>
      </c>
    </row>
    <row r="85" spans="1:8" s="4" customFormat="1" x14ac:dyDescent="0.35">
      <c r="A85" s="180"/>
      <c r="B85" s="180"/>
      <c r="C85" s="180"/>
      <c r="D85" s="180"/>
      <c r="E85" s="107" t="str">
        <f>Inputs!E68</f>
        <v>Discount rate (appointee weighted average cost of capital - real CPIH)</v>
      </c>
      <c r="F85" s="183"/>
      <c r="G85" s="183" t="str">
        <f>Inputs!G68</f>
        <v>Percentage</v>
      </c>
      <c r="H85" s="112">
        <f>Inputs!F68</f>
        <v>2.4500000000000001E-2</v>
      </c>
    </row>
    <row r="86" spans="1:8" s="4" customFormat="1" x14ac:dyDescent="0.35">
      <c r="A86" s="180"/>
      <c r="B86" s="180"/>
      <c r="C86" s="180"/>
      <c r="D86" s="180"/>
      <c r="E86" s="107" t="str">
        <f>Inputs!E69</f>
        <v>Years of delay for deferrals</v>
      </c>
      <c r="F86" s="183"/>
      <c r="G86" s="183" t="str">
        <f>Inputs!G69</f>
        <v>Number</v>
      </c>
      <c r="H86" s="103">
        <f>Inputs!F69</f>
        <v>1</v>
      </c>
    </row>
    <row r="87" spans="1:8" s="4" customFormat="1" x14ac:dyDescent="0.35">
      <c r="A87" s="180"/>
      <c r="B87" s="180"/>
      <c r="C87" s="180"/>
      <c r="D87" s="180"/>
      <c r="E87" s="180"/>
      <c r="F87" s="182"/>
      <c r="G87" s="182"/>
    </row>
    <row r="88" spans="1:8" s="4" customFormat="1" x14ac:dyDescent="0.35">
      <c r="A88" s="180"/>
      <c r="B88" s="180"/>
      <c r="C88" s="180"/>
      <c r="D88" s="181" t="s">
        <v>199</v>
      </c>
      <c r="E88" s="180"/>
      <c r="F88" s="182"/>
      <c r="G88" s="182"/>
    </row>
    <row r="89" spans="1:8" s="4" customFormat="1" x14ac:dyDescent="0.35">
      <c r="A89" s="180"/>
      <c r="B89" s="180"/>
      <c r="C89" s="180"/>
      <c r="D89" s="180"/>
      <c r="E89" s="180" t="s">
        <v>63</v>
      </c>
      <c r="F89" s="182"/>
      <c r="G89" s="182"/>
      <c r="H89" s="102">
        <f>H64*((1+H$84)^H$86)</f>
        <v>0</v>
      </c>
    </row>
    <row r="90" spans="1:8" s="4" customFormat="1" x14ac:dyDescent="0.35">
      <c r="A90" s="180"/>
      <c r="B90" s="180"/>
      <c r="C90" s="180"/>
      <c r="D90" s="180"/>
      <c r="E90" s="180" t="s">
        <v>69</v>
      </c>
      <c r="F90" s="182"/>
      <c r="G90" s="182"/>
      <c r="H90" s="102">
        <f t="shared" ref="H90:H91" si="2">H65*((1+H$84)^H$86)</f>
        <v>0</v>
      </c>
    </row>
    <row r="91" spans="1:8" s="4" customFormat="1" x14ac:dyDescent="0.35">
      <c r="A91" s="180"/>
      <c r="B91" s="180"/>
      <c r="C91" s="180"/>
      <c r="D91" s="180"/>
      <c r="E91" s="180" t="s">
        <v>73</v>
      </c>
      <c r="F91" s="182"/>
      <c r="G91" s="182"/>
      <c r="H91" s="102">
        <f t="shared" si="2"/>
        <v>0</v>
      </c>
    </row>
    <row r="92" spans="1:8" s="4" customFormat="1" x14ac:dyDescent="0.35">
      <c r="A92" s="180"/>
      <c r="B92" s="180"/>
      <c r="C92" s="180"/>
      <c r="D92" s="180"/>
      <c r="E92" s="180" t="s">
        <v>79</v>
      </c>
      <c r="F92" s="182"/>
      <c r="G92" s="182"/>
      <c r="H92" s="102">
        <f>H67*((1+H$84)^H$86)</f>
        <v>0</v>
      </c>
    </row>
    <row r="93" spans="1:8" s="4" customFormat="1" x14ac:dyDescent="0.35">
      <c r="A93" s="180"/>
      <c r="B93" s="180"/>
      <c r="C93" s="180"/>
      <c r="D93" s="180"/>
      <c r="E93" s="180" t="s">
        <v>81</v>
      </c>
      <c r="F93" s="182"/>
      <c r="G93" s="182"/>
      <c r="H93" s="102">
        <f>H70*((1+H$84)^H$86)</f>
        <v>0</v>
      </c>
    </row>
    <row r="94" spans="1:8" s="4" customFormat="1" x14ac:dyDescent="0.35">
      <c r="A94" s="180"/>
      <c r="B94" s="180"/>
      <c r="C94" s="180"/>
      <c r="D94" s="180"/>
      <c r="E94" s="180"/>
      <c r="F94" s="182"/>
      <c r="G94" s="182"/>
    </row>
    <row r="95" spans="1:8" s="4" customFormat="1" x14ac:dyDescent="0.35">
      <c r="A95" s="180"/>
      <c r="B95" s="180"/>
      <c r="C95" s="180"/>
      <c r="D95" s="181" t="s">
        <v>200</v>
      </c>
      <c r="E95" s="180"/>
      <c r="F95" s="182"/>
      <c r="G95" s="182"/>
    </row>
    <row r="96" spans="1:8" s="4" customFormat="1" x14ac:dyDescent="0.35">
      <c r="A96" s="180"/>
      <c r="B96" s="180"/>
      <c r="C96" s="180"/>
      <c r="D96" s="180"/>
      <c r="E96" s="180" t="s">
        <v>75</v>
      </c>
      <c r="F96" s="182"/>
      <c r="G96" s="182"/>
      <c r="H96" s="111">
        <f>H68*((1+H$85)^H$86)</f>
        <v>0</v>
      </c>
    </row>
    <row r="97" spans="1:9" s="4" customFormat="1" x14ac:dyDescent="0.35">
      <c r="A97" s="180"/>
      <c r="B97" s="180"/>
      <c r="C97" s="180"/>
      <c r="D97" s="180"/>
      <c r="E97" s="180" t="s">
        <v>77</v>
      </c>
      <c r="F97" s="182"/>
      <c r="G97" s="182"/>
      <c r="H97" s="111">
        <f>H69*((1+H$85)^H$86)</f>
        <v>0</v>
      </c>
    </row>
    <row r="98" spans="1:9" s="4" customFormat="1" x14ac:dyDescent="0.35">
      <c r="A98" s="180"/>
      <c r="B98" s="180"/>
      <c r="C98" s="180"/>
      <c r="D98" s="180"/>
      <c r="E98" s="180"/>
      <c r="F98" s="182"/>
      <c r="G98" s="182"/>
    </row>
    <row r="99" spans="1:9" s="4" customFormat="1" x14ac:dyDescent="0.35">
      <c r="A99" s="180"/>
      <c r="B99" s="180"/>
      <c r="C99" s="180"/>
      <c r="D99" s="181" t="s">
        <v>199</v>
      </c>
      <c r="E99" s="180"/>
      <c r="F99" s="182"/>
      <c r="G99" s="182"/>
    </row>
    <row r="100" spans="1:9" s="4" customFormat="1" x14ac:dyDescent="0.35">
      <c r="A100" s="180"/>
      <c r="B100" s="180"/>
      <c r="C100" s="180"/>
      <c r="D100" s="180"/>
      <c r="E100" s="184" t="s">
        <v>63</v>
      </c>
      <c r="F100" s="186"/>
      <c r="G100" s="186" t="str">
        <f>Inputs!$F$15</f>
        <v>£m (2017-18 prices)</v>
      </c>
      <c r="H100" s="115">
        <f>H89</f>
        <v>0</v>
      </c>
    </row>
    <row r="101" spans="1:9" s="4" customFormat="1" x14ac:dyDescent="0.35">
      <c r="A101" s="180"/>
      <c r="B101" s="180"/>
      <c r="C101" s="180"/>
      <c r="D101" s="180"/>
      <c r="E101" s="184" t="s">
        <v>69</v>
      </c>
      <c r="F101" s="186"/>
      <c r="G101" s="186" t="str">
        <f>Inputs!$F$15</f>
        <v>£m (2017-18 prices)</v>
      </c>
      <c r="H101" s="115">
        <f t="shared" ref="H101:H103" si="3">H90</f>
        <v>0</v>
      </c>
    </row>
    <row r="102" spans="1:9" s="4" customFormat="1" x14ac:dyDescent="0.35">
      <c r="A102" s="180"/>
      <c r="B102" s="180"/>
      <c r="C102" s="180"/>
      <c r="D102" s="180"/>
      <c r="E102" s="184" t="s">
        <v>73</v>
      </c>
      <c r="F102" s="186"/>
      <c r="G102" s="186" t="str">
        <f>Inputs!$F$15</f>
        <v>£m (2017-18 prices)</v>
      </c>
      <c r="H102" s="115">
        <f t="shared" si="3"/>
        <v>0</v>
      </c>
    </row>
    <row r="103" spans="1:9" s="4" customFormat="1" x14ac:dyDescent="0.35">
      <c r="A103" s="180"/>
      <c r="B103" s="180"/>
      <c r="C103" s="180"/>
      <c r="D103" s="180"/>
      <c r="E103" s="184" t="s">
        <v>79</v>
      </c>
      <c r="F103" s="186"/>
      <c r="G103" s="186" t="str">
        <f>Inputs!$F$15</f>
        <v>£m (2017-18 prices)</v>
      </c>
      <c r="H103" s="115">
        <f t="shared" si="3"/>
        <v>0</v>
      </c>
    </row>
    <row r="104" spans="1:9" s="4" customFormat="1" x14ac:dyDescent="0.35">
      <c r="A104" s="180"/>
      <c r="B104" s="180"/>
      <c r="C104" s="180"/>
      <c r="D104" s="180"/>
      <c r="E104" s="184" t="s">
        <v>75</v>
      </c>
      <c r="F104" s="186"/>
      <c r="G104" s="186" t="str">
        <f>Inputs!$F$15</f>
        <v>£m (2017-18 prices)</v>
      </c>
      <c r="H104" s="115">
        <f>H96</f>
        <v>0</v>
      </c>
    </row>
    <row r="105" spans="1:9" s="4" customFormat="1" x14ac:dyDescent="0.35">
      <c r="A105" s="180"/>
      <c r="B105" s="180"/>
      <c r="C105" s="180"/>
      <c r="D105" s="180"/>
      <c r="E105" s="184" t="s">
        <v>77</v>
      </c>
      <c r="F105" s="186"/>
      <c r="G105" s="186" t="str">
        <f>Inputs!$F$15</f>
        <v>£m (2017-18 prices)</v>
      </c>
      <c r="H105" s="115">
        <f>H97</f>
        <v>0</v>
      </c>
    </row>
    <row r="106" spans="1:9" s="4" customFormat="1" x14ac:dyDescent="0.35">
      <c r="A106" s="180"/>
      <c r="B106" s="180"/>
      <c r="C106" s="180"/>
      <c r="D106" s="180"/>
      <c r="E106" s="184" t="s">
        <v>81</v>
      </c>
      <c r="F106" s="186"/>
      <c r="G106" s="186" t="str">
        <f>Inputs!$F$15</f>
        <v>£m (2017-18 prices)</v>
      </c>
      <c r="H106" s="115">
        <f>H93</f>
        <v>0</v>
      </c>
    </row>
    <row r="107" spans="1:9" s="4" customFormat="1" x14ac:dyDescent="0.35">
      <c r="A107" s="180"/>
      <c r="B107" s="180"/>
      <c r="C107" s="180"/>
      <c r="D107" s="180"/>
      <c r="E107" s="180"/>
      <c r="F107" s="182"/>
      <c r="G107" s="182"/>
    </row>
    <row r="108" spans="1:9" s="9" customFormat="1" ht="13.15" x14ac:dyDescent="0.35">
      <c r="A108" s="84" t="s">
        <v>201</v>
      </c>
      <c r="B108" s="175"/>
      <c r="C108" s="175"/>
      <c r="D108" s="176"/>
      <c r="E108" s="87"/>
      <c r="F108" s="96"/>
      <c r="G108" s="96"/>
      <c r="H108" s="89"/>
      <c r="I108" s="88"/>
    </row>
    <row r="109" spans="1:9" s="4" customFormat="1" x14ac:dyDescent="0.35">
      <c r="A109" s="180"/>
      <c r="B109" s="180"/>
      <c r="C109" s="180"/>
      <c r="D109" s="180"/>
      <c r="E109" s="180"/>
      <c r="F109" s="182"/>
      <c r="G109" s="182"/>
    </row>
    <row r="110" spans="1:9" x14ac:dyDescent="0.35">
      <c r="D110" s="169" t="str">
        <f>D72</f>
        <v>Payments after abatements and deferrals</v>
      </c>
    </row>
    <row r="111" spans="1:9" s="150" customFormat="1" x14ac:dyDescent="0.35">
      <c r="A111" s="187"/>
      <c r="B111" s="187"/>
      <c r="C111" s="187"/>
      <c r="D111" s="187"/>
      <c r="E111" s="187" t="str">
        <f>E73</f>
        <v>Water resources</v>
      </c>
      <c r="F111" s="187"/>
      <c r="G111" s="187" t="str">
        <f>G73</f>
        <v>£m (2017-18 prices)</v>
      </c>
      <c r="H111" s="151">
        <f>H73</f>
        <v>0</v>
      </c>
    </row>
    <row r="112" spans="1:9" s="150" customFormat="1" x14ac:dyDescent="0.35">
      <c r="A112" s="187"/>
      <c r="B112" s="187"/>
      <c r="C112" s="187"/>
      <c r="D112" s="187"/>
      <c r="E112" s="187" t="str">
        <f t="shared" ref="E112:H117" si="4">E74</f>
        <v>Water network plus</v>
      </c>
      <c r="F112" s="187"/>
      <c r="G112" s="187" t="str">
        <f t="shared" si="4"/>
        <v>£m (2017-18 prices)</v>
      </c>
      <c r="H112" s="151">
        <f t="shared" si="4"/>
        <v>0</v>
      </c>
    </row>
    <row r="113" spans="1:9" s="150" customFormat="1" x14ac:dyDescent="0.35">
      <c r="A113" s="187"/>
      <c r="B113" s="187"/>
      <c r="C113" s="187"/>
      <c r="D113" s="187"/>
      <c r="E113" s="187" t="str">
        <f t="shared" si="4"/>
        <v>Wastewater network plus</v>
      </c>
      <c r="F113" s="187"/>
      <c r="G113" s="187" t="str">
        <f t="shared" si="4"/>
        <v>£m (2017-18 prices)</v>
      </c>
      <c r="H113" s="151">
        <f t="shared" si="4"/>
        <v>0</v>
      </c>
    </row>
    <row r="114" spans="1:9" s="150" customFormat="1" x14ac:dyDescent="0.35">
      <c r="A114" s="187"/>
      <c r="B114" s="187"/>
      <c r="C114" s="187"/>
      <c r="D114" s="187"/>
      <c r="E114" s="187" t="str">
        <f t="shared" si="4"/>
        <v>Bioresources (sludge)</v>
      </c>
      <c r="F114" s="187"/>
      <c r="G114" s="187" t="str">
        <f t="shared" si="4"/>
        <v>£m (2017-18 prices)</v>
      </c>
      <c r="H114" s="151">
        <f t="shared" si="4"/>
        <v>0</v>
      </c>
    </row>
    <row r="115" spans="1:9" s="150" customFormat="1" x14ac:dyDescent="0.35">
      <c r="A115" s="187"/>
      <c r="B115" s="187"/>
      <c r="C115" s="187"/>
      <c r="D115" s="187"/>
      <c r="E115" s="187" t="str">
        <f t="shared" si="4"/>
        <v>Residential retail</v>
      </c>
      <c r="F115" s="187"/>
      <c r="G115" s="187" t="str">
        <f t="shared" si="4"/>
        <v>£m (2017-18 prices)</v>
      </c>
      <c r="H115" s="151">
        <f t="shared" si="4"/>
        <v>0</v>
      </c>
    </row>
    <row r="116" spans="1:9" s="150" customFormat="1" x14ac:dyDescent="0.35">
      <c r="A116" s="187"/>
      <c r="B116" s="187"/>
      <c r="C116" s="187"/>
      <c r="D116" s="187"/>
      <c r="E116" s="187" t="str">
        <f t="shared" si="4"/>
        <v>Business retail</v>
      </c>
      <c r="F116" s="187"/>
      <c r="G116" s="187" t="str">
        <f t="shared" si="4"/>
        <v>£m (2017-18 prices)</v>
      </c>
      <c r="H116" s="151">
        <f t="shared" si="4"/>
        <v>0</v>
      </c>
    </row>
    <row r="117" spans="1:9" s="150" customFormat="1" x14ac:dyDescent="0.35">
      <c r="A117" s="187"/>
      <c r="B117" s="187"/>
      <c r="C117" s="187"/>
      <c r="D117" s="187"/>
      <c r="E117" s="187" t="str">
        <f t="shared" si="4"/>
        <v>Dummy control</v>
      </c>
      <c r="F117" s="187"/>
      <c r="G117" s="187" t="str">
        <f t="shared" si="4"/>
        <v>£m (2017-18 prices)</v>
      </c>
      <c r="H117" s="151">
        <f t="shared" si="4"/>
        <v>0</v>
      </c>
    </row>
    <row r="119" spans="1:9" s="34" customFormat="1" ht="13.15" x14ac:dyDescent="0.35">
      <c r="A119" s="139" t="s">
        <v>83</v>
      </c>
      <c r="B119" s="188"/>
      <c r="C119" s="189"/>
      <c r="D119" s="190"/>
      <c r="E119" s="191"/>
      <c r="F119" s="191"/>
      <c r="G119" s="191"/>
      <c r="H119" s="3"/>
      <c r="I119" s="3"/>
    </row>
  </sheetData>
  <conditionalFormatting sqref="H8:H119">
    <cfRule type="cellIs" dxfId="30" priority="1" operator="equal">
      <formula>0</formula>
    </cfRule>
  </conditionalFormatting>
  <printOptions headings="1"/>
  <pageMargins left="0.7" right="0.7" top="0.75" bottom="0.75" header="0.3" footer="0.3"/>
  <pageSetup paperSize="9" scale="31" orientation="landscape" blackAndWhite="1" r:id="rId1"/>
  <headerFooter>
    <oddHeader xml:space="preserve">&amp;L&amp;F &amp;CSheet: &amp;A &amp;ROFFICIAL </oddHeader>
    <oddFooter xml:space="preserve">&amp;L&amp;D at &amp;T &amp;C&amp;P of &amp;N &amp;ROfwat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 summaryRight="0"/>
    <pageSetUpPr fitToPage="1"/>
  </sheetPr>
  <dimension ref="A1:T105"/>
  <sheetViews>
    <sheetView view="pageBreakPreview" zoomScale="60" zoomScaleNormal="100" workbookViewId="0"/>
  </sheetViews>
  <sheetFormatPr defaultColWidth="0" defaultRowHeight="12.75" zeroHeight="1" x14ac:dyDescent="0.35"/>
  <cols>
    <col min="1" max="1" width="1.625" style="126" customWidth="1"/>
    <col min="2" max="2" width="1.625" style="205" customWidth="1"/>
    <col min="3" max="3" width="1.625" style="128" customWidth="1"/>
    <col min="4" max="4" width="1.625" style="117" customWidth="1"/>
    <col min="5" max="5" width="48.875" style="117" bestFit="1" customWidth="1"/>
    <col min="6" max="7" width="15.625" style="117" customWidth="1"/>
    <col min="8" max="8" width="15.625" style="34" customWidth="1"/>
    <col min="9" max="9" width="2.625" style="34" customWidth="1"/>
    <col min="10" max="20" width="9.625" style="34" customWidth="1"/>
    <col min="21" max="16384" width="9.625" style="34" hidden="1"/>
  </cols>
  <sheetData>
    <row r="1" spans="1:20" s="135" customFormat="1" ht="29.25" x14ac:dyDescent="0.35">
      <c r="A1" s="194" t="str">
        <f ca="1" xml:space="preserve"> RIGHT(CELL("filename", $A$1), LEN(CELL("filename", $A$1)) - SEARCH("]", CELL("filename", $A$1)))</f>
        <v>Water resources</v>
      </c>
      <c r="B1" s="195"/>
      <c r="C1" s="196"/>
      <c r="D1" s="192"/>
      <c r="E1" s="192"/>
      <c r="F1" s="192"/>
      <c r="G1" s="192"/>
      <c r="H1" s="92">
        <f>Inputs!F9</f>
        <v>0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s="18" customFormat="1" ht="13.15" x14ac:dyDescent="0.35">
      <c r="A2" s="197"/>
      <c r="B2" s="198"/>
      <c r="C2" s="199"/>
      <c r="D2" s="200"/>
      <c r="E2" s="167" t="str">
        <f>Time!E$22</f>
        <v>Model Period END</v>
      </c>
      <c r="F2" s="167"/>
      <c r="G2" s="167"/>
      <c r="H2" s="17"/>
      <c r="I2" s="17"/>
      <c r="J2" s="17">
        <f>Time!J$22</f>
        <v>42460</v>
      </c>
      <c r="K2" s="17">
        <f>Time!K$22</f>
        <v>42825</v>
      </c>
      <c r="L2" s="17">
        <f>Time!L$22</f>
        <v>43190</v>
      </c>
      <c r="M2" s="17">
        <f>Time!M$22</f>
        <v>43555</v>
      </c>
      <c r="N2" s="17">
        <f>Time!N$22</f>
        <v>43921</v>
      </c>
      <c r="O2" s="17">
        <f>Time!O$22</f>
        <v>44286</v>
      </c>
      <c r="P2" s="17">
        <f>Time!P$22</f>
        <v>44651</v>
      </c>
      <c r="Q2" s="17">
        <f>Time!Q$22</f>
        <v>45016</v>
      </c>
      <c r="R2" s="17">
        <f>Time!R$22</f>
        <v>45382</v>
      </c>
      <c r="S2" s="17">
        <f>Time!S$22</f>
        <v>45747</v>
      </c>
      <c r="T2" s="17">
        <f>Time!T$22</f>
        <v>46112</v>
      </c>
    </row>
    <row r="3" spans="1:20" s="23" customFormat="1" ht="13.15" x14ac:dyDescent="0.35">
      <c r="A3" s="193"/>
      <c r="B3" s="198"/>
      <c r="C3" s="199"/>
      <c r="D3" s="200"/>
      <c r="E3" s="167" t="str">
        <f>Time!E$58</f>
        <v>Pre Forecast vs Forecast</v>
      </c>
      <c r="F3" s="167"/>
      <c r="G3" s="167"/>
      <c r="H3" s="17"/>
      <c r="I3" s="17"/>
      <c r="J3" s="1" t="str">
        <f>Time!J$58</f>
        <v>Pre Fcst</v>
      </c>
      <c r="K3" s="1" t="str">
        <f>Time!K$58</f>
        <v>Pre Fcst</v>
      </c>
      <c r="L3" s="1" t="str">
        <f>Time!L$58</f>
        <v>Pre Fcst</v>
      </c>
      <c r="M3" s="1" t="str">
        <f>Time!M$58</f>
        <v>Pre Fcst</v>
      </c>
      <c r="N3" s="1" t="str">
        <f>Time!N$58</f>
        <v>Pre Fcst</v>
      </c>
      <c r="O3" s="1" t="str">
        <f>Time!O$58</f>
        <v>Forecast</v>
      </c>
      <c r="P3" s="1" t="str">
        <f>Time!P$58</f>
        <v>Forecast</v>
      </c>
      <c r="Q3" s="1" t="str">
        <f>Time!Q$58</f>
        <v>Forecast</v>
      </c>
      <c r="R3" s="1" t="str">
        <f>Time!R$58</f>
        <v>Forecast</v>
      </c>
      <c r="S3" s="1" t="str">
        <f>Time!S$58</f>
        <v>Forecast</v>
      </c>
      <c r="T3" s="1" t="str">
        <f>Time!T$58</f>
        <v>Post-Fcst</v>
      </c>
    </row>
    <row r="4" spans="1:20" s="166" customFormat="1" ht="13.15" x14ac:dyDescent="0.35">
      <c r="A4" s="193"/>
      <c r="B4" s="201"/>
      <c r="C4" s="199"/>
      <c r="D4" s="202"/>
      <c r="E4" s="168" t="str">
        <f>Time!E$85</f>
        <v>Financial Year Ending</v>
      </c>
      <c r="F4" s="168"/>
      <c r="G4" s="168"/>
      <c r="H4" s="164"/>
      <c r="I4" s="164"/>
      <c r="J4" s="165">
        <f>Time!J$85</f>
        <v>2016</v>
      </c>
      <c r="K4" s="165">
        <f>Time!K$85</f>
        <v>2017</v>
      </c>
      <c r="L4" s="165">
        <f>Time!L$85</f>
        <v>2018</v>
      </c>
      <c r="M4" s="165">
        <f>Time!M$85</f>
        <v>2019</v>
      </c>
      <c r="N4" s="165">
        <f>Time!N$85</f>
        <v>2020</v>
      </c>
      <c r="O4" s="165">
        <f>Time!O$85</f>
        <v>2021</v>
      </c>
      <c r="P4" s="165">
        <f>Time!P$85</f>
        <v>2022</v>
      </c>
      <c r="Q4" s="165">
        <f>Time!Q$85</f>
        <v>2023</v>
      </c>
      <c r="R4" s="165">
        <f>Time!R$85</f>
        <v>2024</v>
      </c>
      <c r="S4" s="165">
        <f>Time!S$85</f>
        <v>2025</v>
      </c>
      <c r="T4" s="165">
        <f>Time!T$85</f>
        <v>2026</v>
      </c>
    </row>
    <row r="5" spans="1:20" s="33" customFormat="1" ht="13.15" x14ac:dyDescent="0.35">
      <c r="A5" s="193"/>
      <c r="B5" s="198"/>
      <c r="C5" s="199"/>
      <c r="D5" s="200"/>
      <c r="E5" s="168" t="str">
        <f>Time!E$10</f>
        <v>Model column counter</v>
      </c>
      <c r="F5" s="193" t="s">
        <v>84</v>
      </c>
      <c r="G5" s="193" t="s">
        <v>85</v>
      </c>
      <c r="H5" s="23" t="s">
        <v>86</v>
      </c>
      <c r="I5" s="28"/>
      <c r="J5" s="28">
        <f>Time!J$10</f>
        <v>1</v>
      </c>
      <c r="K5" s="28">
        <f>Time!K$10</f>
        <v>2</v>
      </c>
      <c r="L5" s="28">
        <f>Time!L$10</f>
        <v>3</v>
      </c>
      <c r="M5" s="28">
        <f>Time!M$10</f>
        <v>4</v>
      </c>
      <c r="N5" s="28">
        <f>Time!N$10</f>
        <v>5</v>
      </c>
      <c r="O5" s="28">
        <f>Time!O$10</f>
        <v>6</v>
      </c>
      <c r="P5" s="28">
        <f>Time!P$10</f>
        <v>7</v>
      </c>
      <c r="Q5" s="28">
        <f>Time!Q$10</f>
        <v>8</v>
      </c>
      <c r="R5" s="28">
        <f>Time!R$10</f>
        <v>9</v>
      </c>
      <c r="S5" s="28">
        <f>Time!S$10</f>
        <v>10</v>
      </c>
      <c r="T5" s="28">
        <f>Time!T$10</f>
        <v>11</v>
      </c>
    </row>
    <row r="6" spans="1:20" s="33" customFormat="1" ht="13.15" x14ac:dyDescent="0.35">
      <c r="A6" s="193"/>
      <c r="B6" s="198"/>
      <c r="C6" s="199"/>
      <c r="D6" s="200"/>
      <c r="E6" s="168"/>
      <c r="F6" s="193"/>
      <c r="G6" s="193"/>
      <c r="H6" s="23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227" customFormat="1" ht="13.15" x14ac:dyDescent="0.35">
      <c r="A7" s="224" t="s">
        <v>95</v>
      </c>
      <c r="B7" s="225"/>
      <c r="C7" s="225"/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</row>
    <row r="8" spans="1:20" s="227" customFormat="1" ht="13.15" x14ac:dyDescent="0.35">
      <c r="A8" s="228"/>
      <c r="B8" s="229"/>
      <c r="C8" s="230"/>
    </row>
    <row r="9" spans="1:20" s="227" customFormat="1" ht="13.15" x14ac:dyDescent="0.35">
      <c r="A9" s="228"/>
      <c r="B9" s="229" t="s">
        <v>202</v>
      </c>
      <c r="C9" s="230"/>
    </row>
    <row r="10" spans="1:20" s="233" customFormat="1" ht="13.15" x14ac:dyDescent="0.35">
      <c r="A10" s="231"/>
      <c r="B10" s="232"/>
      <c r="E10" s="233" t="str">
        <f>'Abatements and deferrals'!E111</f>
        <v>Water resources</v>
      </c>
      <c r="G10" s="233" t="str">
        <f>'Abatements and deferrals'!G111</f>
        <v>£m (2017-18 prices)</v>
      </c>
      <c r="H10" s="233">
        <f>'Abatements and deferrals'!H111</f>
        <v>0</v>
      </c>
    </row>
    <row r="11" spans="1:20" s="227" customFormat="1" ht="13.15" x14ac:dyDescent="0.35">
      <c r="A11" s="228"/>
      <c r="B11" s="229"/>
      <c r="C11" s="230"/>
      <c r="E11" s="233" t="str">
        <f>'Abatements and deferrals'!E112</f>
        <v>Water network plus</v>
      </c>
      <c r="F11" s="233"/>
      <c r="G11" s="233" t="str">
        <f>'Abatements and deferrals'!G112</f>
        <v>£m (2017-18 prices)</v>
      </c>
      <c r="H11" s="233">
        <f>'Abatements and deferrals'!H112</f>
        <v>0</v>
      </c>
    </row>
    <row r="12" spans="1:20" s="227" customFormat="1" ht="13.15" x14ac:dyDescent="0.35">
      <c r="A12" s="228"/>
      <c r="B12" s="229"/>
      <c r="C12" s="230"/>
      <c r="E12" s="233" t="str">
        <f>'Abatements and deferrals'!E113</f>
        <v>Wastewater network plus</v>
      </c>
      <c r="F12" s="233"/>
      <c r="G12" s="233" t="str">
        <f>'Abatements and deferrals'!G113</f>
        <v>£m (2017-18 prices)</v>
      </c>
      <c r="H12" s="233">
        <f>'Abatements and deferrals'!H113</f>
        <v>0</v>
      </c>
    </row>
    <row r="13" spans="1:20" s="227" customFormat="1" ht="13.15" x14ac:dyDescent="0.35">
      <c r="A13" s="228"/>
      <c r="B13" s="229"/>
      <c r="C13" s="230"/>
      <c r="E13" s="233" t="str">
        <f>'Abatements and deferrals'!E114</f>
        <v>Bioresources (sludge)</v>
      </c>
      <c r="F13" s="233"/>
      <c r="G13" s="233" t="str">
        <f>'Abatements and deferrals'!G114</f>
        <v>£m (2017-18 prices)</v>
      </c>
      <c r="H13" s="233">
        <f>'Abatements and deferrals'!H114</f>
        <v>0</v>
      </c>
    </row>
    <row r="14" spans="1:20" s="227" customFormat="1" ht="13.15" x14ac:dyDescent="0.35">
      <c r="A14" s="228"/>
      <c r="B14" s="229"/>
      <c r="C14" s="230"/>
      <c r="E14" s="233" t="str">
        <f>'Abatements and deferrals'!E115</f>
        <v>Residential retail</v>
      </c>
      <c r="F14" s="233"/>
      <c r="G14" s="233" t="str">
        <f>'Abatements and deferrals'!G115</f>
        <v>£m (2017-18 prices)</v>
      </c>
      <c r="H14" s="233">
        <f>'Abatements and deferrals'!H115</f>
        <v>0</v>
      </c>
    </row>
    <row r="15" spans="1:20" s="227" customFormat="1" ht="13.15" x14ac:dyDescent="0.35">
      <c r="A15" s="228"/>
      <c r="B15" s="229"/>
      <c r="C15" s="230"/>
      <c r="E15" s="233" t="str">
        <f>'Abatements and deferrals'!E116</f>
        <v>Business retail</v>
      </c>
      <c r="F15" s="233"/>
      <c r="G15" s="233" t="str">
        <f>'Abatements and deferrals'!G116</f>
        <v>£m (2017-18 prices)</v>
      </c>
      <c r="H15" s="233">
        <f>'Abatements and deferrals'!H116</f>
        <v>0</v>
      </c>
    </row>
    <row r="16" spans="1:20" s="227" customFormat="1" ht="13.15" x14ac:dyDescent="0.35">
      <c r="A16" s="228"/>
      <c r="B16" s="229"/>
      <c r="C16" s="230"/>
      <c r="E16" s="233" t="str">
        <f>'Abatements and deferrals'!E117</f>
        <v>Dummy control</v>
      </c>
      <c r="F16" s="233"/>
      <c r="G16" s="233" t="str">
        <f>'Abatements and deferrals'!G117</f>
        <v>£m (2017-18 prices)</v>
      </c>
      <c r="H16" s="233">
        <f>'Abatements and deferrals'!H117</f>
        <v>0</v>
      </c>
    </row>
    <row r="17" spans="1:20" s="227" customFormat="1" ht="13.15" x14ac:dyDescent="0.35">
      <c r="A17" s="228"/>
      <c r="B17" s="229"/>
      <c r="C17" s="230"/>
      <c r="E17" s="233"/>
    </row>
    <row r="18" spans="1:20" s="227" customFormat="1" ht="13.15" x14ac:dyDescent="0.35">
      <c r="A18" s="228"/>
      <c r="B18" s="229"/>
      <c r="E18" s="227" t="s">
        <v>203</v>
      </c>
      <c r="F18" s="234" t="str">
        <f ca="1">A1</f>
        <v>Water resources</v>
      </c>
    </row>
    <row r="19" spans="1:20" s="227" customFormat="1" ht="13.15" x14ac:dyDescent="0.35">
      <c r="A19" s="228"/>
      <c r="B19" s="229"/>
      <c r="C19" s="230"/>
      <c r="E19" s="227" t="s">
        <v>204</v>
      </c>
      <c r="G19" s="227" t="str">
        <f ca="1">VLOOKUP($F18,$E$10:$H$16,3,FALSE)</f>
        <v>£m (2017-18 prices)</v>
      </c>
      <c r="H19" s="227">
        <f ca="1">VLOOKUP($F18,$E$10:$H$16,4,FALSE)</f>
        <v>0</v>
      </c>
    </row>
    <row r="20" spans="1:20" s="227" customFormat="1" ht="13.15" x14ac:dyDescent="0.35">
      <c r="A20" s="228"/>
      <c r="B20" s="229"/>
      <c r="C20" s="230"/>
    </row>
    <row r="21" spans="1:20" s="227" customFormat="1" ht="13.15" x14ac:dyDescent="0.35">
      <c r="A21" s="228"/>
      <c r="B21" s="229" t="s">
        <v>205</v>
      </c>
      <c r="C21" s="230"/>
    </row>
    <row r="22" spans="1:20" s="227" customFormat="1" ht="13.15" x14ac:dyDescent="0.35">
      <c r="A22" s="228"/>
      <c r="B22" s="229"/>
      <c r="C22" s="230"/>
    </row>
    <row r="23" spans="1:20" s="233" customFormat="1" ht="13.15" x14ac:dyDescent="0.35">
      <c r="A23" s="231"/>
      <c r="B23" s="232"/>
      <c r="E23" s="233" t="str">
        <f xml:space="preserve"> Inputs!E$12</f>
        <v>Reporting year</v>
      </c>
      <c r="F23" s="233">
        <f xml:space="preserve"> Inputs!F$12</f>
        <v>0</v>
      </c>
      <c r="G23" s="233" t="str">
        <f xml:space="preserve"> Inputs!G$12</f>
        <v>Financial year</v>
      </c>
    </row>
    <row r="24" spans="1:20" s="227" customFormat="1" ht="13.15" x14ac:dyDescent="0.35">
      <c r="A24" s="228"/>
      <c r="B24" s="229"/>
      <c r="C24" s="230"/>
      <c r="E24" s="227" t="s">
        <v>206</v>
      </c>
      <c r="F24" s="331">
        <f>_xlfn.NUMBERVALUE(CONCATENATE(20,RIGHT(F23,2)))</f>
        <v>200</v>
      </c>
    </row>
    <row r="25" spans="1:20" s="233" customFormat="1" ht="13.15" x14ac:dyDescent="0.35">
      <c r="A25" s="231"/>
      <c r="B25" s="232"/>
      <c r="E25" s="246" t="str">
        <f xml:space="preserve"> Time!E$85</f>
        <v>Financial Year Ending</v>
      </c>
      <c r="F25" s="244">
        <f xml:space="preserve"> Time!F$85</f>
        <v>0</v>
      </c>
      <c r="G25" s="244" t="str">
        <f xml:space="preserve"> Time!G$85</f>
        <v>year #</v>
      </c>
      <c r="H25" s="244">
        <f xml:space="preserve"> Time!H$85</f>
        <v>0</v>
      </c>
      <c r="I25" s="244">
        <f xml:space="preserve"> Time!I$85</f>
        <v>0</v>
      </c>
      <c r="J25" s="330">
        <f xml:space="preserve"> Time!J$85</f>
        <v>2016</v>
      </c>
      <c r="K25" s="330">
        <f xml:space="preserve"> Time!K$85</f>
        <v>2017</v>
      </c>
      <c r="L25" s="330">
        <f xml:space="preserve"> Time!L$85</f>
        <v>2018</v>
      </c>
      <c r="M25" s="330">
        <f xml:space="preserve"> Time!M$85</f>
        <v>2019</v>
      </c>
      <c r="N25" s="330">
        <f xml:space="preserve"> Time!N$85</f>
        <v>2020</v>
      </c>
      <c r="O25" s="330">
        <f xml:space="preserve"> Time!O$85</f>
        <v>2021</v>
      </c>
      <c r="P25" s="330">
        <f xml:space="preserve"> Time!P$85</f>
        <v>2022</v>
      </c>
      <c r="Q25" s="330">
        <f xml:space="preserve"> Time!Q$85</f>
        <v>2023</v>
      </c>
      <c r="R25" s="330">
        <f xml:space="preserve"> Time!R$85</f>
        <v>2024</v>
      </c>
      <c r="S25" s="330">
        <f xml:space="preserve"> Time!S$85</f>
        <v>2025</v>
      </c>
      <c r="T25" s="330">
        <f xml:space="preserve"> Time!T$85</f>
        <v>2026</v>
      </c>
    </row>
    <row r="26" spans="1:20" s="227" customFormat="1" ht="13.15" x14ac:dyDescent="0.35">
      <c r="A26" s="228"/>
      <c r="B26" s="229"/>
      <c r="C26" s="230"/>
      <c r="E26" s="227" t="s">
        <v>207</v>
      </c>
      <c r="G26" s="227" t="s">
        <v>158</v>
      </c>
      <c r="J26" s="245">
        <f xml:space="preserve"> IF( J25 = $F24, 1, 0 )</f>
        <v>0</v>
      </c>
      <c r="K26" s="245">
        <f t="shared" ref="K26:T26" si="0" xml:space="preserve"> IF( K25 = $F24, 1, 0 )</f>
        <v>0</v>
      </c>
      <c r="L26" s="245">
        <f t="shared" si="0"/>
        <v>0</v>
      </c>
      <c r="M26" s="245">
        <f t="shared" si="0"/>
        <v>0</v>
      </c>
      <c r="N26" s="245">
        <f t="shared" si="0"/>
        <v>0</v>
      </c>
      <c r="O26" s="245">
        <f t="shared" si="0"/>
        <v>0</v>
      </c>
      <c r="P26" s="245">
        <f t="shared" si="0"/>
        <v>0</v>
      </c>
      <c r="Q26" s="245">
        <f t="shared" si="0"/>
        <v>0</v>
      </c>
      <c r="R26" s="245">
        <f t="shared" si="0"/>
        <v>0</v>
      </c>
      <c r="S26" s="245">
        <f t="shared" si="0"/>
        <v>0</v>
      </c>
      <c r="T26" s="245">
        <f t="shared" si="0"/>
        <v>0</v>
      </c>
    </row>
    <row r="27" spans="1:20" s="227" customFormat="1" ht="13.15" x14ac:dyDescent="0.35">
      <c r="A27" s="228"/>
      <c r="B27" s="229"/>
      <c r="C27" s="230"/>
      <c r="E27" s="227" t="s">
        <v>208</v>
      </c>
      <c r="G27" s="227" t="s">
        <v>158</v>
      </c>
      <c r="J27" s="245">
        <f xml:space="preserve"> IF( H26 = 1, 1, 0 )</f>
        <v>0</v>
      </c>
      <c r="K27" s="245">
        <f t="shared" ref="K27:T27" si="1" xml:space="preserve"> IF( I26 = 1, 1, 0 )</f>
        <v>0</v>
      </c>
      <c r="L27" s="245">
        <f t="shared" si="1"/>
        <v>0</v>
      </c>
      <c r="M27" s="245">
        <f t="shared" si="1"/>
        <v>0</v>
      </c>
      <c r="N27" s="245">
        <f t="shared" si="1"/>
        <v>0</v>
      </c>
      <c r="O27" s="245">
        <f t="shared" si="1"/>
        <v>0</v>
      </c>
      <c r="P27" s="245">
        <f t="shared" si="1"/>
        <v>0</v>
      </c>
      <c r="Q27" s="245">
        <f t="shared" si="1"/>
        <v>0</v>
      </c>
      <c r="R27" s="245">
        <f t="shared" si="1"/>
        <v>0</v>
      </c>
      <c r="S27" s="245">
        <f t="shared" si="1"/>
        <v>0</v>
      </c>
      <c r="T27" s="245">
        <f t="shared" si="1"/>
        <v>0</v>
      </c>
    </row>
    <row r="28" spans="1:20" s="227" customFormat="1" ht="13.15" x14ac:dyDescent="0.35">
      <c r="A28" s="228"/>
      <c r="B28" s="229"/>
      <c r="C28" s="230"/>
    </row>
    <row r="29" spans="1:20" s="227" customFormat="1" ht="13.15" x14ac:dyDescent="0.35">
      <c r="A29" s="228"/>
      <c r="B29" s="229"/>
      <c r="C29" s="230"/>
      <c r="E29" s="227" t="str">
        <f xml:space="preserve"> E19</f>
        <v>ODI payments for this price control</v>
      </c>
      <c r="G29" s="227" t="str">
        <f ca="1" xml:space="preserve"> G19</f>
        <v>£m (2017-18 prices)</v>
      </c>
      <c r="J29" s="227">
        <f xml:space="preserve"> IF( J27 = 1, $H19, 0 )</f>
        <v>0</v>
      </c>
      <c r="K29" s="227">
        <f t="shared" ref="K29:T29" si="2" xml:space="preserve"> IF( K27 = 1, $H19, 0 )</f>
        <v>0</v>
      </c>
      <c r="L29" s="227">
        <f t="shared" si="2"/>
        <v>0</v>
      </c>
      <c r="M29" s="227">
        <f t="shared" si="2"/>
        <v>0</v>
      </c>
      <c r="N29" s="227">
        <f t="shared" si="2"/>
        <v>0</v>
      </c>
      <c r="O29" s="227">
        <f t="shared" si="2"/>
        <v>0</v>
      </c>
      <c r="P29" s="227">
        <f t="shared" si="2"/>
        <v>0</v>
      </c>
      <c r="Q29" s="227">
        <f t="shared" si="2"/>
        <v>0</v>
      </c>
      <c r="R29" s="227">
        <f t="shared" si="2"/>
        <v>0</v>
      </c>
      <c r="S29" s="227">
        <f t="shared" si="2"/>
        <v>0</v>
      </c>
      <c r="T29" s="227">
        <f t="shared" si="2"/>
        <v>0</v>
      </c>
    </row>
    <row r="30" spans="1:20" s="227" customFormat="1" ht="13.15" x14ac:dyDescent="0.35">
      <c r="A30" s="228"/>
      <c r="B30" s="229"/>
      <c r="C30" s="230"/>
    </row>
    <row r="31" spans="1:20" s="227" customFormat="1" ht="13.15" x14ac:dyDescent="0.35">
      <c r="A31" s="224" t="s">
        <v>209</v>
      </c>
      <c r="B31" s="225"/>
      <c r="C31" s="225"/>
      <c r="D31" s="225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</row>
    <row r="32" spans="1:20" s="227" customFormat="1" ht="13.15" x14ac:dyDescent="0.35">
      <c r="A32" s="228"/>
      <c r="B32" s="229"/>
      <c r="C32" s="230"/>
    </row>
    <row r="33" spans="1:20" s="227" customFormat="1" ht="13.15" x14ac:dyDescent="0.35">
      <c r="A33" s="228"/>
      <c r="B33" s="229"/>
      <c r="E33" s="233" t="str">
        <f xml:space="preserve"> Inputs!E$78</f>
        <v>Allowed revenue starting point in FD</v>
      </c>
      <c r="F33" s="233">
        <f xml:space="preserve"> Inputs!F$78</f>
        <v>0</v>
      </c>
      <c r="G33" s="233" t="str">
        <f xml:space="preserve"> Inputs!G$78</f>
        <v>£m (nominal)</v>
      </c>
      <c r="H33" s="233">
        <f xml:space="preserve"> Inputs!H$78</f>
        <v>0</v>
      </c>
      <c r="I33" s="233">
        <f xml:space="preserve"> Inputs!I$78</f>
        <v>0</v>
      </c>
      <c r="J33" s="233">
        <f xml:space="preserve"> Inputs!J$78</f>
        <v>0</v>
      </c>
      <c r="K33" s="233">
        <f xml:space="preserve"> Inputs!K$78</f>
        <v>0</v>
      </c>
      <c r="L33" s="233">
        <f xml:space="preserve"> Inputs!L$78</f>
        <v>0</v>
      </c>
      <c r="M33" s="233">
        <f xml:space="preserve"> Inputs!M$78</f>
        <v>0</v>
      </c>
      <c r="N33" s="233">
        <f xml:space="preserve"> Inputs!N$78</f>
        <v>0</v>
      </c>
      <c r="O33" s="233">
        <f xml:space="preserve"> Inputs!O$78</f>
        <v>0</v>
      </c>
      <c r="P33" s="233">
        <f xml:space="preserve"> Inputs!P$78</f>
        <v>0</v>
      </c>
      <c r="Q33" s="233">
        <f xml:space="preserve"> Inputs!Q$78</f>
        <v>0</v>
      </c>
      <c r="R33" s="233">
        <f xml:space="preserve"> Inputs!R$78</f>
        <v>0</v>
      </c>
      <c r="S33" s="233">
        <f xml:space="preserve"> Inputs!S$78</f>
        <v>0</v>
      </c>
      <c r="T33" s="233">
        <f xml:space="preserve"> Inputs!T$78</f>
        <v>0</v>
      </c>
    </row>
    <row r="34" spans="1:20" s="227" customFormat="1" ht="13.15" x14ac:dyDescent="0.35">
      <c r="A34" s="228"/>
      <c r="B34" s="229"/>
      <c r="E34" s="227" t="str">
        <f xml:space="preserve"> E33</f>
        <v>Allowed revenue starting point in FD</v>
      </c>
      <c r="H34" s="227">
        <f xml:space="preserve"> SUM( J33:T33 )</f>
        <v>0</v>
      </c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</row>
    <row r="35" spans="1:20" s="227" customFormat="1" ht="13.15" x14ac:dyDescent="0.35">
      <c r="A35" s="228"/>
      <c r="B35" s="229"/>
      <c r="C35" s="230"/>
      <c r="E35" s="246" t="str">
        <f xml:space="preserve"> Time!E$45</f>
        <v>1st Forecast Period Flag</v>
      </c>
      <c r="F35" s="244">
        <f xml:space="preserve"> Time!F$45</f>
        <v>0</v>
      </c>
      <c r="G35" s="244" t="str">
        <f xml:space="preserve"> Time!G$45</f>
        <v>flag</v>
      </c>
      <c r="H35" s="244">
        <f xml:space="preserve"> Time!H$45</f>
        <v>1</v>
      </c>
      <c r="I35" s="244">
        <f xml:space="preserve"> Time!I$45</f>
        <v>0</v>
      </c>
      <c r="J35" s="244">
        <f xml:space="preserve"> Time!J$45</f>
        <v>0</v>
      </c>
      <c r="K35" s="244">
        <f xml:space="preserve"> Time!K$45</f>
        <v>0</v>
      </c>
      <c r="L35" s="244">
        <f xml:space="preserve"> Time!L$45</f>
        <v>0</v>
      </c>
      <c r="M35" s="244">
        <f xml:space="preserve"> Time!M$45</f>
        <v>0</v>
      </c>
      <c r="N35" s="244">
        <f xml:space="preserve"> Time!N$45</f>
        <v>0</v>
      </c>
      <c r="O35" s="244">
        <f xml:space="preserve"> Time!O$45</f>
        <v>1</v>
      </c>
      <c r="P35" s="244">
        <f xml:space="preserve"> Time!P$45</f>
        <v>0</v>
      </c>
      <c r="Q35" s="244">
        <f xml:space="preserve"> Time!Q$45</f>
        <v>0</v>
      </c>
      <c r="R35" s="244">
        <f xml:space="preserve"> Time!R$45</f>
        <v>0</v>
      </c>
      <c r="S35" s="244">
        <f xml:space="preserve"> Time!S$45</f>
        <v>0</v>
      </c>
      <c r="T35" s="244">
        <f xml:space="preserve"> Time!T$45</f>
        <v>0</v>
      </c>
    </row>
    <row r="36" spans="1:20" s="227" customFormat="1" ht="13.15" x14ac:dyDescent="0.35">
      <c r="A36" s="228"/>
      <c r="B36" s="229"/>
      <c r="E36" s="247" t="str">
        <f xml:space="preserve"> Inputs!E$79</f>
        <v>K factors (last determined)</v>
      </c>
      <c r="F36" s="247">
        <f xml:space="preserve"> Inputs!F$79</f>
        <v>0</v>
      </c>
      <c r="G36" s="247" t="str">
        <f xml:space="preserve"> Inputs!G$79</f>
        <v>Percentage</v>
      </c>
      <c r="H36" s="247">
        <f xml:space="preserve"> Inputs!H$79</f>
        <v>0</v>
      </c>
      <c r="I36" s="247">
        <f xml:space="preserve"> Inputs!I$79</f>
        <v>0</v>
      </c>
      <c r="J36" s="248">
        <f xml:space="preserve"> Inputs!J$79</f>
        <v>0</v>
      </c>
      <c r="K36" s="248">
        <f xml:space="preserve"> Inputs!K$79</f>
        <v>0</v>
      </c>
      <c r="L36" s="248">
        <f xml:space="preserve"> Inputs!L$79</f>
        <v>0</v>
      </c>
      <c r="M36" s="248">
        <f xml:space="preserve"> Inputs!M$79</f>
        <v>0</v>
      </c>
      <c r="N36" s="248">
        <f xml:space="preserve"> Inputs!N$79</f>
        <v>0</v>
      </c>
      <c r="O36" s="248">
        <f xml:space="preserve"> Inputs!O$79</f>
        <v>0</v>
      </c>
      <c r="P36" s="248">
        <f xml:space="preserve"> Inputs!P$79</f>
        <v>0</v>
      </c>
      <c r="Q36" s="248">
        <f xml:space="preserve"> Inputs!Q$79</f>
        <v>0</v>
      </c>
      <c r="R36" s="248">
        <f xml:space="preserve"> Inputs!R$79</f>
        <v>0</v>
      </c>
      <c r="S36" s="248">
        <f xml:space="preserve"> Inputs!S$79</f>
        <v>0</v>
      </c>
      <c r="T36" s="248">
        <f xml:space="preserve"> Inputs!T$79</f>
        <v>0</v>
      </c>
    </row>
    <row r="37" spans="1:20" s="233" customFormat="1" ht="13.15" x14ac:dyDescent="0.35">
      <c r="A37" s="231"/>
      <c r="B37" s="232"/>
      <c r="E37" s="222" t="str">
        <f xml:space="preserve"> Index!E$10</f>
        <v>Annual inflation figures</v>
      </c>
      <c r="F37" s="222">
        <f xml:space="preserve"> Index!F$10</f>
        <v>0</v>
      </c>
      <c r="G37" s="222" t="str">
        <f xml:space="preserve"> Index!G$10</f>
        <v>Percentage</v>
      </c>
      <c r="H37" s="222">
        <f xml:space="preserve"> Index!H$10</f>
        <v>0</v>
      </c>
      <c r="I37" s="222">
        <f xml:space="preserve"> Index!I$10</f>
        <v>0</v>
      </c>
      <c r="J37" s="222">
        <f xml:space="preserve"> Index!J$10</f>
        <v>0</v>
      </c>
      <c r="K37" s="222">
        <f xml:space="preserve"> Index!K$10</f>
        <v>0</v>
      </c>
      <c r="L37" s="222">
        <f xml:space="preserve"> Index!L$10</f>
        <v>3.572786012922835E-2</v>
      </c>
      <c r="M37" s="222">
        <f xml:space="preserve"> Index!M$10</f>
        <v>3.3394495412844227E-2</v>
      </c>
      <c r="N37" s="222">
        <f xml:space="preserve"> Index!N$10</f>
        <v>0</v>
      </c>
      <c r="O37" s="222">
        <f xml:space="preserve"> Index!O$10</f>
        <v>0</v>
      </c>
      <c r="P37" s="222">
        <f xml:space="preserve"> Index!P$10</f>
        <v>0</v>
      </c>
      <c r="Q37" s="222">
        <f xml:space="preserve"> Index!Q$10</f>
        <v>0</v>
      </c>
      <c r="R37" s="222">
        <f xml:space="preserve"> Index!R$10</f>
        <v>0</v>
      </c>
      <c r="S37" s="222">
        <f xml:space="preserve"> Index!S$10</f>
        <v>0</v>
      </c>
      <c r="T37" s="222">
        <f xml:space="preserve"> Index!T$10</f>
        <v>0</v>
      </c>
    </row>
    <row r="38" spans="1:20" s="227" customFormat="1" ht="13.15" x14ac:dyDescent="0.35">
      <c r="A38" s="228"/>
      <c r="B38" s="229"/>
      <c r="E38" s="227" t="s">
        <v>210</v>
      </c>
      <c r="G38" s="227" t="s">
        <v>117</v>
      </c>
      <c r="H38" s="227">
        <f xml:space="preserve"> SUM( J38:T38 )</f>
        <v>0</v>
      </c>
      <c r="J38" s="227">
        <f xml:space="preserve"> IF(J35=1, $H34 * (1+J37+J36), I38 *  (1+J37+J36))</f>
        <v>0</v>
      </c>
      <c r="K38" s="227">
        <f t="shared" ref="K38:T38" si="3" xml:space="preserve"> IF(K35=1, $H34 * (1+K37+K36), J38 *  (1+K37+K36))</f>
        <v>0</v>
      </c>
      <c r="L38" s="227">
        <f t="shared" si="3"/>
        <v>0</v>
      </c>
      <c r="M38" s="227">
        <f t="shared" si="3"/>
        <v>0</v>
      </c>
      <c r="N38" s="227">
        <f t="shared" si="3"/>
        <v>0</v>
      </c>
      <c r="O38" s="227">
        <f t="shared" si="3"/>
        <v>0</v>
      </c>
      <c r="P38" s="227">
        <f xml:space="preserve"> IF(P35=1, $H34 * (1+P37+P36), O38 *  (1+P37+P36))</f>
        <v>0</v>
      </c>
      <c r="Q38" s="227">
        <f xml:space="preserve"> IF(Q35=1, $H34 * (1+Q37+Q36), P38 *  (1+Q37+Q36))</f>
        <v>0</v>
      </c>
      <c r="R38" s="227">
        <f t="shared" si="3"/>
        <v>0</v>
      </c>
      <c r="S38" s="227">
        <f t="shared" si="3"/>
        <v>0</v>
      </c>
      <c r="T38" s="227">
        <f t="shared" si="3"/>
        <v>0</v>
      </c>
    </row>
    <row r="39" spans="1:20" s="227" customFormat="1" ht="13.15" x14ac:dyDescent="0.35">
      <c r="A39" s="228"/>
      <c r="B39" s="229"/>
      <c r="C39" s="230"/>
    </row>
    <row r="40" spans="1:20" s="227" customFormat="1" ht="13.15" x14ac:dyDescent="0.35">
      <c r="A40" s="228"/>
      <c r="B40" s="229" t="s">
        <v>211</v>
      </c>
      <c r="C40" s="230"/>
    </row>
    <row r="41" spans="1:20" s="227" customFormat="1" ht="13.15" x14ac:dyDescent="0.35">
      <c r="A41" s="228"/>
      <c r="B41" s="229"/>
      <c r="E41" s="227" t="str">
        <f xml:space="preserve"> E$29</f>
        <v>ODI payments for this price control</v>
      </c>
      <c r="F41" s="227">
        <f t="shared" ref="F41:T41" si="4" xml:space="preserve"> F$29</f>
        <v>0</v>
      </c>
      <c r="G41" s="227" t="str">
        <f t="shared" ca="1" si="4"/>
        <v>£m (2017-18 prices)</v>
      </c>
      <c r="H41" s="227">
        <f t="shared" si="4"/>
        <v>0</v>
      </c>
      <c r="I41" s="227">
        <f t="shared" si="4"/>
        <v>0</v>
      </c>
      <c r="J41" s="227">
        <f t="shared" si="4"/>
        <v>0</v>
      </c>
      <c r="K41" s="227">
        <f t="shared" si="4"/>
        <v>0</v>
      </c>
      <c r="L41" s="227">
        <f t="shared" si="4"/>
        <v>0</v>
      </c>
      <c r="M41" s="227">
        <f t="shared" si="4"/>
        <v>0</v>
      </c>
      <c r="N41" s="227">
        <f t="shared" si="4"/>
        <v>0</v>
      </c>
      <c r="O41" s="227">
        <f t="shared" si="4"/>
        <v>0</v>
      </c>
      <c r="P41" s="227">
        <f t="shared" si="4"/>
        <v>0</v>
      </c>
      <c r="Q41" s="227">
        <f t="shared" si="4"/>
        <v>0</v>
      </c>
      <c r="R41" s="227">
        <f t="shared" si="4"/>
        <v>0</v>
      </c>
      <c r="S41" s="227">
        <f t="shared" si="4"/>
        <v>0</v>
      </c>
      <c r="T41" s="227">
        <f t="shared" si="4"/>
        <v>0</v>
      </c>
    </row>
    <row r="42" spans="1:20" s="233" customFormat="1" ht="13.15" x14ac:dyDescent="0.35">
      <c r="A42" s="231"/>
      <c r="B42" s="232"/>
      <c r="E42" s="222" t="str">
        <f xml:space="preserve"> Index!E$13</f>
        <v>Cumulative inflation factor</v>
      </c>
      <c r="F42" s="222">
        <f xml:space="preserve"> Index!F$13</f>
        <v>0</v>
      </c>
      <c r="G42" s="222" t="str">
        <f xml:space="preserve"> Index!G$13</f>
        <v>Percentage</v>
      </c>
      <c r="H42" s="222">
        <f xml:space="preserve"> Index!H$13</f>
        <v>0</v>
      </c>
      <c r="I42" s="222">
        <f xml:space="preserve"> Index!I$13</f>
        <v>0</v>
      </c>
      <c r="J42" s="222">
        <f xml:space="preserve"> Index!J$13</f>
        <v>0</v>
      </c>
      <c r="K42" s="222">
        <f xml:space="preserve"> Index!K$13</f>
        <v>0</v>
      </c>
      <c r="L42" s="222">
        <f xml:space="preserve"> Index!L$13</f>
        <v>1</v>
      </c>
      <c r="M42" s="222">
        <f xml:space="preserve"> Index!M$13</f>
        <v>1.0333944954128442</v>
      </c>
      <c r="N42" s="222">
        <f xml:space="preserve"> Index!N$13</f>
        <v>1.0333944954128442</v>
      </c>
      <c r="O42" s="222">
        <f xml:space="preserve"> Index!O$13</f>
        <v>1.0333944954128442</v>
      </c>
      <c r="P42" s="222">
        <f xml:space="preserve"> Index!P$13</f>
        <v>1.0333944954128442</v>
      </c>
      <c r="Q42" s="222">
        <f xml:space="preserve"> Index!Q$13</f>
        <v>1.0333944954128442</v>
      </c>
      <c r="R42" s="222">
        <f xml:space="preserve"> Index!R$13</f>
        <v>1.0333944954128442</v>
      </c>
      <c r="S42" s="222">
        <f xml:space="preserve"> Index!S$13</f>
        <v>1.0333944954128442</v>
      </c>
      <c r="T42" s="222">
        <f xml:space="preserve"> Index!T$13</f>
        <v>1.0333944954128442</v>
      </c>
    </row>
    <row r="43" spans="1:20" s="227" customFormat="1" ht="13.15" x14ac:dyDescent="0.35">
      <c r="A43" s="228"/>
      <c r="B43" s="229"/>
      <c r="C43" s="230"/>
      <c r="E43" s="227" t="s">
        <v>212</v>
      </c>
      <c r="G43" s="227" t="s">
        <v>117</v>
      </c>
      <c r="H43" s="227">
        <f xml:space="preserve"> SUM( J43:T43 )</f>
        <v>0</v>
      </c>
      <c r="J43" s="227">
        <f t="shared" ref="J43:P43" si="5" xml:space="preserve"> J41 * J42</f>
        <v>0</v>
      </c>
      <c r="K43" s="227">
        <f t="shared" si="5"/>
        <v>0</v>
      </c>
      <c r="L43" s="227">
        <f t="shared" si="5"/>
        <v>0</v>
      </c>
      <c r="M43" s="227">
        <f t="shared" si="5"/>
        <v>0</v>
      </c>
      <c r="N43" s="227">
        <f t="shared" si="5"/>
        <v>0</v>
      </c>
      <c r="O43" s="227">
        <f t="shared" si="5"/>
        <v>0</v>
      </c>
      <c r="P43" s="227">
        <f t="shared" si="5"/>
        <v>0</v>
      </c>
      <c r="Q43" s="227">
        <f xml:space="preserve"> Q41 * Q42</f>
        <v>0</v>
      </c>
      <c r="R43" s="227">
        <f xml:space="preserve"> R41 * R42</f>
        <v>0</v>
      </c>
      <c r="S43" s="227">
        <f xml:space="preserve"> S41 * S42</f>
        <v>0</v>
      </c>
      <c r="T43" s="227">
        <f xml:space="preserve"> T41 * T42</f>
        <v>0</v>
      </c>
    </row>
    <row r="44" spans="1:20" s="227" customFormat="1" ht="13.15" x14ac:dyDescent="0.35">
      <c r="A44" s="228"/>
      <c r="B44" s="229"/>
      <c r="C44" s="230"/>
    </row>
    <row r="45" spans="1:20" s="227" customFormat="1" ht="13.15" x14ac:dyDescent="0.35">
      <c r="A45" s="228"/>
      <c r="B45" s="229" t="s">
        <v>213</v>
      </c>
      <c r="C45" s="230"/>
    </row>
    <row r="46" spans="1:20" s="233" customFormat="1" ht="13.15" x14ac:dyDescent="0.35">
      <c r="A46" s="231"/>
      <c r="B46" s="229"/>
      <c r="E46" s="222" t="str">
        <f xml:space="preserve"> Inputs!E$71</f>
        <v>Marginal tax rate</v>
      </c>
      <c r="F46" s="222">
        <f xml:space="preserve"> Inputs!F$71</f>
        <v>0</v>
      </c>
      <c r="G46" s="222" t="str">
        <f xml:space="preserve"> Inputs!G$71</f>
        <v>Percentage</v>
      </c>
      <c r="H46" s="222">
        <f xml:space="preserve"> Inputs!H$71</f>
        <v>0</v>
      </c>
      <c r="I46" s="222">
        <f xml:space="preserve"> Inputs!I$71</f>
        <v>0</v>
      </c>
      <c r="J46" s="222">
        <f xml:space="preserve"> Inputs!J$71</f>
        <v>0</v>
      </c>
      <c r="K46" s="222">
        <f xml:space="preserve"> Inputs!K$71</f>
        <v>0</v>
      </c>
      <c r="L46" s="222">
        <f xml:space="preserve"> Inputs!L$71</f>
        <v>0</v>
      </c>
      <c r="M46" s="222">
        <f xml:space="preserve"> Inputs!M$71</f>
        <v>0</v>
      </c>
      <c r="N46" s="222">
        <f xml:space="preserve"> Inputs!N$71</f>
        <v>0</v>
      </c>
      <c r="O46" s="222">
        <f xml:space="preserve"> Inputs!O$71</f>
        <v>0</v>
      </c>
      <c r="P46" s="222">
        <f xml:space="preserve"> Inputs!P$71</f>
        <v>0</v>
      </c>
      <c r="Q46" s="222">
        <f xml:space="preserve"> Inputs!Q$71</f>
        <v>0.19</v>
      </c>
      <c r="R46" s="222">
        <f xml:space="preserve"> Inputs!R$71</f>
        <v>0</v>
      </c>
      <c r="S46" s="222">
        <f xml:space="preserve"> Inputs!S$71</f>
        <v>0</v>
      </c>
      <c r="T46" s="222">
        <f xml:space="preserve"> Inputs!T$71</f>
        <v>0</v>
      </c>
    </row>
    <row r="47" spans="1:20" s="276" customFormat="1" ht="13.15" x14ac:dyDescent="0.35">
      <c r="A47" s="281"/>
      <c r="B47" s="282"/>
      <c r="E47" s="276" t="s">
        <v>214</v>
      </c>
      <c r="G47" s="276" t="s">
        <v>109</v>
      </c>
      <c r="J47" s="276">
        <f xml:space="preserve"> 1 / (1 - J46 ) - 1</f>
        <v>0</v>
      </c>
      <c r="K47" s="276">
        <f t="shared" ref="K47:T47" si="6" xml:space="preserve"> 1 / (1 - K46 ) - 1</f>
        <v>0</v>
      </c>
      <c r="L47" s="276">
        <f t="shared" si="6"/>
        <v>0</v>
      </c>
      <c r="M47" s="276">
        <f t="shared" si="6"/>
        <v>0</v>
      </c>
      <c r="N47" s="276">
        <f t="shared" si="6"/>
        <v>0</v>
      </c>
      <c r="O47" s="276">
        <f t="shared" si="6"/>
        <v>0</v>
      </c>
      <c r="P47" s="276">
        <f t="shared" si="6"/>
        <v>0</v>
      </c>
      <c r="Q47" s="276">
        <f t="shared" si="6"/>
        <v>0.23456790123456783</v>
      </c>
      <c r="R47" s="276">
        <f t="shared" si="6"/>
        <v>0</v>
      </c>
      <c r="S47" s="276">
        <f t="shared" si="6"/>
        <v>0</v>
      </c>
      <c r="T47" s="276">
        <f t="shared" si="6"/>
        <v>0</v>
      </c>
    </row>
    <row r="48" spans="1:20" s="227" customFormat="1" ht="13.15" x14ac:dyDescent="0.35">
      <c r="A48" s="228"/>
      <c r="B48" s="229"/>
      <c r="C48" s="230"/>
    </row>
    <row r="49" spans="1:20" s="227" customFormat="1" ht="13.15" x14ac:dyDescent="0.35">
      <c r="A49" s="228"/>
      <c r="B49" s="229"/>
      <c r="C49" s="230"/>
      <c r="E49" s="227" t="str">
        <f t="shared" ref="E49:T49" si="7" xml:space="preserve"> E$43</f>
        <v>ODI value nominal prices</v>
      </c>
      <c r="F49" s="227">
        <f t="shared" si="7"/>
        <v>0</v>
      </c>
      <c r="G49" s="227" t="str">
        <f t="shared" si="7"/>
        <v>£m (nominal)</v>
      </c>
      <c r="H49" s="227">
        <f t="shared" si="7"/>
        <v>0</v>
      </c>
      <c r="I49" s="227">
        <f t="shared" si="7"/>
        <v>0</v>
      </c>
      <c r="J49" s="227">
        <f t="shared" si="7"/>
        <v>0</v>
      </c>
      <c r="K49" s="227">
        <f t="shared" si="7"/>
        <v>0</v>
      </c>
      <c r="L49" s="227">
        <f t="shared" si="7"/>
        <v>0</v>
      </c>
      <c r="M49" s="227">
        <f t="shared" si="7"/>
        <v>0</v>
      </c>
      <c r="N49" s="227">
        <f t="shared" si="7"/>
        <v>0</v>
      </c>
      <c r="O49" s="227">
        <f t="shared" si="7"/>
        <v>0</v>
      </c>
      <c r="P49" s="227">
        <f t="shared" si="7"/>
        <v>0</v>
      </c>
      <c r="Q49" s="227">
        <f t="shared" si="7"/>
        <v>0</v>
      </c>
      <c r="R49" s="227">
        <f t="shared" si="7"/>
        <v>0</v>
      </c>
      <c r="S49" s="227">
        <f t="shared" si="7"/>
        <v>0</v>
      </c>
      <c r="T49" s="227">
        <f t="shared" si="7"/>
        <v>0</v>
      </c>
    </row>
    <row r="50" spans="1:20" s="276" customFormat="1" ht="13.15" x14ac:dyDescent="0.35">
      <c r="A50" s="281"/>
      <c r="B50" s="282"/>
      <c r="E50" s="286" t="str">
        <f t="shared" ref="E50:T50" si="8" xml:space="preserve"> E$47</f>
        <v>Tax on Tax geometric uplift</v>
      </c>
      <c r="F50" s="286">
        <f t="shared" si="8"/>
        <v>0</v>
      </c>
      <c r="G50" s="286" t="str">
        <f t="shared" si="8"/>
        <v>Percentage</v>
      </c>
      <c r="H50" s="286">
        <f t="shared" si="8"/>
        <v>0</v>
      </c>
      <c r="I50" s="286">
        <f t="shared" si="8"/>
        <v>0</v>
      </c>
      <c r="J50" s="286">
        <f t="shared" si="8"/>
        <v>0</v>
      </c>
      <c r="K50" s="286">
        <f t="shared" si="8"/>
        <v>0</v>
      </c>
      <c r="L50" s="286">
        <f t="shared" si="8"/>
        <v>0</v>
      </c>
      <c r="M50" s="286">
        <f t="shared" si="8"/>
        <v>0</v>
      </c>
      <c r="N50" s="286">
        <f t="shared" si="8"/>
        <v>0</v>
      </c>
      <c r="O50" s="286">
        <f t="shared" si="8"/>
        <v>0</v>
      </c>
      <c r="P50" s="286">
        <f t="shared" si="8"/>
        <v>0</v>
      </c>
      <c r="Q50" s="286">
        <f t="shared" si="8"/>
        <v>0.23456790123456783</v>
      </c>
      <c r="R50" s="286">
        <f t="shared" si="8"/>
        <v>0</v>
      </c>
      <c r="S50" s="286">
        <f t="shared" si="8"/>
        <v>0</v>
      </c>
      <c r="T50" s="286">
        <f t="shared" si="8"/>
        <v>0</v>
      </c>
    </row>
    <row r="51" spans="1:20" s="227" customFormat="1" ht="13.15" x14ac:dyDescent="0.35">
      <c r="A51" s="228"/>
      <c r="B51" s="229"/>
      <c r="C51" s="230"/>
      <c r="E51" s="227" t="s">
        <v>215</v>
      </c>
      <c r="G51" s="227" t="s">
        <v>117</v>
      </c>
      <c r="H51" s="227">
        <f xml:space="preserve"> SUM( J51:T51 )</f>
        <v>0</v>
      </c>
      <c r="J51" s="227">
        <f t="shared" ref="J51:T51" si="9" xml:space="preserve"> J49 * J50</f>
        <v>0</v>
      </c>
      <c r="K51" s="227">
        <f t="shared" si="9"/>
        <v>0</v>
      </c>
      <c r="L51" s="227">
        <f t="shared" si="9"/>
        <v>0</v>
      </c>
      <c r="M51" s="227">
        <f t="shared" si="9"/>
        <v>0</v>
      </c>
      <c r="N51" s="227">
        <f t="shared" si="9"/>
        <v>0</v>
      </c>
      <c r="O51" s="227">
        <f t="shared" si="9"/>
        <v>0</v>
      </c>
      <c r="P51" s="227">
        <f t="shared" si="9"/>
        <v>0</v>
      </c>
      <c r="Q51" s="227">
        <f t="shared" si="9"/>
        <v>0</v>
      </c>
      <c r="R51" s="227">
        <f t="shared" si="9"/>
        <v>0</v>
      </c>
      <c r="S51" s="227">
        <f t="shared" si="9"/>
        <v>0</v>
      </c>
      <c r="T51" s="227">
        <f t="shared" si="9"/>
        <v>0</v>
      </c>
    </row>
    <row r="52" spans="1:20" s="227" customFormat="1" ht="13.15" x14ac:dyDescent="0.35">
      <c r="A52" s="228"/>
      <c r="B52" s="229"/>
      <c r="C52" s="230"/>
    </row>
    <row r="53" spans="1:20" s="227" customFormat="1" ht="13.15" x14ac:dyDescent="0.35">
      <c r="A53" s="228"/>
      <c r="B53" s="229"/>
      <c r="C53" s="230"/>
      <c r="E53" s="227" t="str">
        <f t="shared" ref="E53:T53" si="10" xml:space="preserve"> E$43</f>
        <v>ODI value nominal prices</v>
      </c>
      <c r="F53" s="227">
        <f t="shared" si="10"/>
        <v>0</v>
      </c>
      <c r="G53" s="227" t="str">
        <f t="shared" si="10"/>
        <v>£m (nominal)</v>
      </c>
      <c r="H53" s="227">
        <f t="shared" si="10"/>
        <v>0</v>
      </c>
      <c r="I53" s="227">
        <f t="shared" si="10"/>
        <v>0</v>
      </c>
      <c r="J53" s="235">
        <f t="shared" si="10"/>
        <v>0</v>
      </c>
      <c r="K53" s="235">
        <f t="shared" si="10"/>
        <v>0</v>
      </c>
      <c r="L53" s="235">
        <f t="shared" si="10"/>
        <v>0</v>
      </c>
      <c r="M53" s="235">
        <f t="shared" si="10"/>
        <v>0</v>
      </c>
      <c r="N53" s="235">
        <f t="shared" si="10"/>
        <v>0</v>
      </c>
      <c r="O53" s="235">
        <f t="shared" si="10"/>
        <v>0</v>
      </c>
      <c r="P53" s="235">
        <f t="shared" si="10"/>
        <v>0</v>
      </c>
      <c r="Q53" s="235">
        <f t="shared" si="10"/>
        <v>0</v>
      </c>
      <c r="R53" s="235">
        <f t="shared" si="10"/>
        <v>0</v>
      </c>
      <c r="S53" s="235">
        <f t="shared" si="10"/>
        <v>0</v>
      </c>
      <c r="T53" s="235">
        <f t="shared" si="10"/>
        <v>0</v>
      </c>
    </row>
    <row r="54" spans="1:20" s="227" customFormat="1" ht="13.15" x14ac:dyDescent="0.35">
      <c r="A54" s="228"/>
      <c r="B54" s="229"/>
      <c r="C54" s="230"/>
      <c r="E54" s="227" t="str">
        <f t="shared" ref="E54:T54" si="11" xml:space="preserve"> E$51</f>
        <v>Tax on nominal ODI</v>
      </c>
      <c r="F54" s="227">
        <f t="shared" si="11"/>
        <v>0</v>
      </c>
      <c r="G54" s="227" t="str">
        <f t="shared" si="11"/>
        <v>£m (nominal)</v>
      </c>
      <c r="H54" s="227">
        <f t="shared" si="11"/>
        <v>0</v>
      </c>
      <c r="I54" s="227">
        <f t="shared" si="11"/>
        <v>0</v>
      </c>
      <c r="J54" s="235">
        <f t="shared" si="11"/>
        <v>0</v>
      </c>
      <c r="K54" s="235">
        <f t="shared" si="11"/>
        <v>0</v>
      </c>
      <c r="L54" s="235">
        <f t="shared" si="11"/>
        <v>0</v>
      </c>
      <c r="M54" s="235">
        <f t="shared" si="11"/>
        <v>0</v>
      </c>
      <c r="N54" s="235">
        <f t="shared" si="11"/>
        <v>0</v>
      </c>
      <c r="O54" s="235">
        <f t="shared" si="11"/>
        <v>0</v>
      </c>
      <c r="P54" s="235">
        <f t="shared" si="11"/>
        <v>0</v>
      </c>
      <c r="Q54" s="235">
        <f t="shared" si="11"/>
        <v>0</v>
      </c>
      <c r="R54" s="235">
        <f t="shared" si="11"/>
        <v>0</v>
      </c>
      <c r="S54" s="235">
        <f t="shared" si="11"/>
        <v>0</v>
      </c>
      <c r="T54" s="235">
        <f t="shared" si="11"/>
        <v>0</v>
      </c>
    </row>
    <row r="55" spans="1:20" s="227" customFormat="1" ht="13.15" x14ac:dyDescent="0.35">
      <c r="A55" s="228"/>
      <c r="B55" s="229"/>
      <c r="C55" s="230"/>
      <c r="E55" s="227" t="s">
        <v>216</v>
      </c>
      <c r="G55" s="227" t="s">
        <v>117</v>
      </c>
      <c r="H55" s="235">
        <f xml:space="preserve"> H53 + H54</f>
        <v>0</v>
      </c>
      <c r="J55" s="235">
        <f xml:space="preserve"> J53 + J54</f>
        <v>0</v>
      </c>
      <c r="K55" s="235">
        <f t="shared" ref="K55:T55" si="12" xml:space="preserve"> K53 + K54</f>
        <v>0</v>
      </c>
      <c r="L55" s="235">
        <f t="shared" si="12"/>
        <v>0</v>
      </c>
      <c r="M55" s="235">
        <f t="shared" si="12"/>
        <v>0</v>
      </c>
      <c r="N55" s="235">
        <f t="shared" si="12"/>
        <v>0</v>
      </c>
      <c r="O55" s="235">
        <f t="shared" si="12"/>
        <v>0</v>
      </c>
      <c r="P55" s="235">
        <f t="shared" si="12"/>
        <v>0</v>
      </c>
      <c r="Q55" s="235">
        <f t="shared" si="12"/>
        <v>0</v>
      </c>
      <c r="R55" s="235">
        <f t="shared" si="12"/>
        <v>0</v>
      </c>
      <c r="S55" s="235">
        <f t="shared" si="12"/>
        <v>0</v>
      </c>
      <c r="T55" s="235">
        <f t="shared" si="12"/>
        <v>0</v>
      </c>
    </row>
    <row r="56" spans="1:20" s="227" customFormat="1" ht="13.15" x14ac:dyDescent="0.35">
      <c r="A56" s="228"/>
      <c r="B56" s="229"/>
      <c r="C56" s="230"/>
    </row>
    <row r="57" spans="1:20" s="227" customFormat="1" ht="13.15" x14ac:dyDescent="0.35">
      <c r="A57" s="228"/>
      <c r="B57" s="229"/>
      <c r="C57" s="230"/>
      <c r="E57" s="227" t="str">
        <f t="shared" ref="E57:T57" si="13" xml:space="preserve"> E$38</f>
        <v>Allowed revenue</v>
      </c>
      <c r="F57" s="227">
        <f t="shared" si="13"/>
        <v>0</v>
      </c>
      <c r="G57" s="227" t="str">
        <f t="shared" si="13"/>
        <v>£m (nominal)</v>
      </c>
      <c r="H57" s="227">
        <f t="shared" si="13"/>
        <v>0</v>
      </c>
      <c r="I57" s="227">
        <f t="shared" si="13"/>
        <v>0</v>
      </c>
      <c r="J57" s="235">
        <f t="shared" si="13"/>
        <v>0</v>
      </c>
      <c r="K57" s="235">
        <f t="shared" si="13"/>
        <v>0</v>
      </c>
      <c r="L57" s="235">
        <f t="shared" si="13"/>
        <v>0</v>
      </c>
      <c r="M57" s="235">
        <f t="shared" si="13"/>
        <v>0</v>
      </c>
      <c r="N57" s="235">
        <f t="shared" si="13"/>
        <v>0</v>
      </c>
      <c r="O57" s="235">
        <f t="shared" si="13"/>
        <v>0</v>
      </c>
      <c r="P57" s="235">
        <f t="shared" si="13"/>
        <v>0</v>
      </c>
      <c r="Q57" s="235">
        <f t="shared" si="13"/>
        <v>0</v>
      </c>
      <c r="R57" s="235">
        <f t="shared" si="13"/>
        <v>0</v>
      </c>
      <c r="S57" s="235">
        <f t="shared" si="13"/>
        <v>0</v>
      </c>
      <c r="T57" s="235">
        <f t="shared" si="13"/>
        <v>0</v>
      </c>
    </row>
    <row r="58" spans="1:20" s="227" customFormat="1" ht="13.15" x14ac:dyDescent="0.35">
      <c r="A58" s="228"/>
      <c r="B58" s="229"/>
      <c r="C58" s="230"/>
      <c r="E58" s="227" t="str">
        <f t="shared" ref="E58:T58" si="14" xml:space="preserve"> E$55</f>
        <v xml:space="preserve">Total value of ODI </v>
      </c>
      <c r="F58" s="227">
        <f t="shared" si="14"/>
        <v>0</v>
      </c>
      <c r="G58" s="227" t="str">
        <f t="shared" si="14"/>
        <v>£m (nominal)</v>
      </c>
      <c r="H58" s="227">
        <f t="shared" si="14"/>
        <v>0</v>
      </c>
      <c r="I58" s="227">
        <f t="shared" si="14"/>
        <v>0</v>
      </c>
      <c r="J58" s="235">
        <f t="shared" si="14"/>
        <v>0</v>
      </c>
      <c r="K58" s="235">
        <f t="shared" si="14"/>
        <v>0</v>
      </c>
      <c r="L58" s="235">
        <f t="shared" si="14"/>
        <v>0</v>
      </c>
      <c r="M58" s="235">
        <f t="shared" si="14"/>
        <v>0</v>
      </c>
      <c r="N58" s="235">
        <f t="shared" si="14"/>
        <v>0</v>
      </c>
      <c r="O58" s="235">
        <f t="shared" si="14"/>
        <v>0</v>
      </c>
      <c r="P58" s="235">
        <f t="shared" si="14"/>
        <v>0</v>
      </c>
      <c r="Q58" s="235">
        <f t="shared" si="14"/>
        <v>0</v>
      </c>
      <c r="R58" s="235">
        <f t="shared" si="14"/>
        <v>0</v>
      </c>
      <c r="S58" s="235">
        <f t="shared" si="14"/>
        <v>0</v>
      </c>
      <c r="T58" s="235">
        <f t="shared" si="14"/>
        <v>0</v>
      </c>
    </row>
    <row r="59" spans="1:20" s="227" customFormat="1" ht="13.15" x14ac:dyDescent="0.35">
      <c r="A59" s="228"/>
      <c r="B59" s="229"/>
      <c r="C59" s="230"/>
      <c r="E59" s="227" t="s">
        <v>217</v>
      </c>
      <c r="G59" s="227" t="s">
        <v>117</v>
      </c>
      <c r="H59" s="227">
        <f xml:space="preserve"> SUM( J59:T59 )</f>
        <v>0</v>
      </c>
      <c r="J59" s="235">
        <f xml:space="preserve"> J57 + J58</f>
        <v>0</v>
      </c>
      <c r="K59" s="235">
        <f t="shared" ref="K59:T59" si="15" xml:space="preserve"> K57 + K58</f>
        <v>0</v>
      </c>
      <c r="L59" s="235">
        <f t="shared" si="15"/>
        <v>0</v>
      </c>
      <c r="M59" s="235">
        <f t="shared" si="15"/>
        <v>0</v>
      </c>
      <c r="N59" s="235">
        <f t="shared" si="15"/>
        <v>0</v>
      </c>
      <c r="O59" s="235">
        <f t="shared" si="15"/>
        <v>0</v>
      </c>
      <c r="P59" s="235">
        <f t="shared" si="15"/>
        <v>0</v>
      </c>
      <c r="Q59" s="235">
        <f t="shared" si="15"/>
        <v>0</v>
      </c>
      <c r="R59" s="235">
        <f t="shared" si="15"/>
        <v>0</v>
      </c>
      <c r="S59" s="235">
        <f t="shared" si="15"/>
        <v>0</v>
      </c>
      <c r="T59" s="235">
        <f t="shared" si="15"/>
        <v>0</v>
      </c>
    </row>
    <row r="60" spans="1:20" s="227" customFormat="1" ht="13.15" x14ac:dyDescent="0.35">
      <c r="A60" s="228"/>
      <c r="B60" s="229"/>
      <c r="C60" s="230"/>
    </row>
    <row r="61" spans="1:20" s="227" customFormat="1" ht="13.15" x14ac:dyDescent="0.35">
      <c r="A61" s="228"/>
      <c r="B61" s="229" t="s">
        <v>218</v>
      </c>
      <c r="C61" s="230"/>
    </row>
    <row r="62" spans="1:20" s="227" customFormat="1" ht="13.15" x14ac:dyDescent="0.35">
      <c r="A62" s="228"/>
      <c r="B62" s="229"/>
      <c r="C62" s="230"/>
      <c r="E62" s="227" t="str">
        <f t="shared" ref="E62:T62" si="16" xml:space="preserve"> E$59</f>
        <v>Revised total nominal revenue</v>
      </c>
      <c r="F62" s="227">
        <f t="shared" si="16"/>
        <v>0</v>
      </c>
      <c r="G62" s="227" t="str">
        <f t="shared" si="16"/>
        <v>£m (nominal)</v>
      </c>
      <c r="H62" s="227">
        <f t="shared" si="16"/>
        <v>0</v>
      </c>
      <c r="I62" s="227">
        <f t="shared" si="16"/>
        <v>0</v>
      </c>
      <c r="J62" s="227">
        <f t="shared" si="16"/>
        <v>0</v>
      </c>
      <c r="K62" s="227">
        <f t="shared" si="16"/>
        <v>0</v>
      </c>
      <c r="L62" s="227">
        <f t="shared" si="16"/>
        <v>0</v>
      </c>
      <c r="M62" s="227">
        <f t="shared" si="16"/>
        <v>0</v>
      </c>
      <c r="N62" s="227">
        <f t="shared" si="16"/>
        <v>0</v>
      </c>
      <c r="O62" s="227">
        <f t="shared" si="16"/>
        <v>0</v>
      </c>
      <c r="P62" s="227">
        <f t="shared" si="16"/>
        <v>0</v>
      </c>
      <c r="Q62" s="227">
        <f t="shared" si="16"/>
        <v>0</v>
      </c>
      <c r="R62" s="227">
        <f t="shared" si="16"/>
        <v>0</v>
      </c>
      <c r="S62" s="227">
        <f t="shared" si="16"/>
        <v>0</v>
      </c>
      <c r="T62" s="227">
        <f t="shared" si="16"/>
        <v>0</v>
      </c>
    </row>
    <row r="63" spans="1:20" s="227" customFormat="1" x14ac:dyDescent="0.35">
      <c r="A63" s="228"/>
      <c r="B63" s="236"/>
      <c r="C63" s="230"/>
      <c r="E63" s="237" t="s">
        <v>219</v>
      </c>
      <c r="F63" s="238"/>
      <c r="G63" s="237" t="s">
        <v>109</v>
      </c>
      <c r="H63" s="238"/>
      <c r="J63" s="284">
        <f xml:space="preserve"> IF( I62 = 0, 0, J62 / I62 - 1 )</f>
        <v>0</v>
      </c>
      <c r="K63" s="284">
        <f t="shared" ref="K63:T63" si="17" xml:space="preserve"> IF( J62 = 0, 0, K62 / J62 - 1 )</f>
        <v>0</v>
      </c>
      <c r="L63" s="284">
        <f t="shared" si="17"/>
        <v>0</v>
      </c>
      <c r="M63" s="284">
        <f t="shared" si="17"/>
        <v>0</v>
      </c>
      <c r="N63" s="284">
        <f t="shared" si="17"/>
        <v>0</v>
      </c>
      <c r="O63" s="284">
        <f t="shared" si="17"/>
        <v>0</v>
      </c>
      <c r="P63" s="284">
        <f t="shared" si="17"/>
        <v>0</v>
      </c>
      <c r="Q63" s="284">
        <f t="shared" si="17"/>
        <v>0</v>
      </c>
      <c r="R63" s="284">
        <f t="shared" si="17"/>
        <v>0</v>
      </c>
      <c r="S63" s="284">
        <f t="shared" si="17"/>
        <v>0</v>
      </c>
      <c r="T63" s="284">
        <f t="shared" si="17"/>
        <v>0</v>
      </c>
    </row>
    <row r="64" spans="1:20" s="227" customFormat="1" x14ac:dyDescent="0.35">
      <c r="A64" s="228"/>
      <c r="B64" s="236"/>
      <c r="C64" s="230"/>
      <c r="E64" s="237"/>
      <c r="F64" s="238"/>
      <c r="G64" s="237"/>
      <c r="H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</row>
    <row r="65" spans="1:20" s="227" customFormat="1" x14ac:dyDescent="0.35">
      <c r="A65" s="228"/>
      <c r="B65" s="236"/>
      <c r="C65" s="230"/>
      <c r="E65" s="237" t="str">
        <f xml:space="preserve"> E$27</f>
        <v>Year of adjustment to be applied</v>
      </c>
      <c r="F65" s="237">
        <f t="shared" ref="F65:T65" si="18" xml:space="preserve"> F$27</f>
        <v>0</v>
      </c>
      <c r="G65" s="237" t="str">
        <f t="shared" si="18"/>
        <v>flag</v>
      </c>
      <c r="H65" s="237">
        <f t="shared" si="18"/>
        <v>0</v>
      </c>
      <c r="I65" s="237">
        <f t="shared" si="18"/>
        <v>0</v>
      </c>
      <c r="J65" s="287">
        <f t="shared" si="18"/>
        <v>0</v>
      </c>
      <c r="K65" s="287">
        <f t="shared" si="18"/>
        <v>0</v>
      </c>
      <c r="L65" s="287">
        <f t="shared" si="18"/>
        <v>0</v>
      </c>
      <c r="M65" s="287">
        <f t="shared" si="18"/>
        <v>0</v>
      </c>
      <c r="N65" s="287">
        <f t="shared" si="18"/>
        <v>0</v>
      </c>
      <c r="O65" s="287">
        <f t="shared" si="18"/>
        <v>0</v>
      </c>
      <c r="P65" s="287">
        <f t="shared" si="18"/>
        <v>0</v>
      </c>
      <c r="Q65" s="287">
        <f t="shared" si="18"/>
        <v>0</v>
      </c>
      <c r="R65" s="287">
        <f t="shared" si="18"/>
        <v>0</v>
      </c>
      <c r="S65" s="287">
        <f t="shared" si="18"/>
        <v>0</v>
      </c>
      <c r="T65" s="287">
        <f t="shared" si="18"/>
        <v>0</v>
      </c>
    </row>
    <row r="66" spans="1:20" s="227" customFormat="1" x14ac:dyDescent="0.35">
      <c r="A66" s="228"/>
      <c r="B66" s="236"/>
      <c r="C66" s="230"/>
      <c r="E66" s="237" t="s">
        <v>220</v>
      </c>
      <c r="F66" s="238"/>
      <c r="G66" s="237" t="s">
        <v>158</v>
      </c>
      <c r="H66" s="238"/>
      <c r="J66" s="287">
        <f xml:space="preserve"> IF( OR( J65 = 1, I66 = 1 ), 1, 0 )</f>
        <v>0</v>
      </c>
      <c r="K66" s="287">
        <f t="shared" ref="K66:T66" si="19" xml:space="preserve"> IF( OR( K65 = 1, J66 = 1 ), 1, 0 )</f>
        <v>0</v>
      </c>
      <c r="L66" s="287">
        <f t="shared" si="19"/>
        <v>0</v>
      </c>
      <c r="M66" s="287">
        <f t="shared" si="19"/>
        <v>0</v>
      </c>
      <c r="N66" s="287">
        <f t="shared" si="19"/>
        <v>0</v>
      </c>
      <c r="O66" s="287">
        <f t="shared" si="19"/>
        <v>0</v>
      </c>
      <c r="P66" s="287">
        <f t="shared" si="19"/>
        <v>0</v>
      </c>
      <c r="Q66" s="287">
        <f t="shared" si="19"/>
        <v>0</v>
      </c>
      <c r="R66" s="287">
        <f t="shared" si="19"/>
        <v>0</v>
      </c>
      <c r="S66" s="287">
        <f t="shared" si="19"/>
        <v>0</v>
      </c>
      <c r="T66" s="287">
        <f t="shared" si="19"/>
        <v>0</v>
      </c>
    </row>
    <row r="67" spans="1:20" s="227" customFormat="1" ht="13.15" x14ac:dyDescent="0.35">
      <c r="A67" s="228"/>
      <c r="B67" s="229"/>
      <c r="C67" s="230"/>
    </row>
    <row r="68" spans="1:20" s="240" customFormat="1" ht="13.15" x14ac:dyDescent="0.35">
      <c r="A68" s="239"/>
      <c r="B68" s="229"/>
      <c r="E68" s="235" t="str">
        <f t="shared" ref="E68:T68" si="20" xml:space="preserve"> E$63</f>
        <v>Allowed revenue percentage movement</v>
      </c>
      <c r="F68" s="227">
        <f t="shared" si="20"/>
        <v>0</v>
      </c>
      <c r="G68" s="235" t="str">
        <f t="shared" si="20"/>
        <v>Percentage</v>
      </c>
      <c r="H68" s="227">
        <f t="shared" si="20"/>
        <v>0</v>
      </c>
      <c r="I68" s="227">
        <f t="shared" si="20"/>
        <v>0</v>
      </c>
      <c r="J68" s="286">
        <f t="shared" si="20"/>
        <v>0</v>
      </c>
      <c r="K68" s="286">
        <f t="shared" si="20"/>
        <v>0</v>
      </c>
      <c r="L68" s="286">
        <f t="shared" si="20"/>
        <v>0</v>
      </c>
      <c r="M68" s="286">
        <f t="shared" si="20"/>
        <v>0</v>
      </c>
      <c r="N68" s="286">
        <f t="shared" si="20"/>
        <v>0</v>
      </c>
      <c r="O68" s="286">
        <f t="shared" si="20"/>
        <v>0</v>
      </c>
      <c r="P68" s="286">
        <f t="shared" si="20"/>
        <v>0</v>
      </c>
      <c r="Q68" s="286">
        <f t="shared" si="20"/>
        <v>0</v>
      </c>
      <c r="R68" s="286">
        <f t="shared" si="20"/>
        <v>0</v>
      </c>
      <c r="S68" s="286">
        <f t="shared" si="20"/>
        <v>0</v>
      </c>
      <c r="T68" s="286">
        <f t="shared" si="20"/>
        <v>0</v>
      </c>
    </row>
    <row r="69" spans="1:20" s="240" customFormat="1" ht="13.15" x14ac:dyDescent="0.35">
      <c r="A69" s="239"/>
      <c r="B69" s="229"/>
      <c r="E69" s="222" t="str">
        <f xml:space="preserve"> Index!E$10</f>
        <v>Annual inflation figures</v>
      </c>
      <c r="F69" s="222">
        <f xml:space="preserve"> Index!F$10</f>
        <v>0</v>
      </c>
      <c r="G69" s="222" t="str">
        <f xml:space="preserve"> Index!G$10</f>
        <v>Percentage</v>
      </c>
      <c r="H69" s="222">
        <f xml:space="preserve"> Index!H$10</f>
        <v>0</v>
      </c>
      <c r="I69" s="222">
        <f xml:space="preserve"> Index!I$10</f>
        <v>0</v>
      </c>
      <c r="J69" s="222">
        <f xml:space="preserve"> Index!J$10</f>
        <v>0</v>
      </c>
      <c r="K69" s="222">
        <f xml:space="preserve"> Index!K$10</f>
        <v>0</v>
      </c>
      <c r="L69" s="222">
        <f xml:space="preserve"> Index!L$10</f>
        <v>3.572786012922835E-2</v>
      </c>
      <c r="M69" s="222">
        <f xml:space="preserve"> Index!M$10</f>
        <v>3.3394495412844227E-2</v>
      </c>
      <c r="N69" s="222">
        <f xml:space="preserve"> Index!N$10</f>
        <v>0</v>
      </c>
      <c r="O69" s="222">
        <f xml:space="preserve"> Index!O$10</f>
        <v>0</v>
      </c>
      <c r="P69" s="222">
        <f xml:space="preserve"> Index!P$10</f>
        <v>0</v>
      </c>
      <c r="Q69" s="222">
        <f xml:space="preserve"> Index!Q$10</f>
        <v>0</v>
      </c>
      <c r="R69" s="222">
        <f xml:space="preserve"> Index!R$10</f>
        <v>0</v>
      </c>
      <c r="S69" s="222">
        <f xml:space="preserve"> Index!S$10</f>
        <v>0</v>
      </c>
      <c r="T69" s="222">
        <f xml:space="preserve"> Index!T$10</f>
        <v>0</v>
      </c>
    </row>
    <row r="70" spans="1:20" s="240" customFormat="1" ht="13.15" x14ac:dyDescent="0.35">
      <c r="A70" s="239"/>
      <c r="B70" s="229"/>
      <c r="E70" s="235" t="str">
        <f t="shared" ref="E70:T70" si="21" xml:space="preserve"> E$66</f>
        <v>Year that price limits should be recalculated</v>
      </c>
      <c r="F70" s="227">
        <f t="shared" si="21"/>
        <v>0</v>
      </c>
      <c r="G70" s="235" t="str">
        <f t="shared" si="21"/>
        <v>flag</v>
      </c>
      <c r="H70" s="227">
        <f t="shared" si="21"/>
        <v>0</v>
      </c>
      <c r="I70" s="227">
        <f t="shared" si="21"/>
        <v>0</v>
      </c>
      <c r="J70" s="288">
        <f t="shared" si="21"/>
        <v>0</v>
      </c>
      <c r="K70" s="288">
        <f t="shared" si="21"/>
        <v>0</v>
      </c>
      <c r="L70" s="288">
        <f t="shared" si="21"/>
        <v>0</v>
      </c>
      <c r="M70" s="288">
        <f t="shared" si="21"/>
        <v>0</v>
      </c>
      <c r="N70" s="288">
        <f t="shared" si="21"/>
        <v>0</v>
      </c>
      <c r="O70" s="288">
        <f t="shared" si="21"/>
        <v>0</v>
      </c>
      <c r="P70" s="288">
        <f t="shared" si="21"/>
        <v>0</v>
      </c>
      <c r="Q70" s="288">
        <f t="shared" si="21"/>
        <v>0</v>
      </c>
      <c r="R70" s="288">
        <f t="shared" si="21"/>
        <v>0</v>
      </c>
      <c r="S70" s="288">
        <f t="shared" si="21"/>
        <v>0</v>
      </c>
      <c r="T70" s="288">
        <f t="shared" si="21"/>
        <v>0</v>
      </c>
    </row>
    <row r="71" spans="1:20" s="240" customFormat="1" ht="13.15" x14ac:dyDescent="0.35">
      <c r="A71" s="239"/>
      <c r="B71" s="229"/>
      <c r="E71" s="237" t="s">
        <v>221</v>
      </c>
      <c r="F71" s="238"/>
      <c r="G71" s="237" t="s">
        <v>109</v>
      </c>
      <c r="H71" s="238"/>
      <c r="I71" s="238"/>
      <c r="J71" s="284">
        <f xml:space="preserve"> IF( J70 = 0, 0, J68 - J69 )</f>
        <v>0</v>
      </c>
      <c r="K71" s="284">
        <f t="shared" ref="K71:T71" si="22" xml:space="preserve"> IF( K70 = 0, 0, K68 - K69 )</f>
        <v>0</v>
      </c>
      <c r="L71" s="284">
        <f t="shared" si="22"/>
        <v>0</v>
      </c>
      <c r="M71" s="284">
        <f t="shared" si="22"/>
        <v>0</v>
      </c>
      <c r="N71" s="284">
        <f t="shared" si="22"/>
        <v>0</v>
      </c>
      <c r="O71" s="284">
        <f t="shared" si="22"/>
        <v>0</v>
      </c>
      <c r="P71" s="284">
        <f t="shared" si="22"/>
        <v>0</v>
      </c>
      <c r="Q71" s="284">
        <f t="shared" si="22"/>
        <v>0</v>
      </c>
      <c r="R71" s="284">
        <f t="shared" si="22"/>
        <v>0</v>
      </c>
      <c r="S71" s="284">
        <f t="shared" si="22"/>
        <v>0</v>
      </c>
      <c r="T71" s="284">
        <f t="shared" si="22"/>
        <v>0</v>
      </c>
    </row>
    <row r="72" spans="1:20" s="227" customFormat="1" ht="13.15" x14ac:dyDescent="0.35">
      <c r="A72" s="228"/>
      <c r="B72" s="229"/>
      <c r="C72" s="230"/>
    </row>
    <row r="73" spans="1:20" s="227" customFormat="1" ht="13.15" x14ac:dyDescent="0.35">
      <c r="A73" s="228"/>
      <c r="B73" s="229"/>
      <c r="C73" s="230"/>
      <c r="E73" s="227" t="str">
        <f t="shared" ref="E73:T73" si="23" xml:space="preserve"> E$71</f>
        <v>Allowed revenue percentage movement (Nov-Nov CPIH deflated)</v>
      </c>
      <c r="F73" s="227">
        <f t="shared" si="23"/>
        <v>0</v>
      </c>
      <c r="G73" s="227" t="str">
        <f t="shared" si="23"/>
        <v>Percentage</v>
      </c>
      <c r="H73" s="227">
        <f t="shared" si="23"/>
        <v>0</v>
      </c>
      <c r="I73" s="227">
        <f t="shared" si="23"/>
        <v>0</v>
      </c>
      <c r="J73" s="286">
        <f t="shared" si="23"/>
        <v>0</v>
      </c>
      <c r="K73" s="286">
        <f t="shared" si="23"/>
        <v>0</v>
      </c>
      <c r="L73" s="286">
        <f t="shared" si="23"/>
        <v>0</v>
      </c>
      <c r="M73" s="286">
        <f t="shared" si="23"/>
        <v>0</v>
      </c>
      <c r="N73" s="286">
        <f t="shared" si="23"/>
        <v>0</v>
      </c>
      <c r="O73" s="286">
        <f t="shared" si="23"/>
        <v>0</v>
      </c>
      <c r="P73" s="286">
        <f t="shared" si="23"/>
        <v>0</v>
      </c>
      <c r="Q73" s="286">
        <f t="shared" si="23"/>
        <v>0</v>
      </c>
      <c r="R73" s="286">
        <f t="shared" si="23"/>
        <v>0</v>
      </c>
      <c r="S73" s="286">
        <f t="shared" si="23"/>
        <v>0</v>
      </c>
      <c r="T73" s="286">
        <f t="shared" si="23"/>
        <v>0</v>
      </c>
    </row>
    <row r="74" spans="1:20" s="240" customFormat="1" ht="13.15" x14ac:dyDescent="0.35">
      <c r="A74" s="239"/>
      <c r="B74" s="229"/>
      <c r="E74" s="241" t="str">
        <f ca="1">CONCATENATE("Revised K - ",F18)</f>
        <v>Revised K - Water resources</v>
      </c>
      <c r="G74" s="241" t="s">
        <v>109</v>
      </c>
      <c r="J74" s="283">
        <f t="shared" ref="J74:T74" si="24">IF(J73&gt;=0,ROUNDUP(ROUNDDOWN(J73,5),4),ROUNDDOWN(ROUNDUP(J73,5),4))</f>
        <v>0</v>
      </c>
      <c r="K74" s="283">
        <f t="shared" si="24"/>
        <v>0</v>
      </c>
      <c r="L74" s="283">
        <f t="shared" si="24"/>
        <v>0</v>
      </c>
      <c r="M74" s="283">
        <f t="shared" si="24"/>
        <v>0</v>
      </c>
      <c r="N74" s="283">
        <f t="shared" si="24"/>
        <v>0</v>
      </c>
      <c r="O74" s="283">
        <f t="shared" si="24"/>
        <v>0</v>
      </c>
      <c r="P74" s="283">
        <f>IF(P73&gt;=0,ROUNDUP(ROUNDDOWN(P73,5),4),ROUNDDOWN(ROUNDUP(P73,5),4))</f>
        <v>0</v>
      </c>
      <c r="Q74" s="283">
        <f t="shared" si="24"/>
        <v>0</v>
      </c>
      <c r="R74" s="283">
        <f t="shared" si="24"/>
        <v>0</v>
      </c>
      <c r="S74" s="283">
        <f t="shared" si="24"/>
        <v>0</v>
      </c>
      <c r="T74" s="283">
        <f t="shared" si="24"/>
        <v>0</v>
      </c>
    </row>
    <row r="75" spans="1:20" s="240" customFormat="1" ht="13.15" x14ac:dyDescent="0.35">
      <c r="A75" s="239"/>
      <c r="B75" s="229"/>
      <c r="E75" s="241"/>
      <c r="G75" s="241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</row>
    <row r="76" spans="1:20" s="227" customFormat="1" ht="13.15" x14ac:dyDescent="0.35">
      <c r="A76" s="224" t="s">
        <v>83</v>
      </c>
      <c r="B76" s="225"/>
      <c r="C76" s="242"/>
      <c r="D76" s="243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</row>
    <row r="77" spans="1:20" x14ac:dyDescent="0.35"/>
    <row r="78" spans="1:20" hidden="1" x14ac:dyDescent="0.35"/>
    <row r="79" spans="1:20" hidden="1" x14ac:dyDescent="0.35"/>
    <row r="80" spans="1:2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</sheetData>
  <conditionalFormatting sqref="J3:T3">
    <cfRule type="cellIs" dxfId="29" priority="1" operator="equal">
      <formula>"Post-Fcst"</formula>
    </cfRule>
    <cfRule type="cellIs" dxfId="28" priority="2" operator="equal">
      <formula>"Forecast"</formula>
    </cfRule>
    <cfRule type="cellIs" dxfId="27" priority="3" operator="equal">
      <formula>"Pre Fcst"</formula>
    </cfRule>
  </conditionalFormatting>
  <printOptions headings="1"/>
  <pageMargins left="0.7" right="0.7" top="0.75" bottom="0.75" header="0.3" footer="0.3"/>
  <pageSetup paperSize="9" scale="46" orientation="landscape" blackAndWhite="1" r:id="rId1"/>
  <headerFooter>
    <oddHeader xml:space="preserve">&amp;L&amp;F &amp;CSheet: &amp;A &amp;ROFFICIAL </oddHeader>
    <oddFooter xml:space="preserve">&amp;L&amp;D at &amp;T &amp;C&amp;P of &amp;N &amp;ROfwat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outlinePr summaryBelow="0" summaryRight="0"/>
    <pageSetUpPr fitToPage="1"/>
  </sheetPr>
  <dimension ref="A1:T98"/>
  <sheetViews>
    <sheetView view="pageBreakPreview" zoomScale="60" zoomScaleNormal="100" workbookViewId="0">
      <pane xSplit="9" ySplit="5" topLeftCell="L6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35"/>
  <cols>
    <col min="1" max="1" width="1.625" style="126" customWidth="1"/>
    <col min="2" max="2" width="1.625" style="205" customWidth="1"/>
    <col min="3" max="3" width="1.625" style="128" customWidth="1"/>
    <col min="4" max="4" width="1.625" style="117" customWidth="1"/>
    <col min="5" max="5" width="45.625" style="117" customWidth="1"/>
    <col min="6" max="7" width="15.625" style="117" customWidth="1"/>
    <col min="8" max="8" width="15.625" style="34" customWidth="1"/>
    <col min="9" max="9" width="2.625" style="34" customWidth="1"/>
    <col min="10" max="20" width="9.625" style="34" customWidth="1"/>
    <col min="21" max="16384" width="9.625" style="34" hidden="1"/>
  </cols>
  <sheetData>
    <row r="1" spans="1:20" s="135" customFormat="1" ht="29.25" x14ac:dyDescent="0.35">
      <c r="A1" s="194" t="str">
        <f ca="1" xml:space="preserve"> RIGHT(CELL("filename", $A$1), LEN(CELL("filename", $A$1)) - SEARCH("]", CELL("filename", $A$1)))</f>
        <v>Water network plus</v>
      </c>
      <c r="B1" s="195"/>
      <c r="C1" s="196"/>
      <c r="D1" s="192"/>
      <c r="E1" s="192"/>
      <c r="F1" s="192"/>
      <c r="G1" s="192"/>
      <c r="H1" s="92">
        <f>Inputs!F9</f>
        <v>0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s="18" customFormat="1" ht="13.15" x14ac:dyDescent="0.35">
      <c r="A2" s="197"/>
      <c r="B2" s="198"/>
      <c r="C2" s="199"/>
      <c r="D2" s="200"/>
      <c r="E2" s="167" t="str">
        <f>Time!E$22</f>
        <v>Model Period END</v>
      </c>
      <c r="F2" s="167"/>
      <c r="G2" s="167"/>
      <c r="H2" s="17"/>
      <c r="I2" s="17"/>
      <c r="J2" s="17">
        <f>Time!J$22</f>
        <v>42460</v>
      </c>
      <c r="K2" s="17">
        <f>Time!K$22</f>
        <v>42825</v>
      </c>
      <c r="L2" s="17">
        <f>Time!L$22</f>
        <v>43190</v>
      </c>
      <c r="M2" s="17">
        <f>Time!M$22</f>
        <v>43555</v>
      </c>
      <c r="N2" s="17">
        <f>Time!N$22</f>
        <v>43921</v>
      </c>
      <c r="O2" s="17">
        <f>Time!O$22</f>
        <v>44286</v>
      </c>
      <c r="P2" s="17">
        <f>Time!P$22</f>
        <v>44651</v>
      </c>
      <c r="Q2" s="17">
        <f>Time!Q$22</f>
        <v>45016</v>
      </c>
      <c r="R2" s="17">
        <f>Time!R$22</f>
        <v>45382</v>
      </c>
      <c r="S2" s="17">
        <f>Time!S$22</f>
        <v>45747</v>
      </c>
      <c r="T2" s="17">
        <f>Time!T$22</f>
        <v>46112</v>
      </c>
    </row>
    <row r="3" spans="1:20" s="23" customFormat="1" ht="13.15" x14ac:dyDescent="0.35">
      <c r="A3" s="193"/>
      <c r="B3" s="198"/>
      <c r="C3" s="199"/>
      <c r="D3" s="200"/>
      <c r="E3" s="167" t="str">
        <f>Time!E$58</f>
        <v>Pre Forecast vs Forecast</v>
      </c>
      <c r="F3" s="167"/>
      <c r="G3" s="167"/>
      <c r="H3" s="17"/>
      <c r="I3" s="17"/>
      <c r="J3" s="1" t="str">
        <f>Time!J$58</f>
        <v>Pre Fcst</v>
      </c>
      <c r="K3" s="1" t="str">
        <f>Time!K$58</f>
        <v>Pre Fcst</v>
      </c>
      <c r="L3" s="1" t="str">
        <f>Time!L$58</f>
        <v>Pre Fcst</v>
      </c>
      <c r="M3" s="1" t="str">
        <f>Time!M$58</f>
        <v>Pre Fcst</v>
      </c>
      <c r="N3" s="1" t="str">
        <f>Time!N$58</f>
        <v>Pre Fcst</v>
      </c>
      <c r="O3" s="1" t="str">
        <f>Time!O$58</f>
        <v>Forecast</v>
      </c>
      <c r="P3" s="1" t="str">
        <f>Time!P$58</f>
        <v>Forecast</v>
      </c>
      <c r="Q3" s="1" t="str">
        <f>Time!Q$58</f>
        <v>Forecast</v>
      </c>
      <c r="R3" s="1" t="str">
        <f>Time!R$58</f>
        <v>Forecast</v>
      </c>
      <c r="S3" s="1" t="str">
        <f>Time!S$58</f>
        <v>Forecast</v>
      </c>
      <c r="T3" s="1" t="str">
        <f>Time!T$58</f>
        <v>Post-Fcst</v>
      </c>
    </row>
    <row r="4" spans="1:20" s="166" customFormat="1" ht="13.15" x14ac:dyDescent="0.35">
      <c r="A4" s="193"/>
      <c r="B4" s="201"/>
      <c r="C4" s="199"/>
      <c r="D4" s="202"/>
      <c r="E4" s="168" t="str">
        <f>Time!E$85</f>
        <v>Financial Year Ending</v>
      </c>
      <c r="F4" s="168"/>
      <c r="G4" s="168"/>
      <c r="H4" s="164"/>
      <c r="I4" s="164"/>
      <c r="J4" s="165">
        <f>Time!J$85</f>
        <v>2016</v>
      </c>
      <c r="K4" s="165">
        <f>Time!K$85</f>
        <v>2017</v>
      </c>
      <c r="L4" s="165">
        <f>Time!L$85</f>
        <v>2018</v>
      </c>
      <c r="M4" s="165">
        <f>Time!M$85</f>
        <v>2019</v>
      </c>
      <c r="N4" s="165">
        <f>Time!N$85</f>
        <v>2020</v>
      </c>
      <c r="O4" s="165">
        <f>Time!O$85</f>
        <v>2021</v>
      </c>
      <c r="P4" s="165">
        <f>Time!P$85</f>
        <v>2022</v>
      </c>
      <c r="Q4" s="165">
        <f>Time!Q$85</f>
        <v>2023</v>
      </c>
      <c r="R4" s="165">
        <f>Time!R$85</f>
        <v>2024</v>
      </c>
      <c r="S4" s="165">
        <f>Time!S$85</f>
        <v>2025</v>
      </c>
      <c r="T4" s="165">
        <f>Time!T$85</f>
        <v>2026</v>
      </c>
    </row>
    <row r="5" spans="1:20" s="33" customFormat="1" ht="13.15" x14ac:dyDescent="0.35">
      <c r="A5" s="193"/>
      <c r="B5" s="198"/>
      <c r="C5" s="199"/>
      <c r="D5" s="200"/>
      <c r="E5" s="168" t="str">
        <f>Time!E$10</f>
        <v>Model column counter</v>
      </c>
      <c r="F5" s="193" t="s">
        <v>84</v>
      </c>
      <c r="G5" s="193" t="s">
        <v>85</v>
      </c>
      <c r="H5" s="23" t="s">
        <v>86</v>
      </c>
      <c r="I5" s="28"/>
      <c r="J5" s="28">
        <f>Time!J$10</f>
        <v>1</v>
      </c>
      <c r="K5" s="28">
        <f>Time!K$10</f>
        <v>2</v>
      </c>
      <c r="L5" s="28">
        <f>Time!L$10</f>
        <v>3</v>
      </c>
      <c r="M5" s="28">
        <f>Time!M$10</f>
        <v>4</v>
      </c>
      <c r="N5" s="28">
        <f>Time!N$10</f>
        <v>5</v>
      </c>
      <c r="O5" s="28">
        <f>Time!O$10</f>
        <v>6</v>
      </c>
      <c r="P5" s="28">
        <f>Time!P$10</f>
        <v>7</v>
      </c>
      <c r="Q5" s="28">
        <f>Time!Q$10</f>
        <v>8</v>
      </c>
      <c r="R5" s="28">
        <f>Time!R$10</f>
        <v>9</v>
      </c>
      <c r="S5" s="28">
        <f>Time!S$10</f>
        <v>10</v>
      </c>
      <c r="T5" s="28">
        <f>Time!T$10</f>
        <v>11</v>
      </c>
    </row>
    <row r="6" spans="1:20" s="33" customFormat="1" ht="13.15" x14ac:dyDescent="0.35">
      <c r="A6" s="193"/>
      <c r="B6" s="198"/>
      <c r="C6" s="199"/>
      <c r="D6" s="200"/>
      <c r="E6" s="168"/>
      <c r="F6" s="193"/>
      <c r="G6" s="193"/>
      <c r="H6" s="23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9" customFormat="1" ht="13.15" x14ac:dyDescent="0.35">
      <c r="A7" s="224" t="s">
        <v>95</v>
      </c>
      <c r="B7" s="225"/>
      <c r="C7" s="225"/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</row>
    <row r="8" spans="1:20" ht="13.15" x14ac:dyDescent="0.35">
      <c r="A8" s="228"/>
      <c r="B8" s="229"/>
      <c r="C8" s="230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</row>
    <row r="9" spans="1:20" s="227" customFormat="1" ht="13.15" x14ac:dyDescent="0.35">
      <c r="A9" s="228"/>
      <c r="B9" s="229" t="s">
        <v>202</v>
      </c>
      <c r="C9" s="230"/>
    </row>
    <row r="10" spans="1:20" s="233" customFormat="1" ht="13.15" x14ac:dyDescent="0.35">
      <c r="A10" s="231"/>
      <c r="B10" s="232"/>
      <c r="E10" s="233" t="str">
        <f>'Abatements and deferrals'!E111</f>
        <v>Water resources</v>
      </c>
      <c r="G10" s="233" t="str">
        <f>'Abatements and deferrals'!G111</f>
        <v>£m (2017-18 prices)</v>
      </c>
      <c r="H10" s="233">
        <f>'Abatements and deferrals'!H111</f>
        <v>0</v>
      </c>
    </row>
    <row r="11" spans="1:20" s="227" customFormat="1" ht="13.15" x14ac:dyDescent="0.35">
      <c r="A11" s="228"/>
      <c r="B11" s="229"/>
      <c r="C11" s="230"/>
      <c r="E11" s="233" t="str">
        <f>'Abatements and deferrals'!E112</f>
        <v>Water network plus</v>
      </c>
      <c r="F11" s="233"/>
      <c r="G11" s="233" t="str">
        <f>'Abatements and deferrals'!G112</f>
        <v>£m (2017-18 prices)</v>
      </c>
      <c r="H11" s="233">
        <f>'Abatements and deferrals'!H112</f>
        <v>0</v>
      </c>
    </row>
    <row r="12" spans="1:20" s="227" customFormat="1" ht="13.15" x14ac:dyDescent="0.35">
      <c r="A12" s="228"/>
      <c r="B12" s="229"/>
      <c r="C12" s="230"/>
      <c r="E12" s="233" t="str">
        <f>'Abatements and deferrals'!E113</f>
        <v>Wastewater network plus</v>
      </c>
      <c r="F12" s="233"/>
      <c r="G12" s="233" t="str">
        <f>'Abatements and deferrals'!G113</f>
        <v>£m (2017-18 prices)</v>
      </c>
      <c r="H12" s="233">
        <f>'Abatements and deferrals'!H113</f>
        <v>0</v>
      </c>
    </row>
    <row r="13" spans="1:20" s="227" customFormat="1" ht="13.15" x14ac:dyDescent="0.35">
      <c r="A13" s="228"/>
      <c r="B13" s="229"/>
      <c r="C13" s="230"/>
      <c r="E13" s="233" t="str">
        <f>'Abatements and deferrals'!E114</f>
        <v>Bioresources (sludge)</v>
      </c>
      <c r="F13" s="233"/>
      <c r="G13" s="233" t="str">
        <f>'Abatements and deferrals'!G114</f>
        <v>£m (2017-18 prices)</v>
      </c>
      <c r="H13" s="233">
        <f>'Abatements and deferrals'!H114</f>
        <v>0</v>
      </c>
    </row>
    <row r="14" spans="1:20" s="227" customFormat="1" ht="13.15" x14ac:dyDescent="0.35">
      <c r="A14" s="228"/>
      <c r="B14" s="229"/>
      <c r="C14" s="230"/>
      <c r="E14" s="233" t="str">
        <f>'Abatements and deferrals'!E115</f>
        <v>Residential retail</v>
      </c>
      <c r="F14" s="233"/>
      <c r="G14" s="233" t="str">
        <f>'Abatements and deferrals'!G115</f>
        <v>£m (2017-18 prices)</v>
      </c>
      <c r="H14" s="233">
        <f>'Abatements and deferrals'!H115</f>
        <v>0</v>
      </c>
    </row>
    <row r="15" spans="1:20" s="227" customFormat="1" ht="13.15" x14ac:dyDescent="0.35">
      <c r="A15" s="228"/>
      <c r="B15" s="229"/>
      <c r="C15" s="230"/>
      <c r="E15" s="233" t="str">
        <f>'Abatements and deferrals'!E116</f>
        <v>Business retail</v>
      </c>
      <c r="F15" s="233"/>
      <c r="G15" s="233" t="str">
        <f>'Abatements and deferrals'!G116</f>
        <v>£m (2017-18 prices)</v>
      </c>
      <c r="H15" s="233">
        <f>'Abatements and deferrals'!H116</f>
        <v>0</v>
      </c>
    </row>
    <row r="16" spans="1:20" s="227" customFormat="1" ht="13.15" x14ac:dyDescent="0.35">
      <c r="A16" s="228"/>
      <c r="B16" s="229"/>
      <c r="C16" s="230"/>
      <c r="E16" s="233" t="str">
        <f>'Abatements and deferrals'!E117</f>
        <v>Dummy control</v>
      </c>
      <c r="F16" s="233"/>
      <c r="G16" s="233" t="str">
        <f>'Abatements and deferrals'!G117</f>
        <v>£m (2017-18 prices)</v>
      </c>
      <c r="H16" s="233">
        <f>'Abatements and deferrals'!H117</f>
        <v>0</v>
      </c>
    </row>
    <row r="17" spans="1:20" s="227" customFormat="1" ht="13.15" x14ac:dyDescent="0.35">
      <c r="A17" s="228"/>
      <c r="B17" s="229"/>
      <c r="C17" s="230"/>
      <c r="E17" s="233"/>
    </row>
    <row r="18" spans="1:20" s="227" customFormat="1" ht="13.15" x14ac:dyDescent="0.35">
      <c r="A18" s="228"/>
      <c r="B18" s="229"/>
      <c r="E18" s="227" t="s">
        <v>203</v>
      </c>
      <c r="F18" s="234" t="s">
        <v>69</v>
      </c>
    </row>
    <row r="19" spans="1:20" s="227" customFormat="1" ht="13.15" x14ac:dyDescent="0.35">
      <c r="A19" s="228"/>
      <c r="B19" s="229"/>
      <c r="C19" s="230"/>
      <c r="E19" s="227" t="s">
        <v>204</v>
      </c>
      <c r="G19" s="227" t="str">
        <f>VLOOKUP($F18,$E$10:$H$16,3,FALSE)</f>
        <v>£m (2017-18 prices)</v>
      </c>
      <c r="H19" s="227">
        <f>VLOOKUP($F18,$E$10:$H$16,4,FALSE)</f>
        <v>0</v>
      </c>
    </row>
    <row r="20" spans="1:20" s="227" customFormat="1" ht="13.15" x14ac:dyDescent="0.35">
      <c r="A20" s="228"/>
      <c r="B20" s="229"/>
      <c r="C20" s="230"/>
    </row>
    <row r="21" spans="1:20" s="227" customFormat="1" ht="13.15" x14ac:dyDescent="0.35">
      <c r="A21" s="228"/>
      <c r="B21" s="229" t="s">
        <v>205</v>
      </c>
      <c r="C21" s="230"/>
    </row>
    <row r="22" spans="1:20" s="227" customFormat="1" ht="13.15" x14ac:dyDescent="0.35">
      <c r="A22" s="228"/>
      <c r="B22" s="229"/>
      <c r="C22" s="230"/>
    </row>
    <row r="23" spans="1:20" s="233" customFormat="1" ht="13.15" x14ac:dyDescent="0.35">
      <c r="A23" s="231"/>
      <c r="B23" s="232"/>
      <c r="E23" s="233" t="str">
        <f xml:space="preserve"> Inputs!E$12</f>
        <v>Reporting year</v>
      </c>
      <c r="F23" s="233">
        <f xml:space="preserve"> Inputs!F$12</f>
        <v>0</v>
      </c>
      <c r="G23" s="233" t="str">
        <f xml:space="preserve"> Inputs!G$12</f>
        <v>Financial year</v>
      </c>
    </row>
    <row r="24" spans="1:20" s="227" customFormat="1" ht="13.15" x14ac:dyDescent="0.35">
      <c r="A24" s="228"/>
      <c r="B24" s="229"/>
      <c r="C24" s="230"/>
      <c r="E24" s="227" t="s">
        <v>206</v>
      </c>
      <c r="F24" s="331">
        <f>_xlfn.NUMBERVALUE(CONCATENATE(20,RIGHT(F23,2)))</f>
        <v>200</v>
      </c>
    </row>
    <row r="25" spans="1:20" s="233" customFormat="1" ht="13.15" x14ac:dyDescent="0.35">
      <c r="A25" s="231"/>
      <c r="B25" s="232"/>
      <c r="E25" s="246" t="str">
        <f xml:space="preserve"> Time!E$85</f>
        <v>Financial Year Ending</v>
      </c>
      <c r="F25" s="244">
        <f xml:space="preserve"> Time!F$85</f>
        <v>0</v>
      </c>
      <c r="G25" s="244" t="str">
        <f xml:space="preserve"> Time!G$85</f>
        <v>year #</v>
      </c>
      <c r="H25" s="244">
        <f xml:space="preserve"> Time!H$85</f>
        <v>0</v>
      </c>
      <c r="I25" s="244">
        <f xml:space="preserve"> Time!I$85</f>
        <v>0</v>
      </c>
      <c r="J25" s="330">
        <f xml:space="preserve"> Time!J$85</f>
        <v>2016</v>
      </c>
      <c r="K25" s="330">
        <f xml:space="preserve"> Time!K$85</f>
        <v>2017</v>
      </c>
      <c r="L25" s="330">
        <f xml:space="preserve"> Time!L$85</f>
        <v>2018</v>
      </c>
      <c r="M25" s="330">
        <f xml:space="preserve"> Time!M$85</f>
        <v>2019</v>
      </c>
      <c r="N25" s="330">
        <f xml:space="preserve"> Time!N$85</f>
        <v>2020</v>
      </c>
      <c r="O25" s="330">
        <f xml:space="preserve"> Time!O$85</f>
        <v>2021</v>
      </c>
      <c r="P25" s="330">
        <f xml:space="preserve"> Time!P$85</f>
        <v>2022</v>
      </c>
      <c r="Q25" s="330">
        <f xml:space="preserve"> Time!Q$85</f>
        <v>2023</v>
      </c>
      <c r="R25" s="330">
        <f xml:space="preserve"> Time!R$85</f>
        <v>2024</v>
      </c>
      <c r="S25" s="330">
        <f xml:space="preserve"> Time!S$85</f>
        <v>2025</v>
      </c>
      <c r="T25" s="330">
        <f xml:space="preserve"> Time!T$85</f>
        <v>2026</v>
      </c>
    </row>
    <row r="26" spans="1:20" s="227" customFormat="1" ht="13.15" x14ac:dyDescent="0.35">
      <c r="A26" s="228"/>
      <c r="B26" s="229"/>
      <c r="C26" s="230"/>
      <c r="E26" s="227" t="s">
        <v>207</v>
      </c>
      <c r="G26" s="227" t="s">
        <v>158</v>
      </c>
      <c r="J26" s="245">
        <f xml:space="preserve"> IF( J25 = $F24, 1, 0 )</f>
        <v>0</v>
      </c>
      <c r="K26" s="245">
        <f t="shared" ref="K26:T26" si="0" xml:space="preserve"> IF( K25 = $F24, 1, 0 )</f>
        <v>0</v>
      </c>
      <c r="L26" s="245">
        <f t="shared" si="0"/>
        <v>0</v>
      </c>
      <c r="M26" s="245">
        <f t="shared" si="0"/>
        <v>0</v>
      </c>
      <c r="N26" s="245">
        <f t="shared" si="0"/>
        <v>0</v>
      </c>
      <c r="O26" s="245">
        <f t="shared" si="0"/>
        <v>0</v>
      </c>
      <c r="P26" s="245">
        <f t="shared" si="0"/>
        <v>0</v>
      </c>
      <c r="Q26" s="245">
        <f t="shared" si="0"/>
        <v>0</v>
      </c>
      <c r="R26" s="245">
        <f t="shared" si="0"/>
        <v>0</v>
      </c>
      <c r="S26" s="245">
        <f t="shared" si="0"/>
        <v>0</v>
      </c>
      <c r="T26" s="245">
        <f t="shared" si="0"/>
        <v>0</v>
      </c>
    </row>
    <row r="27" spans="1:20" s="227" customFormat="1" ht="13.15" x14ac:dyDescent="0.35">
      <c r="A27" s="228"/>
      <c r="B27" s="229"/>
      <c r="C27" s="230"/>
      <c r="E27" s="227" t="s">
        <v>208</v>
      </c>
      <c r="G27" s="227" t="s">
        <v>158</v>
      </c>
      <c r="J27" s="245">
        <f xml:space="preserve"> IF( H26 = 1, 1, 0 )</f>
        <v>0</v>
      </c>
      <c r="K27" s="245">
        <f t="shared" ref="K27:T27" si="1" xml:space="preserve"> IF( I26 = 1, 1, 0 )</f>
        <v>0</v>
      </c>
      <c r="L27" s="245">
        <f t="shared" si="1"/>
        <v>0</v>
      </c>
      <c r="M27" s="245">
        <f t="shared" si="1"/>
        <v>0</v>
      </c>
      <c r="N27" s="245">
        <f t="shared" si="1"/>
        <v>0</v>
      </c>
      <c r="O27" s="245">
        <f t="shared" si="1"/>
        <v>0</v>
      </c>
      <c r="P27" s="245">
        <f t="shared" si="1"/>
        <v>0</v>
      </c>
      <c r="Q27" s="245">
        <f t="shared" si="1"/>
        <v>0</v>
      </c>
      <c r="R27" s="245">
        <f t="shared" si="1"/>
        <v>0</v>
      </c>
      <c r="S27" s="245">
        <f t="shared" si="1"/>
        <v>0</v>
      </c>
      <c r="T27" s="245">
        <f t="shared" si="1"/>
        <v>0</v>
      </c>
    </row>
    <row r="28" spans="1:20" s="227" customFormat="1" ht="13.15" x14ac:dyDescent="0.35">
      <c r="A28" s="228"/>
      <c r="B28" s="229"/>
      <c r="C28" s="230"/>
    </row>
    <row r="29" spans="1:20" s="227" customFormat="1" ht="13.15" x14ac:dyDescent="0.35">
      <c r="A29" s="228"/>
      <c r="B29" s="229"/>
      <c r="C29" s="230"/>
      <c r="E29" s="227" t="str">
        <f xml:space="preserve"> E19</f>
        <v>ODI payments for this price control</v>
      </c>
      <c r="G29" s="227" t="str">
        <f xml:space="preserve"> G19</f>
        <v>£m (2017-18 prices)</v>
      </c>
      <c r="J29" s="227">
        <f xml:space="preserve"> IF( J27 = 1, $H19, 0 )</f>
        <v>0</v>
      </c>
      <c r="K29" s="227">
        <f t="shared" ref="K29:T29" si="2" xml:space="preserve"> IF( K27 = 1, $H19, 0 )</f>
        <v>0</v>
      </c>
      <c r="L29" s="227">
        <f t="shared" si="2"/>
        <v>0</v>
      </c>
      <c r="M29" s="227">
        <f t="shared" si="2"/>
        <v>0</v>
      </c>
      <c r="N29" s="227">
        <f t="shared" si="2"/>
        <v>0</v>
      </c>
      <c r="O29" s="227">
        <f t="shared" si="2"/>
        <v>0</v>
      </c>
      <c r="P29" s="227">
        <f t="shared" si="2"/>
        <v>0</v>
      </c>
      <c r="Q29" s="227">
        <f t="shared" si="2"/>
        <v>0</v>
      </c>
      <c r="R29" s="227">
        <f t="shared" si="2"/>
        <v>0</v>
      </c>
      <c r="S29" s="227">
        <f t="shared" si="2"/>
        <v>0</v>
      </c>
      <c r="T29" s="227">
        <f t="shared" si="2"/>
        <v>0</v>
      </c>
    </row>
    <row r="30" spans="1:20" ht="13.15" x14ac:dyDescent="0.35">
      <c r="A30" s="228"/>
      <c r="B30" s="229"/>
      <c r="C30" s="230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</row>
    <row r="31" spans="1:20" s="9" customFormat="1" ht="13.15" x14ac:dyDescent="0.35">
      <c r="A31" s="224" t="s">
        <v>209</v>
      </c>
      <c r="B31" s="225"/>
      <c r="C31" s="225"/>
      <c r="D31" s="225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</row>
    <row r="32" spans="1:20" ht="13.15" x14ac:dyDescent="0.35">
      <c r="A32" s="228"/>
      <c r="B32" s="229"/>
      <c r="C32" s="230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</row>
    <row r="33" spans="1:20" ht="13.15" x14ac:dyDescent="0.35">
      <c r="A33" s="228"/>
      <c r="B33" s="229"/>
      <c r="C33" s="227"/>
      <c r="D33" s="227"/>
      <c r="E33" s="233" t="str">
        <f xml:space="preserve"> Inputs!E$82</f>
        <v>Allowed revenue starting point in FD</v>
      </c>
      <c r="F33" s="233">
        <f xml:space="preserve"> Inputs!F$82</f>
        <v>0</v>
      </c>
      <c r="G33" s="233" t="str">
        <f xml:space="preserve"> Inputs!G$82</f>
        <v>£m (nominal)</v>
      </c>
      <c r="H33" s="233">
        <f xml:space="preserve"> Inputs!H$82</f>
        <v>0</v>
      </c>
      <c r="I33" s="233">
        <f xml:space="preserve"> Inputs!I$82</f>
        <v>0</v>
      </c>
      <c r="J33" s="233">
        <f xml:space="preserve"> Inputs!J$82</f>
        <v>0</v>
      </c>
      <c r="K33" s="233">
        <f xml:space="preserve"> Inputs!K$82</f>
        <v>0</v>
      </c>
      <c r="L33" s="233">
        <f xml:space="preserve"> Inputs!L$82</f>
        <v>0</v>
      </c>
      <c r="M33" s="233">
        <f xml:space="preserve"> Inputs!M$82</f>
        <v>0</v>
      </c>
      <c r="N33" s="233">
        <f xml:space="preserve"> Inputs!N$82</f>
        <v>0</v>
      </c>
      <c r="O33" s="233">
        <f xml:space="preserve"> Inputs!O$82</f>
        <v>0</v>
      </c>
      <c r="P33" s="233">
        <f xml:space="preserve"> Inputs!P$82</f>
        <v>0</v>
      </c>
      <c r="Q33" s="233">
        <f xml:space="preserve"> Inputs!Q$82</f>
        <v>0</v>
      </c>
      <c r="R33" s="233">
        <f xml:space="preserve"> Inputs!R$82</f>
        <v>0</v>
      </c>
      <c r="S33" s="233">
        <f xml:space="preserve"> Inputs!S$82</f>
        <v>0</v>
      </c>
      <c r="T33" s="233">
        <f xml:space="preserve"> Inputs!T$82</f>
        <v>0</v>
      </c>
    </row>
    <row r="34" spans="1:20" ht="13.15" x14ac:dyDescent="0.35">
      <c r="A34" s="228"/>
      <c r="B34" s="229"/>
      <c r="C34" s="227"/>
      <c r="D34" s="227"/>
      <c r="E34" s="227" t="str">
        <f>E33</f>
        <v>Allowed revenue starting point in FD</v>
      </c>
      <c r="F34" s="227"/>
      <c r="G34" s="227"/>
      <c r="H34" s="227">
        <f xml:space="preserve"> SUM( J33:T33 )</f>
        <v>0</v>
      </c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</row>
    <row r="35" spans="1:20" s="117" customFormat="1" ht="13.15" x14ac:dyDescent="0.35">
      <c r="A35" s="228"/>
      <c r="B35" s="229"/>
      <c r="C35" s="230"/>
      <c r="D35" s="227"/>
      <c r="E35" s="246" t="str">
        <f xml:space="preserve"> Time!E$45</f>
        <v>1st Forecast Period Flag</v>
      </c>
      <c r="F35" s="244">
        <f xml:space="preserve"> Time!F$45</f>
        <v>0</v>
      </c>
      <c r="G35" s="244" t="str">
        <f xml:space="preserve"> Time!G$45</f>
        <v>flag</v>
      </c>
      <c r="H35" s="244">
        <f xml:space="preserve"> Time!H$45</f>
        <v>1</v>
      </c>
      <c r="I35" s="244">
        <f xml:space="preserve"> Time!I$45</f>
        <v>0</v>
      </c>
      <c r="J35" s="244">
        <f xml:space="preserve"> Time!J$45</f>
        <v>0</v>
      </c>
      <c r="K35" s="244">
        <f xml:space="preserve"> Time!K$45</f>
        <v>0</v>
      </c>
      <c r="L35" s="244">
        <f xml:space="preserve"> Time!L$45</f>
        <v>0</v>
      </c>
      <c r="M35" s="244">
        <f xml:space="preserve"> Time!M$45</f>
        <v>0</v>
      </c>
      <c r="N35" s="244">
        <f xml:space="preserve"> Time!N$45</f>
        <v>0</v>
      </c>
      <c r="O35" s="244">
        <f xml:space="preserve"> Time!O$45</f>
        <v>1</v>
      </c>
      <c r="P35" s="244">
        <f xml:space="preserve"> Time!P$45</f>
        <v>0</v>
      </c>
      <c r="Q35" s="244">
        <f xml:space="preserve"> Time!Q$45</f>
        <v>0</v>
      </c>
      <c r="R35" s="244">
        <f xml:space="preserve"> Time!R$45</f>
        <v>0</v>
      </c>
      <c r="S35" s="244">
        <f xml:space="preserve"> Time!S$45</f>
        <v>0</v>
      </c>
      <c r="T35" s="244">
        <f xml:space="preserve"> Time!T$45</f>
        <v>0</v>
      </c>
    </row>
    <row r="36" spans="1:20" ht="13.15" x14ac:dyDescent="0.35">
      <c r="A36" s="228"/>
      <c r="B36" s="229"/>
      <c r="C36" s="227"/>
      <c r="D36" s="227"/>
      <c r="E36" s="247" t="str">
        <f xml:space="preserve"> Inputs!E$83</f>
        <v>K factors (last determined)</v>
      </c>
      <c r="F36" s="247">
        <f xml:space="preserve"> Inputs!F$83</f>
        <v>0</v>
      </c>
      <c r="G36" s="247" t="str">
        <f xml:space="preserve"> Inputs!G$83</f>
        <v>Percentage</v>
      </c>
      <c r="H36" s="247">
        <f xml:space="preserve"> Inputs!H$83</f>
        <v>0</v>
      </c>
      <c r="I36" s="247">
        <f xml:space="preserve"> Inputs!I$83</f>
        <v>0</v>
      </c>
      <c r="J36" s="247">
        <f xml:space="preserve"> Inputs!J$83</f>
        <v>0</v>
      </c>
      <c r="K36" s="247">
        <f xml:space="preserve"> Inputs!K$83</f>
        <v>0</v>
      </c>
      <c r="L36" s="247">
        <f xml:space="preserve"> Inputs!L$83</f>
        <v>0</v>
      </c>
      <c r="M36" s="247">
        <f xml:space="preserve"> Inputs!M$83</f>
        <v>0</v>
      </c>
      <c r="N36" s="247">
        <f xml:space="preserve"> Inputs!N$83</f>
        <v>0</v>
      </c>
      <c r="O36" s="247">
        <f xml:space="preserve"> Inputs!O$83</f>
        <v>0</v>
      </c>
      <c r="P36" s="247">
        <f xml:space="preserve"> Inputs!P$83</f>
        <v>0</v>
      </c>
      <c r="Q36" s="247">
        <f xml:space="preserve"> Inputs!Q$83</f>
        <v>0</v>
      </c>
      <c r="R36" s="247">
        <f xml:space="preserve"> Inputs!R$83</f>
        <v>0</v>
      </c>
      <c r="S36" s="247">
        <f xml:space="preserve"> Inputs!S$83</f>
        <v>0</v>
      </c>
      <c r="T36" s="247">
        <f xml:space="preserve"> Inputs!T$83</f>
        <v>0</v>
      </c>
    </row>
    <row r="37" spans="1:20" s="114" customFormat="1" ht="13.15" x14ac:dyDescent="0.35">
      <c r="A37" s="231"/>
      <c r="B37" s="232"/>
      <c r="C37" s="233"/>
      <c r="D37" s="233"/>
      <c r="E37" s="247" t="str">
        <f xml:space="preserve"> Index!E$10</f>
        <v>Annual inflation figures</v>
      </c>
      <c r="F37" s="247">
        <f xml:space="preserve"> Index!F$10</f>
        <v>0</v>
      </c>
      <c r="G37" s="247" t="str">
        <f xml:space="preserve"> Index!G$10</f>
        <v>Percentage</v>
      </c>
      <c r="H37" s="247">
        <f xml:space="preserve"> Index!H$10</f>
        <v>0</v>
      </c>
      <c r="I37" s="247">
        <f xml:space="preserve"> Index!I$10</f>
        <v>0</v>
      </c>
      <c r="J37" s="247">
        <f xml:space="preserve"> Index!J$10</f>
        <v>0</v>
      </c>
      <c r="K37" s="247">
        <f xml:space="preserve"> Index!K$10</f>
        <v>0</v>
      </c>
      <c r="L37" s="247">
        <f xml:space="preserve"> Index!L$10</f>
        <v>3.572786012922835E-2</v>
      </c>
      <c r="M37" s="247">
        <f xml:space="preserve"> Index!M$10</f>
        <v>3.3394495412844227E-2</v>
      </c>
      <c r="N37" s="247">
        <f xml:space="preserve"> Index!N$10</f>
        <v>0</v>
      </c>
      <c r="O37" s="247">
        <f xml:space="preserve"> Index!O$10</f>
        <v>0</v>
      </c>
      <c r="P37" s="247">
        <f xml:space="preserve"> Index!P$10</f>
        <v>0</v>
      </c>
      <c r="Q37" s="247">
        <f xml:space="preserve"> Index!Q$10</f>
        <v>0</v>
      </c>
      <c r="R37" s="247">
        <f xml:space="preserve"> Index!R$10</f>
        <v>0</v>
      </c>
      <c r="S37" s="247">
        <f xml:space="preserve"> Index!S$10</f>
        <v>0</v>
      </c>
      <c r="T37" s="247">
        <f xml:space="preserve"> Index!T$10</f>
        <v>0</v>
      </c>
    </row>
    <row r="38" spans="1:20" s="121" customFormat="1" ht="13.15" x14ac:dyDescent="0.35">
      <c r="A38" s="228"/>
      <c r="B38" s="229"/>
      <c r="C38" s="227"/>
      <c r="D38" s="227"/>
      <c r="E38" s="227" t="s">
        <v>210</v>
      </c>
      <c r="F38" s="227"/>
      <c r="G38" s="227" t="s">
        <v>117</v>
      </c>
      <c r="H38" s="227">
        <f xml:space="preserve"> SUM( J38:T38 )</f>
        <v>0</v>
      </c>
      <c r="I38" s="227"/>
      <c r="J38" s="227">
        <f xml:space="preserve"> IF(J35=1, $H34 * (1+J37+J36), I38 *  (1+J37+J36))</f>
        <v>0</v>
      </c>
      <c r="K38" s="227">
        <f t="shared" ref="K38:T38" si="3" xml:space="preserve"> IF(K35=1, $H34 * (1+K37+K36), J38 *  (1+K37+K36))</f>
        <v>0</v>
      </c>
      <c r="L38" s="227">
        <f t="shared" si="3"/>
        <v>0</v>
      </c>
      <c r="M38" s="227">
        <f t="shared" si="3"/>
        <v>0</v>
      </c>
      <c r="N38" s="227">
        <f t="shared" si="3"/>
        <v>0</v>
      </c>
      <c r="O38" s="227">
        <f t="shared" si="3"/>
        <v>0</v>
      </c>
      <c r="P38" s="227">
        <f xml:space="preserve"> IF(P35=1, $H34 * (1+P37+P36), O38 *  (1+P37+P36))</f>
        <v>0</v>
      </c>
      <c r="Q38" s="227">
        <f t="shared" si="3"/>
        <v>0</v>
      </c>
      <c r="R38" s="227">
        <f t="shared" si="3"/>
        <v>0</v>
      </c>
      <c r="S38" s="227">
        <f t="shared" si="3"/>
        <v>0</v>
      </c>
      <c r="T38" s="227">
        <f t="shared" si="3"/>
        <v>0</v>
      </c>
    </row>
    <row r="39" spans="1:20" ht="13.15" x14ac:dyDescent="0.35">
      <c r="A39" s="228"/>
      <c r="B39" s="229"/>
      <c r="C39" s="230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</row>
    <row r="40" spans="1:20" s="227" customFormat="1" ht="13.15" x14ac:dyDescent="0.35">
      <c r="A40" s="228"/>
      <c r="B40" s="229" t="s">
        <v>211</v>
      </c>
      <c r="C40" s="230"/>
    </row>
    <row r="41" spans="1:20" s="227" customFormat="1" ht="13.15" x14ac:dyDescent="0.35">
      <c r="A41" s="228"/>
      <c r="B41" s="229"/>
      <c r="E41" s="227" t="str">
        <f xml:space="preserve"> E$29</f>
        <v>ODI payments for this price control</v>
      </c>
      <c r="F41" s="227">
        <f t="shared" ref="F41:T41" si="4" xml:space="preserve"> F$29</f>
        <v>0</v>
      </c>
      <c r="G41" s="227" t="str">
        <f t="shared" si="4"/>
        <v>£m (2017-18 prices)</v>
      </c>
      <c r="H41" s="227">
        <f t="shared" si="4"/>
        <v>0</v>
      </c>
      <c r="I41" s="227">
        <f t="shared" si="4"/>
        <v>0</v>
      </c>
      <c r="J41" s="227">
        <f t="shared" si="4"/>
        <v>0</v>
      </c>
      <c r="K41" s="227">
        <f t="shared" si="4"/>
        <v>0</v>
      </c>
      <c r="L41" s="227">
        <f t="shared" si="4"/>
        <v>0</v>
      </c>
      <c r="M41" s="227">
        <f t="shared" si="4"/>
        <v>0</v>
      </c>
      <c r="N41" s="227">
        <f t="shared" si="4"/>
        <v>0</v>
      </c>
      <c r="O41" s="227">
        <f t="shared" si="4"/>
        <v>0</v>
      </c>
      <c r="P41" s="227">
        <f t="shared" si="4"/>
        <v>0</v>
      </c>
      <c r="Q41" s="227">
        <f t="shared" si="4"/>
        <v>0</v>
      </c>
      <c r="R41" s="227">
        <f t="shared" si="4"/>
        <v>0</v>
      </c>
      <c r="S41" s="227">
        <f t="shared" si="4"/>
        <v>0</v>
      </c>
      <c r="T41" s="227">
        <f t="shared" si="4"/>
        <v>0</v>
      </c>
    </row>
    <row r="42" spans="1:20" s="233" customFormat="1" ht="13.15" x14ac:dyDescent="0.35">
      <c r="A42" s="231"/>
      <c r="B42" s="232"/>
      <c r="E42" s="222" t="str">
        <f xml:space="preserve"> Index!E$13</f>
        <v>Cumulative inflation factor</v>
      </c>
      <c r="F42" s="222">
        <f xml:space="preserve"> Index!F$13</f>
        <v>0</v>
      </c>
      <c r="G42" s="222" t="str">
        <f xml:space="preserve"> Index!G$13</f>
        <v>Percentage</v>
      </c>
      <c r="H42" s="222">
        <f xml:space="preserve"> Index!H$13</f>
        <v>0</v>
      </c>
      <c r="I42" s="222">
        <f xml:space="preserve"> Index!I$13</f>
        <v>0</v>
      </c>
      <c r="J42" s="222">
        <f xml:space="preserve"> Index!J$13</f>
        <v>0</v>
      </c>
      <c r="K42" s="222">
        <f xml:space="preserve"> Index!K$13</f>
        <v>0</v>
      </c>
      <c r="L42" s="222">
        <f xml:space="preserve"> Index!L$13</f>
        <v>1</v>
      </c>
      <c r="M42" s="222">
        <f xml:space="preserve"> Index!M$13</f>
        <v>1.0333944954128442</v>
      </c>
      <c r="N42" s="222">
        <f xml:space="preserve"> Index!N$13</f>
        <v>1.0333944954128442</v>
      </c>
      <c r="O42" s="222">
        <f xml:space="preserve"> Index!O$13</f>
        <v>1.0333944954128442</v>
      </c>
      <c r="P42" s="222">
        <f xml:space="preserve"> Index!P$13</f>
        <v>1.0333944954128442</v>
      </c>
      <c r="Q42" s="222">
        <f xml:space="preserve"> Index!Q$13</f>
        <v>1.0333944954128442</v>
      </c>
      <c r="R42" s="222">
        <f xml:space="preserve"> Index!R$13</f>
        <v>1.0333944954128442</v>
      </c>
      <c r="S42" s="222">
        <f xml:space="preserve"> Index!S$13</f>
        <v>1.0333944954128442</v>
      </c>
      <c r="T42" s="222">
        <f xml:space="preserve"> Index!T$13</f>
        <v>1.0333944954128442</v>
      </c>
    </row>
    <row r="43" spans="1:20" s="227" customFormat="1" ht="13.15" x14ac:dyDescent="0.35">
      <c r="A43" s="228"/>
      <c r="B43" s="229"/>
      <c r="C43" s="230"/>
      <c r="E43" s="227" t="s">
        <v>212</v>
      </c>
      <c r="G43" s="227" t="s">
        <v>117</v>
      </c>
      <c r="H43" s="227">
        <f xml:space="preserve"> SUM( J43:T43 )</f>
        <v>0</v>
      </c>
      <c r="J43" s="227">
        <f t="shared" ref="J43:P43" si="5" xml:space="preserve"> J41 * J42</f>
        <v>0</v>
      </c>
      <c r="K43" s="227">
        <f t="shared" si="5"/>
        <v>0</v>
      </c>
      <c r="L43" s="227">
        <f t="shared" si="5"/>
        <v>0</v>
      </c>
      <c r="M43" s="227">
        <f t="shared" si="5"/>
        <v>0</v>
      </c>
      <c r="N43" s="227">
        <f t="shared" si="5"/>
        <v>0</v>
      </c>
      <c r="O43" s="227">
        <f t="shared" si="5"/>
        <v>0</v>
      </c>
      <c r="P43" s="227">
        <f t="shared" si="5"/>
        <v>0</v>
      </c>
      <c r="Q43" s="227">
        <f xml:space="preserve"> Q41 * Q42</f>
        <v>0</v>
      </c>
      <c r="R43" s="227">
        <f xml:space="preserve"> R41 * R42</f>
        <v>0</v>
      </c>
      <c r="S43" s="227">
        <f xml:space="preserve"> S41 * S42</f>
        <v>0</v>
      </c>
      <c r="T43" s="227">
        <f xml:space="preserve"> T41 * T42</f>
        <v>0</v>
      </c>
    </row>
    <row r="44" spans="1:20" s="227" customFormat="1" ht="13.15" x14ac:dyDescent="0.35">
      <c r="A44" s="228"/>
      <c r="B44" s="229"/>
      <c r="C44" s="230"/>
    </row>
    <row r="45" spans="1:20" s="227" customFormat="1" ht="13.15" x14ac:dyDescent="0.35">
      <c r="A45" s="228"/>
      <c r="B45" s="229" t="s">
        <v>213</v>
      </c>
      <c r="C45" s="230"/>
    </row>
    <row r="46" spans="1:20" s="233" customFormat="1" ht="13.15" x14ac:dyDescent="0.35">
      <c r="A46" s="231"/>
      <c r="B46" s="229"/>
      <c r="E46" s="222" t="str">
        <f xml:space="preserve"> Inputs!E$71</f>
        <v>Marginal tax rate</v>
      </c>
      <c r="F46" s="222">
        <f xml:space="preserve"> Inputs!F$71</f>
        <v>0</v>
      </c>
      <c r="G46" s="222" t="str">
        <f xml:space="preserve"> Inputs!G$71</f>
        <v>Percentage</v>
      </c>
      <c r="H46" s="222">
        <f xml:space="preserve"> Inputs!H$71</f>
        <v>0</v>
      </c>
      <c r="I46" s="222">
        <f xml:space="preserve"> Inputs!I$71</f>
        <v>0</v>
      </c>
      <c r="J46" s="222">
        <f xml:space="preserve"> Inputs!J$71</f>
        <v>0</v>
      </c>
      <c r="K46" s="222">
        <f xml:space="preserve"> Inputs!K$71</f>
        <v>0</v>
      </c>
      <c r="L46" s="222">
        <f xml:space="preserve"> Inputs!L$71</f>
        <v>0</v>
      </c>
      <c r="M46" s="222">
        <f xml:space="preserve"> Inputs!M$71</f>
        <v>0</v>
      </c>
      <c r="N46" s="222">
        <f xml:space="preserve"> Inputs!N$71</f>
        <v>0</v>
      </c>
      <c r="O46" s="222">
        <f xml:space="preserve"> Inputs!O$71</f>
        <v>0</v>
      </c>
      <c r="P46" s="222">
        <f xml:space="preserve"> Inputs!P$71</f>
        <v>0</v>
      </c>
      <c r="Q46" s="222">
        <f xml:space="preserve"> Inputs!Q$71</f>
        <v>0.19</v>
      </c>
      <c r="R46" s="222">
        <f xml:space="preserve"> Inputs!R$71</f>
        <v>0</v>
      </c>
      <c r="S46" s="222">
        <f xml:space="preserve"> Inputs!S$71</f>
        <v>0</v>
      </c>
      <c r="T46" s="222">
        <f xml:space="preserve"> Inputs!T$71</f>
        <v>0</v>
      </c>
    </row>
    <row r="47" spans="1:20" s="276" customFormat="1" ht="13.15" x14ac:dyDescent="0.35">
      <c r="A47" s="281"/>
      <c r="B47" s="282"/>
      <c r="E47" s="276" t="s">
        <v>214</v>
      </c>
      <c r="G47" s="276" t="s">
        <v>109</v>
      </c>
      <c r="J47" s="276">
        <f xml:space="preserve"> 1 / (1 - J46 ) - 1</f>
        <v>0</v>
      </c>
      <c r="K47" s="276">
        <f t="shared" ref="K47:T47" si="6" xml:space="preserve"> 1 / (1 - K46 ) - 1</f>
        <v>0</v>
      </c>
      <c r="L47" s="276">
        <f t="shared" si="6"/>
        <v>0</v>
      </c>
      <c r="M47" s="276">
        <f t="shared" si="6"/>
        <v>0</v>
      </c>
      <c r="N47" s="276">
        <f t="shared" si="6"/>
        <v>0</v>
      </c>
      <c r="O47" s="276">
        <f t="shared" si="6"/>
        <v>0</v>
      </c>
      <c r="P47" s="276">
        <f t="shared" si="6"/>
        <v>0</v>
      </c>
      <c r="Q47" s="276">
        <f t="shared" si="6"/>
        <v>0.23456790123456783</v>
      </c>
      <c r="R47" s="276">
        <f t="shared" si="6"/>
        <v>0</v>
      </c>
      <c r="S47" s="276">
        <f t="shared" si="6"/>
        <v>0</v>
      </c>
      <c r="T47" s="276">
        <f t="shared" si="6"/>
        <v>0</v>
      </c>
    </row>
    <row r="48" spans="1:20" s="227" customFormat="1" ht="13.15" x14ac:dyDescent="0.35">
      <c r="A48" s="228"/>
      <c r="B48" s="229"/>
      <c r="C48" s="230"/>
    </row>
    <row r="49" spans="1:20" s="227" customFormat="1" ht="13.15" x14ac:dyDescent="0.35">
      <c r="A49" s="228"/>
      <c r="B49" s="229"/>
      <c r="C49" s="230"/>
      <c r="E49" s="227" t="str">
        <f t="shared" ref="E49:T49" si="7" xml:space="preserve"> E$43</f>
        <v>ODI value nominal prices</v>
      </c>
      <c r="F49" s="227">
        <f t="shared" si="7"/>
        <v>0</v>
      </c>
      <c r="G49" s="227" t="str">
        <f t="shared" si="7"/>
        <v>£m (nominal)</v>
      </c>
      <c r="H49" s="227">
        <f t="shared" si="7"/>
        <v>0</v>
      </c>
      <c r="I49" s="227">
        <f t="shared" si="7"/>
        <v>0</v>
      </c>
      <c r="J49" s="227">
        <f t="shared" si="7"/>
        <v>0</v>
      </c>
      <c r="K49" s="227">
        <f t="shared" si="7"/>
        <v>0</v>
      </c>
      <c r="L49" s="227">
        <f t="shared" si="7"/>
        <v>0</v>
      </c>
      <c r="M49" s="227">
        <f t="shared" si="7"/>
        <v>0</v>
      </c>
      <c r="N49" s="227">
        <f t="shared" si="7"/>
        <v>0</v>
      </c>
      <c r="O49" s="227">
        <f t="shared" si="7"/>
        <v>0</v>
      </c>
      <c r="P49" s="227">
        <f t="shared" si="7"/>
        <v>0</v>
      </c>
      <c r="Q49" s="227">
        <f t="shared" si="7"/>
        <v>0</v>
      </c>
      <c r="R49" s="227">
        <f t="shared" si="7"/>
        <v>0</v>
      </c>
      <c r="S49" s="227">
        <f t="shared" si="7"/>
        <v>0</v>
      </c>
      <c r="T49" s="227">
        <f t="shared" si="7"/>
        <v>0</v>
      </c>
    </row>
    <row r="50" spans="1:20" s="276" customFormat="1" ht="13.15" x14ac:dyDescent="0.35">
      <c r="A50" s="281"/>
      <c r="B50" s="282"/>
      <c r="E50" s="286" t="str">
        <f t="shared" ref="E50:T50" si="8" xml:space="preserve"> E$47</f>
        <v>Tax on Tax geometric uplift</v>
      </c>
      <c r="F50" s="286">
        <f t="shared" si="8"/>
        <v>0</v>
      </c>
      <c r="G50" s="286" t="str">
        <f t="shared" si="8"/>
        <v>Percentage</v>
      </c>
      <c r="H50" s="286">
        <f t="shared" si="8"/>
        <v>0</v>
      </c>
      <c r="I50" s="286">
        <f t="shared" si="8"/>
        <v>0</v>
      </c>
      <c r="J50" s="286">
        <f t="shared" si="8"/>
        <v>0</v>
      </c>
      <c r="K50" s="286">
        <f t="shared" si="8"/>
        <v>0</v>
      </c>
      <c r="L50" s="286">
        <f t="shared" si="8"/>
        <v>0</v>
      </c>
      <c r="M50" s="286">
        <f t="shared" si="8"/>
        <v>0</v>
      </c>
      <c r="N50" s="286">
        <f t="shared" si="8"/>
        <v>0</v>
      </c>
      <c r="O50" s="286">
        <f t="shared" si="8"/>
        <v>0</v>
      </c>
      <c r="P50" s="286">
        <f t="shared" si="8"/>
        <v>0</v>
      </c>
      <c r="Q50" s="286">
        <f t="shared" si="8"/>
        <v>0.23456790123456783</v>
      </c>
      <c r="R50" s="286">
        <f t="shared" si="8"/>
        <v>0</v>
      </c>
      <c r="S50" s="286">
        <f t="shared" si="8"/>
        <v>0</v>
      </c>
      <c r="T50" s="286">
        <f t="shared" si="8"/>
        <v>0</v>
      </c>
    </row>
    <row r="51" spans="1:20" s="227" customFormat="1" ht="13.15" x14ac:dyDescent="0.35">
      <c r="A51" s="228"/>
      <c r="B51" s="229"/>
      <c r="C51" s="230"/>
      <c r="E51" s="227" t="s">
        <v>215</v>
      </c>
      <c r="G51" s="227" t="s">
        <v>117</v>
      </c>
      <c r="H51" s="227">
        <f xml:space="preserve"> SUM( J51:T51 )</f>
        <v>0</v>
      </c>
      <c r="J51" s="227">
        <f t="shared" ref="J51:T51" si="9" xml:space="preserve"> J49 * J50</f>
        <v>0</v>
      </c>
      <c r="K51" s="227">
        <f t="shared" si="9"/>
        <v>0</v>
      </c>
      <c r="L51" s="227">
        <f t="shared" si="9"/>
        <v>0</v>
      </c>
      <c r="M51" s="227">
        <f t="shared" si="9"/>
        <v>0</v>
      </c>
      <c r="N51" s="227">
        <f t="shared" si="9"/>
        <v>0</v>
      </c>
      <c r="O51" s="227">
        <f t="shared" si="9"/>
        <v>0</v>
      </c>
      <c r="P51" s="227">
        <f t="shared" si="9"/>
        <v>0</v>
      </c>
      <c r="Q51" s="227">
        <f t="shared" si="9"/>
        <v>0</v>
      </c>
      <c r="R51" s="227">
        <f t="shared" si="9"/>
        <v>0</v>
      </c>
      <c r="S51" s="227">
        <f t="shared" si="9"/>
        <v>0</v>
      </c>
      <c r="T51" s="227">
        <f t="shared" si="9"/>
        <v>0</v>
      </c>
    </row>
    <row r="52" spans="1:20" s="227" customFormat="1" ht="13.15" x14ac:dyDescent="0.35">
      <c r="A52" s="228"/>
      <c r="B52" s="229"/>
      <c r="C52" s="230"/>
    </row>
    <row r="53" spans="1:20" s="227" customFormat="1" ht="13.15" x14ac:dyDescent="0.35">
      <c r="A53" s="228"/>
      <c r="B53" s="229"/>
      <c r="C53" s="230"/>
      <c r="E53" s="227" t="str">
        <f t="shared" ref="E53:T53" si="10" xml:space="preserve"> E$43</f>
        <v>ODI value nominal prices</v>
      </c>
      <c r="F53" s="227">
        <f t="shared" si="10"/>
        <v>0</v>
      </c>
      <c r="G53" s="227" t="str">
        <f t="shared" si="10"/>
        <v>£m (nominal)</v>
      </c>
      <c r="H53" s="227">
        <f t="shared" si="10"/>
        <v>0</v>
      </c>
      <c r="I53" s="227">
        <f t="shared" si="10"/>
        <v>0</v>
      </c>
      <c r="J53" s="235">
        <f t="shared" si="10"/>
        <v>0</v>
      </c>
      <c r="K53" s="235">
        <f t="shared" si="10"/>
        <v>0</v>
      </c>
      <c r="L53" s="235">
        <f t="shared" si="10"/>
        <v>0</v>
      </c>
      <c r="M53" s="235">
        <f t="shared" si="10"/>
        <v>0</v>
      </c>
      <c r="N53" s="235">
        <f t="shared" si="10"/>
        <v>0</v>
      </c>
      <c r="O53" s="235">
        <f t="shared" si="10"/>
        <v>0</v>
      </c>
      <c r="P53" s="235">
        <f t="shared" si="10"/>
        <v>0</v>
      </c>
      <c r="Q53" s="235">
        <f t="shared" si="10"/>
        <v>0</v>
      </c>
      <c r="R53" s="235">
        <f t="shared" si="10"/>
        <v>0</v>
      </c>
      <c r="S53" s="235">
        <f t="shared" si="10"/>
        <v>0</v>
      </c>
      <c r="T53" s="235">
        <f t="shared" si="10"/>
        <v>0</v>
      </c>
    </row>
    <row r="54" spans="1:20" s="227" customFormat="1" ht="13.15" x14ac:dyDescent="0.35">
      <c r="A54" s="228"/>
      <c r="B54" s="229"/>
      <c r="C54" s="230"/>
      <c r="E54" s="227" t="str">
        <f t="shared" ref="E54:T54" si="11" xml:space="preserve"> E$51</f>
        <v>Tax on nominal ODI</v>
      </c>
      <c r="F54" s="227">
        <f t="shared" si="11"/>
        <v>0</v>
      </c>
      <c r="G54" s="227" t="str">
        <f t="shared" si="11"/>
        <v>£m (nominal)</v>
      </c>
      <c r="H54" s="227">
        <f t="shared" si="11"/>
        <v>0</v>
      </c>
      <c r="I54" s="227">
        <f t="shared" si="11"/>
        <v>0</v>
      </c>
      <c r="J54" s="235">
        <f t="shared" si="11"/>
        <v>0</v>
      </c>
      <c r="K54" s="235">
        <f t="shared" si="11"/>
        <v>0</v>
      </c>
      <c r="L54" s="235">
        <f t="shared" si="11"/>
        <v>0</v>
      </c>
      <c r="M54" s="235">
        <f t="shared" si="11"/>
        <v>0</v>
      </c>
      <c r="N54" s="235">
        <f t="shared" si="11"/>
        <v>0</v>
      </c>
      <c r="O54" s="235">
        <f t="shared" si="11"/>
        <v>0</v>
      </c>
      <c r="P54" s="235">
        <f t="shared" si="11"/>
        <v>0</v>
      </c>
      <c r="Q54" s="235">
        <f t="shared" si="11"/>
        <v>0</v>
      </c>
      <c r="R54" s="235">
        <f t="shared" si="11"/>
        <v>0</v>
      </c>
      <c r="S54" s="235">
        <f t="shared" si="11"/>
        <v>0</v>
      </c>
      <c r="T54" s="235">
        <f t="shared" si="11"/>
        <v>0</v>
      </c>
    </row>
    <row r="55" spans="1:20" s="227" customFormat="1" ht="13.15" x14ac:dyDescent="0.35">
      <c r="A55" s="228"/>
      <c r="B55" s="229"/>
      <c r="C55" s="230"/>
      <c r="E55" s="227" t="s">
        <v>216</v>
      </c>
      <c r="G55" s="227" t="s">
        <v>117</v>
      </c>
      <c r="H55" s="235">
        <f xml:space="preserve"> H53 + H54</f>
        <v>0</v>
      </c>
      <c r="J55" s="235">
        <f xml:space="preserve"> J53 + J54</f>
        <v>0</v>
      </c>
      <c r="K55" s="235">
        <f t="shared" ref="K55:T55" si="12" xml:space="preserve"> K53 + K54</f>
        <v>0</v>
      </c>
      <c r="L55" s="235">
        <f t="shared" si="12"/>
        <v>0</v>
      </c>
      <c r="M55" s="235">
        <f t="shared" si="12"/>
        <v>0</v>
      </c>
      <c r="N55" s="235">
        <f t="shared" si="12"/>
        <v>0</v>
      </c>
      <c r="O55" s="235">
        <f t="shared" si="12"/>
        <v>0</v>
      </c>
      <c r="P55" s="235">
        <f t="shared" si="12"/>
        <v>0</v>
      </c>
      <c r="Q55" s="235">
        <f t="shared" si="12"/>
        <v>0</v>
      </c>
      <c r="R55" s="235">
        <f t="shared" si="12"/>
        <v>0</v>
      </c>
      <c r="S55" s="235">
        <f t="shared" si="12"/>
        <v>0</v>
      </c>
      <c r="T55" s="235">
        <f t="shared" si="12"/>
        <v>0</v>
      </c>
    </row>
    <row r="56" spans="1:20" s="227" customFormat="1" ht="13.15" x14ac:dyDescent="0.35">
      <c r="A56" s="228"/>
      <c r="B56" s="229"/>
      <c r="C56" s="230"/>
    </row>
    <row r="57" spans="1:20" s="227" customFormat="1" ht="13.15" x14ac:dyDescent="0.35">
      <c r="A57" s="228"/>
      <c r="B57" s="229"/>
      <c r="C57" s="230"/>
      <c r="E57" s="227" t="str">
        <f t="shared" ref="E57:T57" si="13" xml:space="preserve"> E$38</f>
        <v>Allowed revenue</v>
      </c>
      <c r="F57" s="227">
        <f t="shared" si="13"/>
        <v>0</v>
      </c>
      <c r="G57" s="227" t="str">
        <f t="shared" si="13"/>
        <v>£m (nominal)</v>
      </c>
      <c r="H57" s="227">
        <f t="shared" si="13"/>
        <v>0</v>
      </c>
      <c r="I57" s="227">
        <f t="shared" si="13"/>
        <v>0</v>
      </c>
      <c r="J57" s="235">
        <f t="shared" si="13"/>
        <v>0</v>
      </c>
      <c r="K57" s="235">
        <f t="shared" si="13"/>
        <v>0</v>
      </c>
      <c r="L57" s="235">
        <f t="shared" si="13"/>
        <v>0</v>
      </c>
      <c r="M57" s="235">
        <f t="shared" si="13"/>
        <v>0</v>
      </c>
      <c r="N57" s="235">
        <f t="shared" si="13"/>
        <v>0</v>
      </c>
      <c r="O57" s="235">
        <f t="shared" si="13"/>
        <v>0</v>
      </c>
      <c r="P57" s="235">
        <f t="shared" si="13"/>
        <v>0</v>
      </c>
      <c r="Q57" s="235">
        <f t="shared" si="13"/>
        <v>0</v>
      </c>
      <c r="R57" s="235">
        <f t="shared" si="13"/>
        <v>0</v>
      </c>
      <c r="S57" s="235">
        <f t="shared" si="13"/>
        <v>0</v>
      </c>
      <c r="T57" s="235">
        <f t="shared" si="13"/>
        <v>0</v>
      </c>
    </row>
    <row r="58" spans="1:20" s="227" customFormat="1" ht="13.15" x14ac:dyDescent="0.35">
      <c r="A58" s="228"/>
      <c r="B58" s="229"/>
      <c r="C58" s="230"/>
      <c r="E58" s="227" t="str">
        <f t="shared" ref="E58:T58" si="14" xml:space="preserve"> E$55</f>
        <v xml:space="preserve">Total value of ODI </v>
      </c>
      <c r="F58" s="227">
        <f t="shared" si="14"/>
        <v>0</v>
      </c>
      <c r="G58" s="227" t="str">
        <f t="shared" si="14"/>
        <v>£m (nominal)</v>
      </c>
      <c r="H58" s="227">
        <f t="shared" si="14"/>
        <v>0</v>
      </c>
      <c r="I58" s="227">
        <f t="shared" si="14"/>
        <v>0</v>
      </c>
      <c r="J58" s="235">
        <f t="shared" si="14"/>
        <v>0</v>
      </c>
      <c r="K58" s="235">
        <f t="shared" si="14"/>
        <v>0</v>
      </c>
      <c r="L58" s="235">
        <f t="shared" si="14"/>
        <v>0</v>
      </c>
      <c r="M58" s="235">
        <f t="shared" si="14"/>
        <v>0</v>
      </c>
      <c r="N58" s="235">
        <f t="shared" si="14"/>
        <v>0</v>
      </c>
      <c r="O58" s="235">
        <f t="shared" si="14"/>
        <v>0</v>
      </c>
      <c r="P58" s="235">
        <f t="shared" si="14"/>
        <v>0</v>
      </c>
      <c r="Q58" s="235">
        <f t="shared" si="14"/>
        <v>0</v>
      </c>
      <c r="R58" s="235">
        <f t="shared" si="14"/>
        <v>0</v>
      </c>
      <c r="S58" s="235">
        <f t="shared" si="14"/>
        <v>0</v>
      </c>
      <c r="T58" s="235">
        <f t="shared" si="14"/>
        <v>0</v>
      </c>
    </row>
    <row r="59" spans="1:20" s="227" customFormat="1" ht="13.15" x14ac:dyDescent="0.35">
      <c r="A59" s="228"/>
      <c r="B59" s="229"/>
      <c r="C59" s="230"/>
      <c r="E59" s="227" t="s">
        <v>217</v>
      </c>
      <c r="G59" s="227" t="s">
        <v>117</v>
      </c>
      <c r="H59" s="227">
        <f xml:space="preserve"> SUM( J59:T59 )</f>
        <v>0</v>
      </c>
      <c r="J59" s="235">
        <f xml:space="preserve"> J57 + J58</f>
        <v>0</v>
      </c>
      <c r="K59" s="235">
        <f t="shared" ref="K59:T59" si="15" xml:space="preserve"> K57 + K58</f>
        <v>0</v>
      </c>
      <c r="L59" s="235">
        <f t="shared" si="15"/>
        <v>0</v>
      </c>
      <c r="M59" s="235">
        <f t="shared" si="15"/>
        <v>0</v>
      </c>
      <c r="N59" s="235">
        <f t="shared" si="15"/>
        <v>0</v>
      </c>
      <c r="O59" s="235">
        <f t="shared" si="15"/>
        <v>0</v>
      </c>
      <c r="P59" s="235">
        <f t="shared" si="15"/>
        <v>0</v>
      </c>
      <c r="Q59" s="235">
        <f t="shared" si="15"/>
        <v>0</v>
      </c>
      <c r="R59" s="235">
        <f t="shared" si="15"/>
        <v>0</v>
      </c>
      <c r="S59" s="235">
        <f t="shared" si="15"/>
        <v>0</v>
      </c>
      <c r="T59" s="235">
        <f t="shared" si="15"/>
        <v>0</v>
      </c>
    </row>
    <row r="60" spans="1:20" s="227" customFormat="1" ht="13.15" x14ac:dyDescent="0.35">
      <c r="A60" s="228"/>
      <c r="B60" s="229"/>
      <c r="C60" s="230"/>
    </row>
    <row r="61" spans="1:20" s="227" customFormat="1" ht="13.15" x14ac:dyDescent="0.35">
      <c r="A61" s="228"/>
      <c r="B61" s="229" t="s">
        <v>218</v>
      </c>
      <c r="C61" s="230"/>
    </row>
    <row r="62" spans="1:20" s="227" customFormat="1" ht="13.15" x14ac:dyDescent="0.35">
      <c r="A62" s="228"/>
      <c r="B62" s="229"/>
      <c r="C62" s="230"/>
      <c r="E62" s="227" t="str">
        <f t="shared" ref="E62:T62" si="16" xml:space="preserve"> E$59</f>
        <v>Revised total nominal revenue</v>
      </c>
      <c r="F62" s="227">
        <f t="shared" si="16"/>
        <v>0</v>
      </c>
      <c r="G62" s="227" t="str">
        <f t="shared" si="16"/>
        <v>£m (nominal)</v>
      </c>
      <c r="H62" s="227">
        <f t="shared" si="16"/>
        <v>0</v>
      </c>
      <c r="I62" s="227">
        <f t="shared" si="16"/>
        <v>0</v>
      </c>
      <c r="J62" s="227">
        <f t="shared" si="16"/>
        <v>0</v>
      </c>
      <c r="K62" s="227">
        <f t="shared" si="16"/>
        <v>0</v>
      </c>
      <c r="L62" s="227">
        <f t="shared" si="16"/>
        <v>0</v>
      </c>
      <c r="M62" s="227">
        <f t="shared" si="16"/>
        <v>0</v>
      </c>
      <c r="N62" s="227">
        <f t="shared" si="16"/>
        <v>0</v>
      </c>
      <c r="O62" s="227">
        <f t="shared" si="16"/>
        <v>0</v>
      </c>
      <c r="P62" s="227">
        <f t="shared" si="16"/>
        <v>0</v>
      </c>
      <c r="Q62" s="227">
        <f t="shared" si="16"/>
        <v>0</v>
      </c>
      <c r="R62" s="227">
        <f t="shared" si="16"/>
        <v>0</v>
      </c>
      <c r="S62" s="227">
        <f t="shared" si="16"/>
        <v>0</v>
      </c>
      <c r="T62" s="227">
        <f t="shared" si="16"/>
        <v>0</v>
      </c>
    </row>
    <row r="63" spans="1:20" s="227" customFormat="1" x14ac:dyDescent="0.35">
      <c r="A63" s="228"/>
      <c r="B63" s="236"/>
      <c r="C63" s="230"/>
      <c r="E63" s="237" t="s">
        <v>219</v>
      </c>
      <c r="F63" s="238"/>
      <c r="G63" s="237" t="s">
        <v>109</v>
      </c>
      <c r="H63" s="238"/>
      <c r="J63" s="284">
        <f xml:space="preserve"> IF( I62 = 0, 0, J62 / I62 - 1 )</f>
        <v>0</v>
      </c>
      <c r="K63" s="284">
        <f t="shared" ref="K63:T63" si="17" xml:space="preserve"> IF( J62 = 0, 0, K62 / J62 - 1 )</f>
        <v>0</v>
      </c>
      <c r="L63" s="284">
        <f t="shared" si="17"/>
        <v>0</v>
      </c>
      <c r="M63" s="284">
        <f t="shared" si="17"/>
        <v>0</v>
      </c>
      <c r="N63" s="284">
        <f t="shared" si="17"/>
        <v>0</v>
      </c>
      <c r="O63" s="284">
        <f t="shared" si="17"/>
        <v>0</v>
      </c>
      <c r="P63" s="284">
        <f t="shared" si="17"/>
        <v>0</v>
      </c>
      <c r="Q63" s="284">
        <f t="shared" si="17"/>
        <v>0</v>
      </c>
      <c r="R63" s="284">
        <f t="shared" si="17"/>
        <v>0</v>
      </c>
      <c r="S63" s="284">
        <f t="shared" si="17"/>
        <v>0</v>
      </c>
      <c r="T63" s="284">
        <f t="shared" si="17"/>
        <v>0</v>
      </c>
    </row>
    <row r="64" spans="1:20" s="227" customFormat="1" x14ac:dyDescent="0.35">
      <c r="A64" s="228"/>
      <c r="B64" s="236"/>
      <c r="C64" s="230"/>
      <c r="E64" s="237"/>
      <c r="F64" s="238"/>
      <c r="G64" s="237"/>
      <c r="H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</row>
    <row r="65" spans="1:20" s="227" customFormat="1" x14ac:dyDescent="0.35">
      <c r="A65" s="228"/>
      <c r="B65" s="236"/>
      <c r="C65" s="230"/>
      <c r="E65" s="237" t="str">
        <f xml:space="preserve"> E$27</f>
        <v>Year of adjustment to be applied</v>
      </c>
      <c r="F65" s="237">
        <f t="shared" ref="F65:T65" si="18" xml:space="preserve"> F$27</f>
        <v>0</v>
      </c>
      <c r="G65" s="237" t="str">
        <f t="shared" si="18"/>
        <v>flag</v>
      </c>
      <c r="H65" s="237">
        <f t="shared" si="18"/>
        <v>0</v>
      </c>
      <c r="I65" s="237">
        <f t="shared" si="18"/>
        <v>0</v>
      </c>
      <c r="J65" s="287">
        <f t="shared" si="18"/>
        <v>0</v>
      </c>
      <c r="K65" s="287">
        <f t="shared" si="18"/>
        <v>0</v>
      </c>
      <c r="L65" s="287">
        <f t="shared" si="18"/>
        <v>0</v>
      </c>
      <c r="M65" s="287">
        <f t="shared" si="18"/>
        <v>0</v>
      </c>
      <c r="N65" s="287">
        <f t="shared" si="18"/>
        <v>0</v>
      </c>
      <c r="O65" s="287">
        <f t="shared" si="18"/>
        <v>0</v>
      </c>
      <c r="P65" s="287">
        <f t="shared" si="18"/>
        <v>0</v>
      </c>
      <c r="Q65" s="287">
        <f t="shared" si="18"/>
        <v>0</v>
      </c>
      <c r="R65" s="287">
        <f t="shared" si="18"/>
        <v>0</v>
      </c>
      <c r="S65" s="287">
        <f t="shared" si="18"/>
        <v>0</v>
      </c>
      <c r="T65" s="287">
        <f t="shared" si="18"/>
        <v>0</v>
      </c>
    </row>
    <row r="66" spans="1:20" s="227" customFormat="1" x14ac:dyDescent="0.35">
      <c r="A66" s="228"/>
      <c r="B66" s="236"/>
      <c r="C66" s="230"/>
      <c r="E66" s="237" t="s">
        <v>220</v>
      </c>
      <c r="F66" s="238"/>
      <c r="G66" s="237" t="s">
        <v>158</v>
      </c>
      <c r="H66" s="238"/>
      <c r="J66" s="287">
        <f xml:space="preserve"> IF( OR( J65 = 1, I66 = 1 ), 1, 0 )</f>
        <v>0</v>
      </c>
      <c r="K66" s="287">
        <f t="shared" ref="K66:T66" si="19" xml:space="preserve"> IF( OR( K65 = 1, J66 = 1 ), 1, 0 )</f>
        <v>0</v>
      </c>
      <c r="L66" s="287">
        <f t="shared" si="19"/>
        <v>0</v>
      </c>
      <c r="M66" s="287">
        <f t="shared" si="19"/>
        <v>0</v>
      </c>
      <c r="N66" s="287">
        <f t="shared" si="19"/>
        <v>0</v>
      </c>
      <c r="O66" s="287">
        <f t="shared" si="19"/>
        <v>0</v>
      </c>
      <c r="P66" s="287">
        <f t="shared" si="19"/>
        <v>0</v>
      </c>
      <c r="Q66" s="287">
        <f t="shared" si="19"/>
        <v>0</v>
      </c>
      <c r="R66" s="287">
        <f t="shared" si="19"/>
        <v>0</v>
      </c>
      <c r="S66" s="287">
        <f t="shared" si="19"/>
        <v>0</v>
      </c>
      <c r="T66" s="287">
        <f t="shared" si="19"/>
        <v>0</v>
      </c>
    </row>
    <row r="67" spans="1:20" s="227" customFormat="1" ht="13.15" x14ac:dyDescent="0.35">
      <c r="A67" s="228"/>
      <c r="B67" s="229"/>
      <c r="C67" s="230"/>
    </row>
    <row r="68" spans="1:20" s="240" customFormat="1" ht="13.15" x14ac:dyDescent="0.35">
      <c r="A68" s="239"/>
      <c r="B68" s="229"/>
      <c r="E68" s="235" t="str">
        <f t="shared" ref="E68:T68" si="20" xml:space="preserve"> E$63</f>
        <v>Allowed revenue percentage movement</v>
      </c>
      <c r="F68" s="227">
        <f t="shared" si="20"/>
        <v>0</v>
      </c>
      <c r="G68" s="235" t="str">
        <f t="shared" si="20"/>
        <v>Percentage</v>
      </c>
      <c r="H68" s="227">
        <f t="shared" si="20"/>
        <v>0</v>
      </c>
      <c r="I68" s="227">
        <f t="shared" si="20"/>
        <v>0</v>
      </c>
      <c r="J68" s="286">
        <f t="shared" si="20"/>
        <v>0</v>
      </c>
      <c r="K68" s="286">
        <f t="shared" si="20"/>
        <v>0</v>
      </c>
      <c r="L68" s="286">
        <f t="shared" si="20"/>
        <v>0</v>
      </c>
      <c r="M68" s="286">
        <f t="shared" si="20"/>
        <v>0</v>
      </c>
      <c r="N68" s="286">
        <f t="shared" si="20"/>
        <v>0</v>
      </c>
      <c r="O68" s="286">
        <f t="shared" si="20"/>
        <v>0</v>
      </c>
      <c r="P68" s="286">
        <f t="shared" si="20"/>
        <v>0</v>
      </c>
      <c r="Q68" s="286">
        <f t="shared" si="20"/>
        <v>0</v>
      </c>
      <c r="R68" s="286">
        <f t="shared" si="20"/>
        <v>0</v>
      </c>
      <c r="S68" s="286">
        <f t="shared" si="20"/>
        <v>0</v>
      </c>
      <c r="T68" s="286">
        <f t="shared" si="20"/>
        <v>0</v>
      </c>
    </row>
    <row r="69" spans="1:20" s="240" customFormat="1" ht="13.15" x14ac:dyDescent="0.35">
      <c r="A69" s="239"/>
      <c r="B69" s="229"/>
      <c r="E69" s="222" t="str">
        <f xml:space="preserve"> Index!E$10</f>
        <v>Annual inflation figures</v>
      </c>
      <c r="F69" s="222">
        <f xml:space="preserve"> Index!F$10</f>
        <v>0</v>
      </c>
      <c r="G69" s="222" t="str">
        <f xml:space="preserve"> Index!G$10</f>
        <v>Percentage</v>
      </c>
      <c r="H69" s="222">
        <f xml:space="preserve"> Index!H$10</f>
        <v>0</v>
      </c>
      <c r="I69" s="222">
        <f xml:space="preserve"> Index!I$10</f>
        <v>0</v>
      </c>
      <c r="J69" s="222">
        <f xml:space="preserve"> Index!J$10</f>
        <v>0</v>
      </c>
      <c r="K69" s="222">
        <f xml:space="preserve"> Index!K$10</f>
        <v>0</v>
      </c>
      <c r="L69" s="222">
        <f xml:space="preserve"> Index!L$10</f>
        <v>3.572786012922835E-2</v>
      </c>
      <c r="M69" s="222">
        <f xml:space="preserve"> Index!M$10</f>
        <v>3.3394495412844227E-2</v>
      </c>
      <c r="N69" s="222">
        <f xml:space="preserve"> Index!N$10</f>
        <v>0</v>
      </c>
      <c r="O69" s="222">
        <f xml:space="preserve"> Index!O$10</f>
        <v>0</v>
      </c>
      <c r="P69" s="222">
        <f xml:space="preserve"> Index!P$10</f>
        <v>0</v>
      </c>
      <c r="Q69" s="222">
        <f xml:space="preserve"> Index!Q$10</f>
        <v>0</v>
      </c>
      <c r="R69" s="222">
        <f xml:space="preserve"> Index!R$10</f>
        <v>0</v>
      </c>
      <c r="S69" s="222">
        <f xml:space="preserve"> Index!S$10</f>
        <v>0</v>
      </c>
      <c r="T69" s="222">
        <f xml:space="preserve"> Index!T$10</f>
        <v>0</v>
      </c>
    </row>
    <row r="70" spans="1:20" s="240" customFormat="1" ht="13.15" x14ac:dyDescent="0.35">
      <c r="A70" s="239"/>
      <c r="B70" s="229"/>
      <c r="E70" s="235" t="str">
        <f t="shared" ref="E70:T70" si="21" xml:space="preserve"> E$66</f>
        <v>Year that price limits should be recalculated</v>
      </c>
      <c r="F70" s="227">
        <f t="shared" si="21"/>
        <v>0</v>
      </c>
      <c r="G70" s="235" t="str">
        <f t="shared" si="21"/>
        <v>flag</v>
      </c>
      <c r="H70" s="227">
        <f t="shared" si="21"/>
        <v>0</v>
      </c>
      <c r="I70" s="227">
        <f t="shared" si="21"/>
        <v>0</v>
      </c>
      <c r="J70" s="288">
        <f t="shared" si="21"/>
        <v>0</v>
      </c>
      <c r="K70" s="288">
        <f t="shared" si="21"/>
        <v>0</v>
      </c>
      <c r="L70" s="288">
        <f t="shared" si="21"/>
        <v>0</v>
      </c>
      <c r="M70" s="288">
        <f t="shared" si="21"/>
        <v>0</v>
      </c>
      <c r="N70" s="288">
        <f t="shared" si="21"/>
        <v>0</v>
      </c>
      <c r="O70" s="288">
        <f t="shared" si="21"/>
        <v>0</v>
      </c>
      <c r="P70" s="288">
        <f t="shared" si="21"/>
        <v>0</v>
      </c>
      <c r="Q70" s="288">
        <f t="shared" si="21"/>
        <v>0</v>
      </c>
      <c r="R70" s="288">
        <f t="shared" si="21"/>
        <v>0</v>
      </c>
      <c r="S70" s="288">
        <f t="shared" si="21"/>
        <v>0</v>
      </c>
      <c r="T70" s="288">
        <f t="shared" si="21"/>
        <v>0</v>
      </c>
    </row>
    <row r="71" spans="1:20" s="240" customFormat="1" ht="13.15" x14ac:dyDescent="0.35">
      <c r="A71" s="239"/>
      <c r="B71" s="229"/>
      <c r="E71" s="237" t="s">
        <v>221</v>
      </c>
      <c r="F71" s="238"/>
      <c r="G71" s="237" t="s">
        <v>109</v>
      </c>
      <c r="H71" s="238"/>
      <c r="I71" s="238"/>
      <c r="J71" s="284">
        <f xml:space="preserve"> IF( J70 = 0, 0, J68 - J69 )</f>
        <v>0</v>
      </c>
      <c r="K71" s="284">
        <f t="shared" ref="K71:T71" si="22" xml:space="preserve"> IF( K70 = 0, 0, K68 - K69 )</f>
        <v>0</v>
      </c>
      <c r="L71" s="284">
        <f t="shared" si="22"/>
        <v>0</v>
      </c>
      <c r="M71" s="284">
        <f t="shared" si="22"/>
        <v>0</v>
      </c>
      <c r="N71" s="284">
        <f t="shared" si="22"/>
        <v>0</v>
      </c>
      <c r="O71" s="284">
        <f t="shared" si="22"/>
        <v>0</v>
      </c>
      <c r="P71" s="284">
        <f t="shared" si="22"/>
        <v>0</v>
      </c>
      <c r="Q71" s="284">
        <f t="shared" si="22"/>
        <v>0</v>
      </c>
      <c r="R71" s="284">
        <f t="shared" si="22"/>
        <v>0</v>
      </c>
      <c r="S71" s="284">
        <f t="shared" si="22"/>
        <v>0</v>
      </c>
      <c r="T71" s="284">
        <f t="shared" si="22"/>
        <v>0</v>
      </c>
    </row>
    <row r="72" spans="1:20" s="227" customFormat="1" ht="13.15" x14ac:dyDescent="0.35">
      <c r="A72" s="228"/>
      <c r="B72" s="229"/>
      <c r="C72" s="230"/>
    </row>
    <row r="73" spans="1:20" s="227" customFormat="1" ht="13.15" x14ac:dyDescent="0.35">
      <c r="A73" s="228"/>
      <c r="B73" s="229"/>
      <c r="C73" s="230"/>
      <c r="E73" s="227" t="str">
        <f t="shared" ref="E73:T73" si="23" xml:space="preserve"> E$71</f>
        <v>Allowed revenue percentage movement (Nov-Nov CPIH deflated)</v>
      </c>
      <c r="F73" s="227">
        <f t="shared" si="23"/>
        <v>0</v>
      </c>
      <c r="G73" s="227" t="str">
        <f t="shared" si="23"/>
        <v>Percentage</v>
      </c>
      <c r="H73" s="227">
        <f t="shared" si="23"/>
        <v>0</v>
      </c>
      <c r="I73" s="227">
        <f t="shared" si="23"/>
        <v>0</v>
      </c>
      <c r="J73" s="286">
        <f t="shared" si="23"/>
        <v>0</v>
      </c>
      <c r="K73" s="286">
        <f t="shared" si="23"/>
        <v>0</v>
      </c>
      <c r="L73" s="286">
        <f t="shared" si="23"/>
        <v>0</v>
      </c>
      <c r="M73" s="286">
        <f t="shared" si="23"/>
        <v>0</v>
      </c>
      <c r="N73" s="286">
        <f t="shared" si="23"/>
        <v>0</v>
      </c>
      <c r="O73" s="286">
        <f t="shared" si="23"/>
        <v>0</v>
      </c>
      <c r="P73" s="286">
        <f t="shared" si="23"/>
        <v>0</v>
      </c>
      <c r="Q73" s="286">
        <f t="shared" si="23"/>
        <v>0</v>
      </c>
      <c r="R73" s="286">
        <f t="shared" si="23"/>
        <v>0</v>
      </c>
      <c r="S73" s="286">
        <f t="shared" si="23"/>
        <v>0</v>
      </c>
      <c r="T73" s="286">
        <f t="shared" si="23"/>
        <v>0</v>
      </c>
    </row>
    <row r="74" spans="1:20" s="240" customFormat="1" ht="13.15" x14ac:dyDescent="0.35">
      <c r="A74" s="239"/>
      <c r="B74" s="229"/>
      <c r="E74" s="241" t="str">
        <f>CONCATENATE("Revised K - ",F18)</f>
        <v>Revised K - Water network plus</v>
      </c>
      <c r="G74" s="241" t="s">
        <v>109</v>
      </c>
      <c r="J74" s="283">
        <f t="shared" ref="J74:T74" si="24">IF(J73&gt;=0,ROUNDUP(ROUNDDOWN(J73,5),4),ROUNDDOWN(ROUNDUP(J73,5),4))</f>
        <v>0</v>
      </c>
      <c r="K74" s="283">
        <f t="shared" si="24"/>
        <v>0</v>
      </c>
      <c r="L74" s="283">
        <f t="shared" si="24"/>
        <v>0</v>
      </c>
      <c r="M74" s="283">
        <f t="shared" si="24"/>
        <v>0</v>
      </c>
      <c r="N74" s="283">
        <f t="shared" si="24"/>
        <v>0</v>
      </c>
      <c r="O74" s="283">
        <f t="shared" si="24"/>
        <v>0</v>
      </c>
      <c r="P74" s="283">
        <f>IF(P73&gt;=0,ROUNDUP(ROUNDDOWN(P73,5),4),ROUNDDOWN(ROUNDUP(P73,5),4))</f>
        <v>0</v>
      </c>
      <c r="Q74" s="283">
        <f t="shared" si="24"/>
        <v>0</v>
      </c>
      <c r="R74" s="283">
        <f t="shared" si="24"/>
        <v>0</v>
      </c>
      <c r="S74" s="283">
        <f t="shared" si="24"/>
        <v>0</v>
      </c>
      <c r="T74" s="283">
        <f t="shared" si="24"/>
        <v>0</v>
      </c>
    </row>
    <row r="75" spans="1:20" s="240" customFormat="1" ht="13.15" x14ac:dyDescent="0.35">
      <c r="A75" s="239"/>
      <c r="B75" s="229"/>
      <c r="E75" s="241"/>
      <c r="G75" s="241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</row>
    <row r="76" spans="1:20" ht="13.15" x14ac:dyDescent="0.35">
      <c r="A76" s="224" t="s">
        <v>83</v>
      </c>
      <c r="B76" s="225"/>
      <c r="C76" s="242"/>
      <c r="D76" s="243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</row>
    <row r="77" spans="1:20" x14ac:dyDescent="0.35"/>
    <row r="78" spans="1:20" hidden="1" x14ac:dyDescent="0.35"/>
    <row r="79" spans="1:20" hidden="1" x14ac:dyDescent="0.35"/>
    <row r="80" spans="1:2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</sheetData>
  <conditionalFormatting sqref="J3:T3">
    <cfRule type="cellIs" dxfId="26" priority="1" operator="equal">
      <formula>"Post-Fcst"</formula>
    </cfRule>
    <cfRule type="cellIs" dxfId="25" priority="2" operator="equal">
      <formula>"Forecast"</formula>
    </cfRule>
    <cfRule type="cellIs" dxfId="24" priority="3" operator="equal">
      <formula>"Pre Fcst"</formula>
    </cfRule>
  </conditionalFormatting>
  <printOptions headings="1"/>
  <pageMargins left="0.7" right="0.7" top="0.75" bottom="0.75" header="0.3" footer="0.3"/>
  <pageSetup paperSize="9" scale="46" orientation="landscape" blackAndWhite="1" r:id="rId1"/>
  <headerFooter>
    <oddHeader xml:space="preserve">&amp;L&amp;F &amp;CSheet: &amp;A &amp;ROFFICIAL </oddHeader>
    <oddFooter xml:space="preserve">&amp;L&amp;D at &amp;T &amp;C&amp;P of &amp;N &amp;ROfwat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6E15FDC79062B44383236439AA4FD991" ma:contentTypeVersion="88" ma:contentTypeDescription="Create a new document" ma:contentTypeScope="" ma:versionID="b93769f8bfc3595460d0d258dc97f87d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xmlns:ns3="5caa30ce-0a95-4e58-9252-2de2c94d7d2a" targetNamespace="http://schemas.microsoft.com/office/2006/metadata/properties" ma:root="true" ma:fieldsID="0355b95696dd611083e78e678af38017" ns1:_="" ns2:_="" ns3:_="">
    <xsd:import namespace="http://schemas.microsoft.com/sharepoint/v3"/>
    <xsd:import namespace="7041854e-4853-44f9-9e63-23b7acad5461"/>
    <xsd:import namespace="5caa30ce-0a95-4e58-9252-2de2c94d7d2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a30ce-0a95-4e58-9252-2de2c94d7d2a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>Outcomes and Customer Engagement</TermName>
          <TermId>b01232e5-b09e-41f2-ba45-30ed0119ae0f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1788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4989ECD-1E05-49B9-9B4E-1E7323D8F8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14C2B2-1ED8-4507-A7FB-C8E199F0C06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88239E3-B8B1-4DF8-B259-6A0B1ABD4A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5caa30ce-0a95-4e58-9252-2de2c94d7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0C560FB-B36B-42B0-B887-209485F62DB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caa30ce-0a95-4e58-9252-2de2c94d7d2a"/>
    <ds:schemaRef ds:uri="http://schemas.microsoft.com/sharepoint/v3"/>
    <ds:schemaRef ds:uri="7041854e-4853-44f9-9e63-23b7acad546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Cover</vt:lpstr>
      <vt:lpstr>Style Guide</vt:lpstr>
      <vt:lpstr>ToC</vt:lpstr>
      <vt:lpstr>Inputs</vt:lpstr>
      <vt:lpstr>Time</vt:lpstr>
      <vt:lpstr>Index</vt:lpstr>
      <vt:lpstr>Abatements and deferrals</vt:lpstr>
      <vt:lpstr>Water resources</vt:lpstr>
      <vt:lpstr>Water network plus</vt:lpstr>
      <vt:lpstr>Wastewater network plus</vt:lpstr>
      <vt:lpstr>Residential retail</vt:lpstr>
      <vt:lpstr>Business retail</vt:lpstr>
      <vt:lpstr>Bioresources (sludge)</vt:lpstr>
      <vt:lpstr>Dummy control</vt:lpstr>
      <vt:lpstr>Validation</vt:lpstr>
      <vt:lpstr>Outputs</vt:lpstr>
      <vt:lpstr>'Bioresources (sludge)'!Print_Area</vt:lpstr>
      <vt:lpstr>'Business retail'!Print_Area</vt:lpstr>
      <vt:lpstr>Cover!Print_Area</vt:lpstr>
      <vt:lpstr>'Dummy control'!Print_Area</vt:lpstr>
      <vt:lpstr>Outputs!Print_Area</vt:lpstr>
      <vt:lpstr>'Residential retail'!Print_Area</vt:lpstr>
      <vt:lpstr>ToC!Print_Area</vt:lpstr>
      <vt:lpstr>'Wastewater network plus'!Print_Area</vt:lpstr>
      <vt:lpstr>'Water network plus'!Print_Area</vt:lpstr>
      <vt:lpstr>'Water resources'!Print_Area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2020-02-28T10:23:43Z</dcterms:created>
  <dcterms:modified xsi:type="dcterms:W3CDTF">2020-03-03T16:37:19Z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0x010100573134B1BDBFC74F8C2DBF70E4CDEAD4006E15FDC79062B44383236439AA4FD991</vt:lpwstr>
  </property>
  <property fmtid="{D5CDD505-2E9C-101B-9397-08002B2CF9AE}" pid="3" name="Meeting">
    <vt:lpwstr/>
  </property>
  <property fmtid="{D5CDD505-2E9C-101B-9397-08002B2CF9AE}" pid="4" name="Stakeholder 2">
    <vt:lpwstr/>
  </property>
  <property fmtid="{D5CDD505-2E9C-101B-9397-08002B2CF9AE}" pid="5" name="Hierarchy">
    <vt:lpwstr/>
  </property>
  <property fmtid="{D5CDD505-2E9C-101B-9397-08002B2CF9AE}" pid="6" name="Collection">
    <vt:lpwstr/>
  </property>
  <property fmtid="{D5CDD505-2E9C-101B-9397-08002B2CF9AE}" pid="7" name="Stakeholder 5">
    <vt:lpwstr/>
  </property>
  <property fmtid="{D5CDD505-2E9C-101B-9397-08002B2CF9AE}" pid="8" name="Project Code">
    <vt:lpwstr>1788;#Outcomes and Customer Engagement|b01232e5-b09e-41f2-ba45-30ed0119ae0f</vt:lpwstr>
  </property>
  <property fmtid="{D5CDD505-2E9C-101B-9397-08002B2CF9AE}" pid="9" name="Stakeholder 3">
    <vt:lpwstr/>
  </property>
  <property fmtid="{D5CDD505-2E9C-101B-9397-08002B2CF9AE}" pid="10" name="Stakeholder">
    <vt:lpwstr/>
  </property>
  <property fmtid="{D5CDD505-2E9C-101B-9397-08002B2CF9AE}" pid="11" name="Security Classification">
    <vt:lpwstr>21;#OFFICIAL|c2540f30-f875-494b-a43f-ebfb5017a6ad</vt:lpwstr>
  </property>
  <property fmtid="{D5CDD505-2E9C-101B-9397-08002B2CF9AE}" pid="12" name="Stakeholder 4">
    <vt:lpwstr/>
  </property>
</Properties>
</file>