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24FB577E-0D63-4848-8F2D-E20BD99B0928}" xr6:coauthVersionLast="44" xr6:coauthVersionMax="44" xr10:uidLastSave="{00000000-0000-0000-0000-000000000000}"/>
  <bookViews>
    <workbookView xWindow="570" yWindow="60" windowWidth="19755" windowHeight="12495" tabRatio="949" xr2:uid="{00000000-000D-0000-FFFF-FFFF00000000}"/>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Residential retail" sheetId="26" r:id="rId12"/>
    <sheet name="Business retail" sheetId="25" r:id="rId13"/>
    <sheet name="Bioresources (sludge)" sheetId="27" r:id="rId14"/>
    <sheet name="Dummy control" sheetId="31" r:id="rId15"/>
    <sheet name="Validation" sheetId="22" r:id="rId16"/>
    <sheet name="Outputs" sheetId="16" r:id="rId17"/>
    <sheet name="F_Outputs" sheetId="40" r:id="rId18"/>
  </sheets>
  <externalReferences>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iscount.Rate">[1]Data!$G$20</definedName>
    <definedName name="_xlnm.Print_Area" localSheetId="13">'Bioresources (sludge)'!$A$1:$T$60</definedName>
    <definedName name="_xlnm.Print_Area" localSheetId="12">'Business retail'!$A$1:$T$101</definedName>
    <definedName name="_xlnm.Print_Area" localSheetId="0">Cover!$A$1:$F$30</definedName>
    <definedName name="_xlnm.Print_Area" localSheetId="14">'Dummy control'!$A$1:$T$78</definedName>
    <definedName name="_xlnm.Print_Area" localSheetId="16">Outputs!$A$1:$T$38</definedName>
    <definedName name="_xlnm.Print_Area" localSheetId="11">'Residential retail'!$A$1:$T$55</definedName>
    <definedName name="_xlnm.Print_Area" localSheetId="2">ToC!$A$1:$K$41</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[2]InpC!$F$43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1" l="1"/>
  <c r="A1" i="41"/>
  <c r="J24" i="40" l="1"/>
  <c r="I24" i="40"/>
  <c r="H24" i="40"/>
  <c r="G24" i="40"/>
  <c r="F24" i="40"/>
  <c r="J23" i="40"/>
  <c r="I23" i="40"/>
  <c r="H23" i="40"/>
  <c r="G23" i="40"/>
  <c r="F23" i="40"/>
  <c r="S105" i="19" l="1"/>
  <c r="R105" i="19"/>
  <c r="Q105" i="19"/>
  <c r="P105" i="19"/>
  <c r="F22" i="40" l="1"/>
  <c r="F21" i="40"/>
  <c r="F20" i="40"/>
  <c r="F19" i="40"/>
  <c r="F18" i="40"/>
  <c r="F17" i="40"/>
  <c r="F16" i="40"/>
  <c r="F15" i="40"/>
  <c r="H22" i="40"/>
  <c r="I22" i="40"/>
  <c r="J22" i="40"/>
  <c r="G22" i="40"/>
  <c r="H15" i="40" l="1"/>
  <c r="I15" i="40"/>
  <c r="J15" i="40"/>
  <c r="H16" i="40"/>
  <c r="I16" i="40"/>
  <c r="J16" i="40"/>
  <c r="H17" i="40"/>
  <c r="I17" i="40"/>
  <c r="J17" i="40"/>
  <c r="H18" i="40"/>
  <c r="I18" i="40"/>
  <c r="J18" i="40"/>
  <c r="H19" i="40"/>
  <c r="I19" i="40"/>
  <c r="J19" i="40"/>
  <c r="H20" i="40"/>
  <c r="I20" i="40"/>
  <c r="J20" i="40"/>
  <c r="H21" i="40"/>
  <c r="I21" i="40"/>
  <c r="J21" i="40"/>
  <c r="G16" i="40"/>
  <c r="G17" i="40"/>
  <c r="G18" i="40"/>
  <c r="G19" i="40"/>
  <c r="G20" i="40"/>
  <c r="G21" i="40"/>
  <c r="G15" i="40"/>
  <c r="P108" i="19" l="1"/>
  <c r="P132" i="19"/>
  <c r="Q132" i="19"/>
  <c r="R132" i="19"/>
  <c r="S132" i="19"/>
  <c r="O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0" i="16"/>
  <c r="I31" i="16"/>
  <c r="I32" i="16"/>
  <c r="I33" i="16"/>
  <c r="I34" i="16"/>
  <c r="I35" i="16"/>
  <c r="I36"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F16" i="19"/>
  <c r="H11" i="24"/>
  <c r="G111" i="24"/>
  <c r="E111" i="24"/>
  <c r="G17" i="32"/>
  <c r="E17" i="32"/>
  <c r="F16" i="32"/>
  <c r="G16" i="32"/>
  <c r="E16" i="32"/>
  <c r="F88" i="19"/>
  <c r="F17" i="32" s="1"/>
  <c r="G105" i="19" l="1"/>
  <c r="G58" i="27"/>
  <c r="G57" i="27"/>
  <c r="G124" i="24"/>
  <c r="G125" i="24"/>
  <c r="G126" i="24"/>
  <c r="G127" i="24"/>
  <c r="G128" i="24"/>
  <c r="G129" i="24"/>
  <c r="G123" i="24"/>
  <c r="F18" i="32"/>
  <c r="F111" i="24" s="1"/>
  <c r="A1" i="34" l="1"/>
  <c r="I35" i="30" l="1"/>
  <c r="G35" i="30"/>
  <c r="F35" i="30"/>
  <c r="E35" i="30"/>
  <c r="I35" i="17"/>
  <c r="G35" i="17"/>
  <c r="F35" i="17"/>
  <c r="E35" i="17"/>
  <c r="F36" i="16"/>
  <c r="E36" i="16"/>
  <c r="F35" i="16"/>
  <c r="E35" i="16"/>
  <c r="F34" i="16"/>
  <c r="E34" i="16"/>
  <c r="F33" i="16"/>
  <c r="E33" i="16"/>
  <c r="F32" i="16"/>
  <c r="E32" i="16"/>
  <c r="F31" i="16"/>
  <c r="E31" i="16"/>
  <c r="F30" i="16"/>
  <c r="E30"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J67" i="29" s="1"/>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J67" i="17" s="1"/>
  <c r="J71" i="17" s="1"/>
  <c r="J72" i="17" s="1"/>
  <c r="K66" i="17"/>
  <c r="K67" i="17" s="1"/>
  <c r="K71" i="17" s="1"/>
  <c r="K72" i="17" s="1"/>
  <c r="K74" i="17" s="1"/>
  <c r="K75" i="17" s="1"/>
  <c r="K76" i="17" s="1"/>
  <c r="K11" i="16" s="1"/>
  <c r="K29" i="17"/>
  <c r="K42" i="17" s="1"/>
  <c r="K44" i="17" s="1"/>
  <c r="K54" i="17" s="1"/>
  <c r="J29" i="30"/>
  <c r="J42" i="30" s="1"/>
  <c r="J44" i="30" s="1"/>
  <c r="J54" i="30" s="1"/>
  <c r="J66" i="30"/>
  <c r="J67" i="30" s="1"/>
  <c r="J71" i="30" s="1"/>
  <c r="J72" i="30" s="1"/>
  <c r="J74" i="30" s="1"/>
  <c r="K29" i="30"/>
  <c r="K42" i="30" s="1"/>
  <c r="K44" i="30" s="1"/>
  <c r="K54" i="30" s="1"/>
  <c r="K66" i="30"/>
  <c r="J29" i="31"/>
  <c r="J42" i="31" s="1"/>
  <c r="J44" i="31" s="1"/>
  <c r="J50" i="31" s="1"/>
  <c r="J52" i="31" s="1"/>
  <c r="J66" i="31"/>
  <c r="J67" i="31" s="1"/>
  <c r="J71" i="31" s="1"/>
  <c r="J72" i="31" s="1"/>
  <c r="J74" i="31" s="1"/>
  <c r="K29" i="31"/>
  <c r="K42" i="31" s="1"/>
  <c r="K44" i="31" s="1"/>
  <c r="K50" i="31" s="1"/>
  <c r="K52" i="31" s="1"/>
  <c r="K55" i="31" s="1"/>
  <c r="K66" i="31"/>
  <c r="H34" i="29"/>
  <c r="K67" i="29"/>
  <c r="K71" i="29" s="1"/>
  <c r="K72" i="29" s="1"/>
  <c r="K74" i="29" s="1"/>
  <c r="J71" i="29"/>
  <c r="J72" i="29" s="1"/>
  <c r="J74" i="29" s="1"/>
  <c r="E56" i="27"/>
  <c r="K67" i="30" l="1"/>
  <c r="J75" i="29"/>
  <c r="J76" i="29" s="1"/>
  <c r="J10" i="16" s="1"/>
  <c r="J75" i="31"/>
  <c r="J76" i="31" s="1"/>
  <c r="J13" i="16" s="1"/>
  <c r="J75" i="30"/>
  <c r="J76" i="30" s="1"/>
  <c r="J12" i="16" s="1"/>
  <c r="J74" i="17"/>
  <c r="J75" i="17" s="1"/>
  <c r="J76" i="17" s="1"/>
  <c r="J11" i="16" s="1"/>
  <c r="J46" i="25"/>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67" i="31"/>
  <c r="K71" i="31" s="1"/>
  <c r="K72" i="31" s="1"/>
  <c r="K74" i="31" s="1"/>
  <c r="K75" i="31" s="1"/>
  <c r="K76" i="31" s="1"/>
  <c r="K13" i="16" s="1"/>
  <c r="K50" i="17"/>
  <c r="K52" i="17" s="1"/>
  <c r="K55" i="17" s="1"/>
  <c r="K56" i="17" s="1"/>
  <c r="K59" i="17" s="1"/>
  <c r="J55" i="31"/>
  <c r="J47" i="25"/>
  <c r="J47" i="26"/>
  <c r="K71" i="30"/>
  <c r="K72" i="30" s="1"/>
  <c r="K74" i="30" s="1"/>
  <c r="K75" i="30" s="1"/>
  <c r="K76" i="30" s="1"/>
  <c r="K12" i="16" s="1"/>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S70" i="31" l="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10" i="32"/>
  <c r="L38" i="30" s="1"/>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0" i="16" s="1"/>
  <c r="H93" i="24"/>
  <c r="H106" i="24" s="1"/>
  <c r="H36" i="16" s="1"/>
  <c r="H91" i="24"/>
  <c r="H102" i="24" s="1"/>
  <c r="H32" i="16" s="1"/>
  <c r="H92" i="24"/>
  <c r="H103" i="24" s="1"/>
  <c r="H33" i="16" s="1"/>
  <c r="H97" i="24"/>
  <c r="H105" i="24" s="1"/>
  <c r="H35" i="16" s="1"/>
  <c r="H90" i="24"/>
  <c r="H101" i="24" s="1"/>
  <c r="H31" i="16" s="1"/>
  <c r="H96" i="24"/>
  <c r="H104" i="24" s="1"/>
  <c r="H34"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H11" i="31"/>
  <c r="H11" i="27"/>
  <c r="H11" i="30"/>
  <c r="H15" i="31"/>
  <c r="H15" i="26"/>
  <c r="H15" i="30"/>
  <c r="H15" i="17"/>
  <c r="S43" i="31"/>
  <c r="S35" i="27"/>
  <c r="S35" i="25"/>
  <c r="S43" i="30"/>
  <c r="S43" i="17"/>
  <c r="S35" i="26"/>
  <c r="S43" i="29"/>
  <c r="S52" i="27"/>
  <c r="T13" i="32"/>
  <c r="H73" i="24"/>
  <c r="H53" i="24"/>
  <c r="H75" i="24" s="1"/>
  <c r="H1" i="19"/>
  <c r="H14" i="31" l="1"/>
  <c r="H13" i="31"/>
  <c r="H13" i="25"/>
  <c r="H14" i="30"/>
  <c r="H13" i="29"/>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E1" i="22"/>
  <c r="A1" i="22"/>
  <c r="A1" i="19"/>
  <c r="H12" i="29" l="1"/>
  <c r="H12" i="25"/>
  <c r="H10" i="25"/>
  <c r="H10" i="31"/>
  <c r="H10" i="17"/>
  <c r="H12" i="17"/>
  <c r="H12" i="27"/>
  <c r="H12" i="30"/>
  <c r="H19" i="30" s="1"/>
  <c r="H12" i="31"/>
  <c r="H10" i="29"/>
  <c r="H19" i="29" s="1"/>
  <c r="H10" i="27"/>
  <c r="H10" i="30"/>
  <c r="G106" i="24"/>
  <c r="G36" i="16" s="1"/>
  <c r="G102" i="24"/>
  <c r="G32" i="16" s="1"/>
  <c r="G105" i="24"/>
  <c r="G35" i="16" s="1"/>
  <c r="G101" i="24"/>
  <c r="G31" i="16" s="1"/>
  <c r="G104" i="24"/>
  <c r="G34" i="16" s="1"/>
  <c r="G100" i="24"/>
  <c r="G30" i="16" s="1"/>
  <c r="G103" i="24"/>
  <c r="G33"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G116" i="24" l="1"/>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G15" i="26" l="1"/>
  <c r="G11" i="29"/>
  <c r="G11" i="25"/>
  <c r="G13" i="17"/>
  <c r="G13" i="27"/>
  <c r="G19" i="27" s="1"/>
  <c r="G29" i="27" s="1"/>
  <c r="G34" i="27" s="1"/>
  <c r="G15" i="29"/>
  <c r="G11" i="17"/>
  <c r="G19" i="17" s="1"/>
  <c r="G29" i="17" s="1"/>
  <c r="G42" i="17" s="1"/>
  <c r="G13" i="30"/>
  <c r="G53" i="27" l="1"/>
  <c r="G56" i="27" s="1"/>
  <c r="A1" i="16"/>
  <c r="F81" i="8" l="1"/>
  <c r="E81" i="8"/>
  <c r="G81" i="8"/>
  <c r="E82" i="8"/>
  <c r="G82" i="8"/>
  <c r="F82" i="8" l="1"/>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35" i="30" l="1"/>
  <c r="J35" i="17"/>
  <c r="J39" i="17" s="1"/>
  <c r="J35" i="29"/>
  <c r="J39" i="29" s="1"/>
  <c r="J35" i="31"/>
  <c r="J39" i="31" s="1"/>
  <c r="J58" i="31" s="1"/>
  <c r="J60" i="31" s="1"/>
  <c r="J39" i="30"/>
  <c r="J51" i="8"/>
  <c r="J53" i="8" s="1"/>
  <c r="J57" i="8" s="1"/>
  <c r="F31" i="8"/>
  <c r="F16" i="8"/>
  <c r="F17" i="8" s="1"/>
  <c r="F19" i="8" s="1"/>
  <c r="F37" i="8"/>
  <c r="F47" i="8"/>
  <c r="K10" i="8"/>
  <c r="K5" i="32" s="1"/>
  <c r="J58" i="30" l="1"/>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J25" i="31" l="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67" i="29" s="1"/>
  <c r="L71" i="29" s="1"/>
  <c r="L72" i="29" s="1"/>
  <c r="L74" i="29" s="1"/>
  <c r="L75" i="29" s="1"/>
  <c r="L76" i="29" s="1"/>
  <c r="L10" i="16" s="1"/>
  <c r="L29" i="17"/>
  <c r="L42" i="17" s="1"/>
  <c r="L44" i="17" s="1"/>
  <c r="L66" i="17"/>
  <c r="L67" i="17" s="1"/>
  <c r="L71" i="17" s="1"/>
  <c r="L72" i="17" s="1"/>
  <c r="L74" i="17" s="1"/>
  <c r="L29" i="30"/>
  <c r="L42" i="30" s="1"/>
  <c r="L44" i="30" s="1"/>
  <c r="L66" i="30"/>
  <c r="L67" i="30" s="1"/>
  <c r="L71" i="30" s="1"/>
  <c r="L72" i="30" s="1"/>
  <c r="L74" i="30" s="1"/>
  <c r="L46" i="26"/>
  <c r="L42" i="26"/>
  <c r="L44" i="26" s="1"/>
  <c r="L42" i="25"/>
  <c r="L44" i="25" s="1"/>
  <c r="L46" i="25"/>
  <c r="L46" i="27"/>
  <c r="L42" i="27"/>
  <c r="L44" i="27" s="1"/>
  <c r="L29" i="31"/>
  <c r="L42" i="31" s="1"/>
  <c r="L44" i="31" s="1"/>
  <c r="L66" i="31"/>
  <c r="L67" i="31" s="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5" i="31" l="1"/>
  <c r="L76" i="31" s="1"/>
  <c r="L13" i="16" s="1"/>
  <c r="L75" i="30"/>
  <c r="L76" i="30" s="1"/>
  <c r="L12" i="16" s="1"/>
  <c r="L75" i="17"/>
  <c r="L76" i="17" s="1"/>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5" i="30"/>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K39" i="30"/>
  <c r="K39" i="29"/>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67" i="29" s="1"/>
  <c r="M71" i="29" s="1"/>
  <c r="M72" i="29" s="1"/>
  <c r="M74" i="29" s="1"/>
  <c r="M66" i="17"/>
  <c r="M67" i="17" s="1"/>
  <c r="M71" i="17" s="1"/>
  <c r="M72" i="17" s="1"/>
  <c r="M74" i="17" s="1"/>
  <c r="M29" i="17"/>
  <c r="M42" i="17" s="1"/>
  <c r="M44" i="17" s="1"/>
  <c r="M29" i="30"/>
  <c r="M42" i="30" s="1"/>
  <c r="M44" i="30" s="1"/>
  <c r="M66" i="30"/>
  <c r="M67" i="30" s="1"/>
  <c r="M71" i="30" s="1"/>
  <c r="M72" i="30" s="1"/>
  <c r="M74" i="30" s="1"/>
  <c r="M42" i="26"/>
  <c r="M44" i="26" s="1"/>
  <c r="M46" i="26"/>
  <c r="M46" i="25"/>
  <c r="M42" i="25"/>
  <c r="M44" i="25" s="1"/>
  <c r="M46" i="27"/>
  <c r="M42" i="27"/>
  <c r="M44" i="27" s="1"/>
  <c r="M29" i="31"/>
  <c r="M42" i="31" s="1"/>
  <c r="M44" i="31" s="1"/>
  <c r="M66" i="31"/>
  <c r="M67" i="31" s="1"/>
  <c r="M71" i="31" s="1"/>
  <c r="M72" i="31" s="1"/>
  <c r="M74" i="31" s="1"/>
  <c r="K58" i="30"/>
  <c r="K60" i="30" s="1"/>
  <c r="K58" i="17"/>
  <c r="K60" i="17" s="1"/>
  <c r="K58" i="29"/>
  <c r="K60" i="29" s="1"/>
  <c r="L56" i="29"/>
  <c r="L59" i="29" s="1"/>
  <c r="K75" i="29"/>
  <c r="K76" i="29" s="1"/>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5" i="31" l="1"/>
  <c r="M76" i="31" s="1"/>
  <c r="M13" i="16" s="1"/>
  <c r="M75" i="30"/>
  <c r="M76" i="30" s="1"/>
  <c r="M12" i="16" s="1"/>
  <c r="M75" i="17"/>
  <c r="M76" i="17" s="1"/>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L39" i="17"/>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67" i="29" s="1"/>
  <c r="N71" i="29" s="1"/>
  <c r="N72" i="29" s="1"/>
  <c r="N74" i="29" s="1"/>
  <c r="N66" i="17"/>
  <c r="N67" i="17" s="1"/>
  <c r="N71" i="17" s="1"/>
  <c r="N72" i="17" s="1"/>
  <c r="N74" i="17" s="1"/>
  <c r="N29" i="17"/>
  <c r="N42" i="17" s="1"/>
  <c r="N44" i="17" s="1"/>
  <c r="N29" i="30"/>
  <c r="N42" i="30" s="1"/>
  <c r="N44" i="30" s="1"/>
  <c r="N66" i="30"/>
  <c r="N67" i="30" s="1"/>
  <c r="N71" i="30" s="1"/>
  <c r="N72" i="30" s="1"/>
  <c r="N74" i="30" s="1"/>
  <c r="N46" i="26"/>
  <c r="N42" i="26"/>
  <c r="N44" i="26" s="1"/>
  <c r="N46" i="25"/>
  <c r="N42" i="25"/>
  <c r="N44" i="25" s="1"/>
  <c r="N42" i="27"/>
  <c r="N44" i="27" s="1"/>
  <c r="N46" i="27"/>
  <c r="N29" i="31"/>
  <c r="N42" i="31" s="1"/>
  <c r="N44" i="31" s="1"/>
  <c r="N66" i="31"/>
  <c r="N67" i="31" s="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5" i="31" l="1"/>
  <c r="N76" i="31" s="1"/>
  <c r="N13" i="16" s="1"/>
  <c r="N75" i="30"/>
  <c r="N76" i="30" s="1"/>
  <c r="N12" i="16" s="1"/>
  <c r="N75" i="17"/>
  <c r="N76" i="17" s="1"/>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67" i="29" s="1"/>
  <c r="O71" i="29" s="1"/>
  <c r="O72" i="29" s="1"/>
  <c r="O74" i="29" s="1"/>
  <c r="O29" i="17"/>
  <c r="O42" i="17" s="1"/>
  <c r="O44" i="17" s="1"/>
  <c r="O66" i="17"/>
  <c r="O67" i="17" s="1"/>
  <c r="O71" i="17" s="1"/>
  <c r="O72" i="17" s="1"/>
  <c r="O74" i="17" s="1"/>
  <c r="O29" i="30"/>
  <c r="O42" i="30" s="1"/>
  <c r="O44" i="30" s="1"/>
  <c r="O66" i="30"/>
  <c r="O67" i="30" s="1"/>
  <c r="O71" i="30" s="1"/>
  <c r="O72" i="30" s="1"/>
  <c r="O74" i="30" s="1"/>
  <c r="O46" i="26"/>
  <c r="O42" i="26"/>
  <c r="O44" i="26" s="1"/>
  <c r="O46" i="25"/>
  <c r="O42" i="25"/>
  <c r="O44" i="25" s="1"/>
  <c r="O46" i="27"/>
  <c r="O42" i="27"/>
  <c r="O44" i="27" s="1"/>
  <c r="O29" i="31"/>
  <c r="O42" i="31" s="1"/>
  <c r="O44" i="31" s="1"/>
  <c r="O66" i="31"/>
  <c r="O67" i="31" s="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5" i="31" l="1"/>
  <c r="O76" i="31" s="1"/>
  <c r="O13" i="16" s="1"/>
  <c r="F7" i="40" s="1"/>
  <c r="O75" i="30"/>
  <c r="O76" i="30" s="1"/>
  <c r="O12" i="16" s="1"/>
  <c r="F6" i="40" s="1"/>
  <c r="O75" i="17"/>
  <c r="O76" i="17" s="1"/>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5" i="29"/>
  <c r="M76" i="29" s="1"/>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67" i="29" s="1"/>
  <c r="P71" i="29" s="1"/>
  <c r="P29" i="17"/>
  <c r="P42" i="17" s="1"/>
  <c r="P44" i="17" s="1"/>
  <c r="P66" i="17"/>
  <c r="P67" i="17" s="1"/>
  <c r="P71" i="17" s="1"/>
  <c r="P29" i="30"/>
  <c r="P42" i="30" s="1"/>
  <c r="P44" i="30" s="1"/>
  <c r="P66" i="30"/>
  <c r="P67" i="30" s="1"/>
  <c r="P71" i="30" s="1"/>
  <c r="P46" i="26"/>
  <c r="P42" i="26"/>
  <c r="P44" i="26" s="1"/>
  <c r="P42" i="25"/>
  <c r="P44" i="25" s="1"/>
  <c r="P46" i="25"/>
  <c r="P46" i="27"/>
  <c r="P42" i="27"/>
  <c r="P44" i="27" s="1"/>
  <c r="P29" i="31"/>
  <c r="P42" i="31" s="1"/>
  <c r="P44" i="31" s="1"/>
  <c r="P66" i="31"/>
  <c r="P67" i="31" s="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9" i="29" s="1"/>
  <c r="O58" i="29" s="1"/>
  <c r="O35" i="30"/>
  <c r="O35" i="17"/>
  <c r="O39" i="17" s="1"/>
  <c r="O58" i="17" s="1"/>
  <c r="O60"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5" i="29"/>
  <c r="N76" i="29" s="1"/>
  <c r="N10" i="16" s="1"/>
  <c r="O4" i="31"/>
  <c r="O4" i="17"/>
  <c r="O4" i="16"/>
  <c r="O4" i="27"/>
  <c r="O4" i="25"/>
  <c r="O4" i="26"/>
  <c r="O4" i="29"/>
  <c r="O4" i="30"/>
  <c r="O35" i="31"/>
  <c r="O39" i="31" s="1"/>
  <c r="O51" i="8"/>
  <c r="O53" i="8" s="1"/>
  <c r="O57" i="8" s="1"/>
  <c r="O4" i="8"/>
  <c r="N58" i="8"/>
  <c r="N3" i="32" s="1"/>
  <c r="P25" i="8"/>
  <c r="P22" i="8"/>
  <c r="P2" i="32" s="1"/>
  <c r="O49" i="8"/>
  <c r="O33" i="8"/>
  <c r="O44" i="8" s="1"/>
  <c r="P45" i="8" s="1"/>
  <c r="O34" i="8"/>
  <c r="O56" i="8" s="1"/>
  <c r="N64" i="17" l="1"/>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67" i="29" s="1"/>
  <c r="Q71" i="29" s="1"/>
  <c r="Q29" i="29"/>
  <c r="Q42" i="29" s="1"/>
  <c r="Q66" i="17"/>
  <c r="Q67" i="17" s="1"/>
  <c r="Q71" i="17" s="1"/>
  <c r="Q29" i="17"/>
  <c r="Q42" i="17" s="1"/>
  <c r="Q44" i="17" s="1"/>
  <c r="Q66" i="30"/>
  <c r="Q67" i="30" s="1"/>
  <c r="Q71" i="30" s="1"/>
  <c r="Q29" i="30"/>
  <c r="Q42" i="30" s="1"/>
  <c r="Q44" i="30" s="1"/>
  <c r="Q46" i="26"/>
  <c r="Q42" i="26"/>
  <c r="Q44" i="26" s="1"/>
  <c r="Q46" i="25"/>
  <c r="Q42" i="25"/>
  <c r="Q44" i="25" s="1"/>
  <c r="Q46" i="27"/>
  <c r="Q42" i="27"/>
  <c r="Q44" i="27" s="1"/>
  <c r="Q66" i="31"/>
  <c r="Q67" i="31" s="1"/>
  <c r="Q71" i="31" s="1"/>
  <c r="Q29" i="31"/>
  <c r="Q42" i="31" s="1"/>
  <c r="Q44" i="31" s="1"/>
  <c r="O63" i="17"/>
  <c r="O64" i="17" s="1"/>
  <c r="O69" i="17" s="1"/>
  <c r="O58" i="31"/>
  <c r="O60" i="31" s="1"/>
  <c r="O63" i="31" s="1"/>
  <c r="P54" i="29"/>
  <c r="P50" i="29"/>
  <c r="P52" i="29" s="1"/>
  <c r="O60" i="29"/>
  <c r="O75" i="29"/>
  <c r="O76" i="29" s="1"/>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P60" i="31" l="1"/>
  <c r="P63" i="31" s="1"/>
  <c r="P64" i="31" s="1"/>
  <c r="P69" i="31" s="1"/>
  <c r="P72" i="31" s="1"/>
  <c r="P74" i="31" s="1"/>
  <c r="P60" i="17"/>
  <c r="P63" i="17" s="1"/>
  <c r="P64" i="17" s="1"/>
  <c r="P69" i="17" s="1"/>
  <c r="P72" i="17" s="1"/>
  <c r="P74"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75" i="17" l="1"/>
  <c r="P76" i="17" s="1"/>
  <c r="P11" i="16" s="1"/>
  <c r="G5" i="40" s="1"/>
  <c r="P75" i="31"/>
  <c r="P76" i="31" s="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67" i="29" s="1"/>
  <c r="R71" i="29" s="1"/>
  <c r="R66" i="17"/>
  <c r="R67" i="17" s="1"/>
  <c r="R71" i="17" s="1"/>
  <c r="R29" i="17"/>
  <c r="R42" i="17" s="1"/>
  <c r="R44" i="17" s="1"/>
  <c r="R29" i="30"/>
  <c r="R42" i="30" s="1"/>
  <c r="R44" i="30" s="1"/>
  <c r="R66" i="30"/>
  <c r="R67" i="30" s="1"/>
  <c r="R71" i="30" s="1"/>
  <c r="R46" i="26"/>
  <c r="R42" i="26"/>
  <c r="R44" i="26" s="1"/>
  <c r="R46" i="25"/>
  <c r="R42" i="25"/>
  <c r="R44" i="25" s="1"/>
  <c r="R46" i="27"/>
  <c r="R42" i="27"/>
  <c r="R44" i="27" s="1"/>
  <c r="R29" i="31"/>
  <c r="R42" i="31" s="1"/>
  <c r="R44" i="31" s="1"/>
  <c r="R66" i="31"/>
  <c r="R67" i="31" s="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P75" i="30" l="1"/>
  <c r="P76" i="30" s="1"/>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5" i="29"/>
  <c r="P76" i="29" s="1"/>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64" i="31" l="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67" i="29" s="1"/>
  <c r="S71" i="29" s="1"/>
  <c r="S29" i="17"/>
  <c r="S42" i="17" s="1"/>
  <c r="S44" i="17" s="1"/>
  <c r="S66" i="17"/>
  <c r="S67" i="17" s="1"/>
  <c r="S71" i="17" s="1"/>
  <c r="S29" i="30"/>
  <c r="S42" i="30" s="1"/>
  <c r="S44" i="30" s="1"/>
  <c r="S66" i="30"/>
  <c r="S67" i="30" s="1"/>
  <c r="S71" i="30" s="1"/>
  <c r="S42" i="26"/>
  <c r="S44" i="26" s="1"/>
  <c r="S46" i="26"/>
  <c r="S46" i="25"/>
  <c r="S42" i="25"/>
  <c r="S44" i="25" s="1"/>
  <c r="S42" i="27"/>
  <c r="S44" i="27" s="1"/>
  <c r="S46" i="27"/>
  <c r="S29" i="31"/>
  <c r="S42" i="31" s="1"/>
  <c r="S44" i="31" s="1"/>
  <c r="S66" i="31"/>
  <c r="S67" i="31" s="1"/>
  <c r="S71" i="31" s="1"/>
  <c r="Q64" i="30"/>
  <c r="Q69" i="30" s="1"/>
  <c r="Q72" i="30" s="1"/>
  <c r="Q74" i="30" s="1"/>
  <c r="Q74" i="17"/>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Q75" i="17" l="1"/>
  <c r="Q76" i="17" s="1"/>
  <c r="Q11" i="16" s="1"/>
  <c r="H5" i="40" s="1"/>
  <c r="Q75" i="30"/>
  <c r="Q76" i="30" s="1"/>
  <c r="Q12" i="16" s="1"/>
  <c r="H6" i="40" s="1"/>
  <c r="Q75" i="31"/>
  <c r="Q76" i="31" s="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75" i="30" l="1"/>
  <c r="R76" i="30" s="1"/>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67" i="29" s="1"/>
  <c r="T71" i="29" s="1"/>
  <c r="T29" i="17"/>
  <c r="T42" i="17" s="1"/>
  <c r="T44" i="17" s="1"/>
  <c r="T66" i="17"/>
  <c r="T67" i="17" s="1"/>
  <c r="T71" i="17" s="1"/>
  <c r="T29" i="30"/>
  <c r="T42" i="30" s="1"/>
  <c r="T44" i="30" s="1"/>
  <c r="T66" i="30"/>
  <c r="T67" i="30" s="1"/>
  <c r="T71" i="30" s="1"/>
  <c r="T46" i="26"/>
  <c r="T42" i="26"/>
  <c r="T44" i="26" s="1"/>
  <c r="T42" i="25"/>
  <c r="T44" i="25" s="1"/>
  <c r="T46" i="25"/>
  <c r="T46" i="27"/>
  <c r="T42" i="27"/>
  <c r="T44" i="27" s="1"/>
  <c r="T29" i="31"/>
  <c r="T42" i="31" s="1"/>
  <c r="T44" i="31" s="1"/>
  <c r="T66" i="31"/>
  <c r="T67" i="31" s="1"/>
  <c r="T71" i="31" s="1"/>
  <c r="R74" i="17"/>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R75" i="17" l="1"/>
  <c r="R76" i="17" s="1"/>
  <c r="R11" i="16" s="1"/>
  <c r="I5" i="40" s="1"/>
  <c r="R75" i="31"/>
  <c r="R76" i="31" s="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75" i="30" l="1"/>
  <c r="S76" i="30" s="1"/>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Q74" i="29"/>
  <c r="Q75" i="29" s="1"/>
  <c r="Q76" i="29" s="1"/>
  <c r="Q10" i="16" s="1"/>
  <c r="H4" i="40" s="1"/>
  <c r="S63" i="29"/>
  <c r="S64" i="29" s="1"/>
  <c r="S69" i="29" s="1"/>
  <c r="S72" i="29" s="1"/>
  <c r="T54" i="29"/>
  <c r="T50" i="29"/>
  <c r="T52" i="29" s="1"/>
  <c r="H44" i="29"/>
  <c r="R74" i="29"/>
  <c r="R75" i="29" s="1"/>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S75" i="17" l="1"/>
  <c r="S76" i="17" s="1"/>
  <c r="S11" i="16" s="1"/>
  <c r="J5" i="40" s="1"/>
  <c r="S75" i="31"/>
  <c r="S76" i="31" s="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5" i="29" s="1"/>
  <c r="S76" i="29" s="1"/>
  <c r="S10" i="16" s="1"/>
  <c r="J4" i="40" s="1"/>
  <c r="T58" i="30"/>
  <c r="T60" i="30" s="1"/>
  <c r="H39" i="30"/>
  <c r="H58" i="30" s="1"/>
  <c r="T58" i="17"/>
  <c r="T60" i="17" s="1"/>
  <c r="H39" i="17"/>
  <c r="H58" i="17" s="1"/>
  <c r="T58" i="29"/>
  <c r="H39" i="29"/>
  <c r="H58" i="29" s="1"/>
  <c r="T55" i="29"/>
  <c r="H52" i="29"/>
  <c r="H55" i="29" s="1"/>
  <c r="H50" i="29"/>
  <c r="H54" i="29"/>
  <c r="T56"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5" i="30" l="1"/>
  <c r="T76" i="30" s="1"/>
  <c r="T12" i="16" s="1"/>
  <c r="T75" i="31"/>
  <c r="T76" i="31" s="1"/>
  <c r="T13" i="16" s="1"/>
  <c r="T74" i="17"/>
  <c r="T63" i="29"/>
  <c r="T64" i="29" s="1"/>
  <c r="T69" i="29" s="1"/>
  <c r="T72" i="29" s="1"/>
  <c r="H60" i="29"/>
  <c r="H63" i="29" s="1"/>
  <c r="T3" i="19"/>
  <c r="T3" i="16"/>
  <c r="T3" i="27"/>
  <c r="T3" i="25"/>
  <c r="T3" i="26"/>
  <c r="T3" i="29"/>
  <c r="T3" i="17"/>
  <c r="T3" i="31"/>
  <c r="T3" i="30"/>
  <c r="T3" i="8"/>
  <c r="H20" i="8"/>
  <c r="H84" i="8"/>
  <c r="T75" i="17" l="1"/>
  <c r="T76" i="17" s="1"/>
  <c r="T11" i="16" s="1"/>
  <c r="T74" i="29"/>
  <c r="H45" i="8"/>
  <c r="H35" i="29" l="1"/>
  <c r="H35" i="30"/>
  <c r="H35" i="17"/>
  <c r="T75" i="29"/>
  <c r="T76" i="29" s="1"/>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<sst xmlns="http://schemas.openxmlformats.org/spreadsheetml/2006/main" count="1092" uniqueCount="453">
  <si>
    <t>Workbook title:</t>
  </si>
  <si>
    <t>PR19 in-period adjustments model</t>
  </si>
  <si>
    <t>Version:</t>
  </si>
  <si>
    <t>v1.1</t>
  </si>
  <si>
    <t>Filename:</t>
  </si>
  <si>
    <t>Date:</t>
  </si>
  <si>
    <t>Author:</t>
  </si>
  <si>
    <t>Ofwat</t>
  </si>
  <si>
    <t>Summary of workbook:</t>
  </si>
  <si>
    <t>Known limitations:</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</si>
  <si>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</si>
  <si>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</si>
  <si>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</si>
  <si>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</si>
  <si>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</si>
  <si>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</si>
  <si>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</si>
  <si>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</si>
  <si>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</si>
  <si>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</si>
  <si>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</si>
  <si>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</si>
  <si>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</si>
  <si>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</si>
  <si>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</si>
  <si>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</si>
  <si>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</si>
  <si>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</si>
  <si>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</si>
  <si>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</si>
  <si>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</si>
  <si>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</si>
  <si>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</si>
  <si>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</si>
  <si>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</si>
  <si>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</si>
  <si>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</si>
  <si>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</si>
  <si>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</si>
  <si>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</si>
  <si>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</si>
  <si>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</si>
  <si>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</si>
  <si>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</si>
  <si>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</si>
  <si>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</si>
  <si>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</si>
  <si>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</si>
  <si>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</si>
  <si>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</si>
  <si>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</si>
  <si>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</si>
  <si>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</si>
  <si>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</si>
  <si>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</si>
  <si>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</si>
  <si>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</si>
  <si>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</si>
  <si>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</si>
  <si>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</si>
  <si>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</si>
  <si>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</si>
  <si>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</si>
  <si>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</si>
  <si>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</si>
  <si>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</si>
  <si>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</si>
  <si>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</si>
  <si>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</si>
  <si>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</si>
  <si>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</si>
  <si>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</si>
  <si>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</si>
  <si>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</si>
  <si>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</si>
  <si>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</si>
  <si>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</si>
  <si>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</si>
  <si>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</si>
  <si>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</si>
  <si>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</si>
  <si>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</si>
  <si>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</si>
  <si>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</si>
  <si>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</si>
  <si>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</si>
  <si>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</si>
  <si>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</si>
  <si>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</si>
  <si>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</si>
  <si>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</si>
  <si>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</si>
  <si>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</si>
  <si>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</si>
  <si>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</si>
  <si>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</si>
  <si>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</si>
  <si>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</si>
  <si>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</si>
  <si>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</si>
  <si>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</si>
  <si>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</si>
  <si>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</si>
  <si>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</si>
  <si>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</si>
  <si>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</si>
  <si>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</si>
  <si>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</si>
  <si>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</si>
  <si>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</si>
  <si>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</si>
  <si>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</si>
  <si>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</si>
  <si>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</si>
  <si>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</si>
  <si>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</si>
  <si>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</si>
  <si>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</si>
  <si>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</si>
  <si>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</si>
  <si>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</si>
  <si>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</si>
  <si>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</si>
  <si>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</si>
  <si>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</si>
  <si>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</si>
  <si>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</si>
  <si>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</si>
  <si>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</si>
  <si>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</si>
  <si>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</si>
  <si>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</si>
  <si>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</si>
  <si>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CPIH deflation factor from 2019-20 FYA to 2017-18 Nov</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</si>
  <si>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</si>
  <si>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</si>
  <si>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</si>
  <si>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</si>
  <si>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</si>
  <si>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</si>
  <si>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</si>
  <si>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</si>
  <si>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</si>
  <si>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</si>
  <si>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</si>
  <si>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</si>
  <si>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</si>
  <si>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</si>
  <si>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</si>
  <si>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Payments after abatements and deferrals (2017-18 November CPIH prices)</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</si>
  <si>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</si>
  <si>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</si>
  <si>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</si>
  <si>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</si>
  <si>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</si>
  <si>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</si>
  <si>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</si>
  <si>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</si>
  <si>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</si>
  <si>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</si>
  <si>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</si>
  <si>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</si>
  <si>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</si>
  <si>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</si>
  <si>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</si>
  <si>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</si>
  <si>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</si>
  <si>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</si>
  <si>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</si>
  <si>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</si>
  <si>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</si>
  <si>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</si>
  <si>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</si>
  <si>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</si>
  <si>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</si>
  <si>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</si>
  <si>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</si>
  <si>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</si>
  <si>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</si>
  <si>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</si>
  <si>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</si>
  <si>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</si>
  <si>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</si>
  <si>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</si>
  <si>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</si>
  <si>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</si>
  <si>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</si>
  <si>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</si>
  <si>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</si>
  <si>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</si>
  <si>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</si>
  <si>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</si>
  <si>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</si>
  <si>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</si>
  <si>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</si>
  <si>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</si>
  <si>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</si>
  <si>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</si>
  <si>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</si>
  <si>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</si>
  <si>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</si>
  <si>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</si>
  <si>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</si>
  <si>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</si>
  <si>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</si>
  <si>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</si>
  <si>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</si>
  <si>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</si>
  <si>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</si>
  <si>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</si>
  <si>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</si>
  <si>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</si>
  <si>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</si>
  <si>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</si>
  <si>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</si>
  <si>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</si>
  <si>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</si>
  <si>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</si>
  <si>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</si>
  <si>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</si>
  <si>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</si>
  <si>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</si>
  <si>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</si>
  <si>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</si>
  <si>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</si>
  <si>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</si>
  <si>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</si>
  <si>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</si>
  <si>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</si>
  <si>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</si>
  <si>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</si>
  <si>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</si>
  <si>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</si>
  <si>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</si>
  <si>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</si>
  <si>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</si>
  <si>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</si>
  <si>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</si>
  <si>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</si>
  <si>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</si>
  <si>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</si>
  <si>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</si>
  <si>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</si>
  <si>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</si>
  <si>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</si>
  <si>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</si>
  <si>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</si>
  <si>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</si>
  <si>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</si>
  <si>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</si>
  <si>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</si>
  <si>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</si>
  <si>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</si>
  <si>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</si>
  <si>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</si>
  <si>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</si>
  <si>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C-MeX payments</t>
  </si>
  <si>
    <t>D-MeX payments (water network plus)</t>
  </si>
  <si>
    <t>D-MeX payments (wastewater network plus)</t>
  </si>
  <si>
    <t>ODI payments deferred from previous reporting year</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</si>
  <si>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</si>
  <si>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</si>
  <si>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</si>
  <si>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</si>
  <si>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</si>
  <si>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</si>
  <si>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</si>
  <si>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</si>
  <si>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</si>
  <si>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</si>
  <si>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</si>
  <si>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</si>
  <si>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</si>
  <si>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</si>
  <si>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</si>
  <si>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</si>
  <si>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</si>
  <si>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</si>
  <si>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</si>
  <si>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</si>
  <si>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</si>
  <si>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</si>
  <si>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</si>
  <si>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</si>
  <si>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</si>
  <si>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</si>
  <si>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</si>
  <si>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</si>
  <si>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</si>
  <si>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</si>
  <si>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</si>
  <si>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</si>
  <si>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</si>
  <si>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</si>
  <si>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</si>
  <si>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</si>
  <si>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</si>
  <si>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</si>
  <si>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</si>
  <si>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</si>
  <si>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</si>
  <si>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</si>
  <si>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</si>
  <si>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</si>
  <si>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</si>
  <si>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</si>
  <si>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</si>
  <si>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</si>
  <si>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</si>
  <si>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</si>
  <si>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</si>
  <si>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</si>
  <si>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</si>
  <si>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</si>
  <si>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</si>
  <si>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</si>
  <si>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</si>
  <si>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</si>
  <si>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</si>
  <si>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</si>
  <si>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</si>
  <si>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PR19FM0600POST</t>
  </si>
  <si>
    <t>PR19FM0601POST</t>
  </si>
  <si>
    <t>B_PR19PD002D1_BYDD</t>
  </si>
  <si>
    <t>B_PR19PD002D2_BYDD</t>
  </si>
  <si>
    <t>B_PR19PD002D3_BYDD</t>
  </si>
  <si>
    <t>B_PR19PD002D4_BYDD</t>
  </si>
  <si>
    <t>B_PR19PD002D5_BYDD</t>
  </si>
  <si>
    <t>B_PR19PD002D6_BYDD</t>
  </si>
  <si>
    <t>B_PR19PD002D7_BYDD</t>
  </si>
  <si>
    <t>B_PR19PD002D8_BYDD</t>
  </si>
  <si>
    <t>%</t>
  </si>
  <si>
    <t>PR19FM0602POST</t>
  </si>
  <si>
    <t>PR19FM0603POST</t>
  </si>
  <si>
    <t>PR19FM0606POST</t>
  </si>
  <si>
    <t>PR19FM0607POST</t>
  </si>
  <si>
    <t>MP05611</t>
  </si>
  <si>
    <t>2020-25</t>
  </si>
  <si>
    <t>PR19FM0767POST</t>
  </si>
  <si>
    <t>PR19FM1922POST</t>
  </si>
  <si>
    <t>Water resources - Allowed Revenues - real - PR19FM - Exec Summary - Price Controls</t>
  </si>
  <si>
    <t>Water resources - K - periodic - PR19FM - Exec Summary - Price Controls</t>
  </si>
  <si>
    <t>Water network - Allowed Revenues - real - PR19FM - Exec Summary - Price Controls</t>
  </si>
  <si>
    <t>Water network - K - periodic - PR19FM - Exec Summary - Price Controls</t>
  </si>
  <si>
    <t>PR19FM0604POST</t>
  </si>
  <si>
    <t>Water - Allowed Revenues - real - PR19FM - Exec Summary - Price Controls</t>
  </si>
  <si>
    <t>PR19FM0605POST</t>
  </si>
  <si>
    <t>Water - K - PR19FM - Exec Summary - Price Controls</t>
  </si>
  <si>
    <t>Wastewater network - Allowed Revenues - real - PR19FM - Exec Summary - Price Controls</t>
  </si>
  <si>
    <t>Wastewater network - K - periodic - PR19FM - Exec Summary - Price Controls</t>
  </si>
  <si>
    <t>Total sewage sludge produced</t>
  </si>
  <si>
    <t>ttds/ year</t>
  </si>
  <si>
    <t>Final Allowed Revenues - BR - real - PR19FM - Exec Summary - Allowed Rev Breakdown Post Finceability Adj</t>
  </si>
  <si>
    <t>Residential retail service revenue (sum of margin, CTS and revenue adjustment) - nominal</t>
  </si>
  <si>
    <t>Net ODI differences – revenue adjustments - Water resources</t>
  </si>
  <si>
    <t>PR19FM0716POST</t>
  </si>
  <si>
    <t>PR19FM0733POST</t>
  </si>
  <si>
    <t>PR19FM0750POST</t>
  </si>
  <si>
    <t>Final Allowed Revenues - WR - real - PR19FM - Exec Summary - Allowed Rev Breakdown Post Finceability Adj</t>
  </si>
  <si>
    <t>Final Allowed Revenues - WN - real - PR19FM - Exec Summary - Allowed Rev Breakdown Post Finceability Adj</t>
  </si>
  <si>
    <t>Final Allowed Revenues - WWN - real - PR19FM - Exec Summary - Allowed Rev Breakdown Post Finceability Adj</t>
  </si>
  <si>
    <t>PR19INF0002NR</t>
  </si>
  <si>
    <t>PR19INF0002AL</t>
  </si>
  <si>
    <t>PR19INF0002MY</t>
  </si>
  <si>
    <t>PR19INF0002JN</t>
  </si>
  <si>
    <t>PR19INF0002JL</t>
  </si>
  <si>
    <t>PR19INF0002AT</t>
  </si>
  <si>
    <t>PR19INF0002SR</t>
  </si>
  <si>
    <t>PR19INF0002OR</t>
  </si>
  <si>
    <t>PR19INF0002DR</t>
  </si>
  <si>
    <t>PR19INF0002JY</t>
  </si>
  <si>
    <t>PR19INF0002FY</t>
  </si>
  <si>
    <t>PR19INF0002MH</t>
  </si>
  <si>
    <t>Consumer price index (including housing costs) - Consumer Price Index (with housing) for April</t>
  </si>
  <si>
    <t>nr</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</si>
  <si>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</si>
  <si>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</si>
  <si>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</si>
  <si>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</si>
  <si>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</si>
  <si>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</si>
  <si>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</si>
  <si>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</si>
  <si>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</si>
  <si>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</si>
  <si>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</si>
  <si>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2018-19</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</si>
  <si>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</si>
  <si>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</si>
  <si>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</si>
  <si>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</si>
  <si>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</si>
  <si>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</si>
  <si>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</si>
  <si>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BYRun1: Blind Year DD</t>
  </si>
  <si>
    <t>PR19PD020_OUT</t>
  </si>
  <si>
    <t>PR19PD020_BY_IN</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</si>
  <si>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</si>
  <si>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</si>
  <si>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</si>
  <si>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</si>
  <si>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</si>
  <si>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</si>
  <si>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</si>
  <si>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</si>
  <si>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</si>
  <si>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</si>
  <si>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</si>
  <si>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</si>
  <si>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</si>
  <si>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</si>
  <si>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</si>
  <si>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</si>
  <si>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</si>
  <si>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</si>
  <si>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</si>
  <si>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</si>
  <si>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</si>
  <si>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</si>
  <si>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</si>
  <si>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</si>
  <si>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</si>
  <si>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</si>
  <si>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</si>
  <si>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</si>
  <si>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</si>
  <si>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</si>
  <si>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</si>
  <si>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</si>
  <si>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</si>
  <si>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</si>
  <si>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</si>
  <si>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</si>
  <si>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</si>
  <si>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</si>
  <si>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</si>
  <si>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</si>
  <si>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</si>
  <si>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</si>
  <si>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</si>
  <si>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</si>
  <si>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</si>
  <si>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</si>
  <si>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</si>
  <si>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</si>
  <si>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</si>
  <si>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</si>
  <si>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</si>
  <si>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This model is subject to consultation and consequently may be subject to further changes</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</si>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</sst>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6"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395">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38" fillId="49" borderId="0" xfId="0" applyNumberFormat="1" applyFont="1" applyFill="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1" fillId="0" borderId="0" xfId="70"/>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69" fillId="49" borderId="0" xfId="62"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175" fontId="14" fillId="49" borderId="0" xfId="0" applyNumberFormat="1" applyFont="1" applyFill="1" applyAlignment="1">
      <alignment vertical="top"/>
    </xf>
    <xf numFmtId="0" fontId="18" fillId="49" borderId="0" xfId="0" applyNumberFormat="1" applyFont="1" applyFill="1">
      <alignment vertical="top"/>
    </xf>
    <xf numFmtId="176" fontId="18" fillId="49" borderId="0" xfId="62" applyNumberFormat="1" applyFont="1" applyFill="1">
      <alignment vertical="top"/>
    </xf>
    <xf numFmtId="181" fontId="1" fillId="47" borderId="0" xfId="62" applyNumberFormat="1" applyFont="1" applyFill="1">
      <alignment vertical="top"/>
    </xf>
    <xf numFmtId="180" fontId="14" fillId="49" borderId="0" xfId="62" applyNumberFormat="1" applyFont="1" applyFill="1" applyBorder="1">
      <alignment vertical="top"/>
    </xf>
    <xf numFmtId="176" fontId="18" fillId="49" borderId="0" xfId="2"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180" fontId="14" fillId="47" borderId="0" xfId="62" applyNumberFormat="1" applyFont="1" applyFill="1">
      <alignment vertical="top"/>
    </xf>
    <xf numFmtId="181" fontId="14" fillId="47" borderId="0" xfId="62" applyNumberFormat="1" applyFont="1" applyFill="1">
      <alignment vertical="top"/>
    </xf>
    <xf numFmtId="182" fontId="14" fillId="47" borderId="0" xfId="62" applyNumberFormat="1" applyFont="1" applyFill="1">
      <alignment vertical="top"/>
    </xf>
    <xf numFmtId="183" fontId="0" fillId="0" borderId="0" xfId="0" applyNumberFormat="1">
      <alignment vertical="top"/>
    </xf>
    <xf numFmtId="10" fontId="0" fillId="0" borderId="0" xfId="0" applyNumberFormat="1">
      <alignment vertical="top"/>
    </xf>
    <xf numFmtId="184" fontId="0" fillId="0" borderId="0" xfId="0" applyNumberFormat="1">
      <alignment vertical="top"/>
    </xf>
    <xf numFmtId="185" fontId="0" fillId="0" borderId="0" xfId="0" applyNumberFormat="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10" fontId="73" fillId="0" borderId="0" xfId="93" applyNumberFormat="1" applyFont="1" applyFill="1" applyAlignment="1">
      <alignment vertical="top"/>
    </xf>
    <xf numFmtId="183" fontId="72" fillId="0" borderId="0" xfId="93" applyNumberFormat="1" applyFill="1" applyAlignment="1">
      <alignment vertical="top"/>
    </xf>
    <xf numFmtId="185" fontId="72" fillId="0" borderId="0" xfId="93" applyNumberFormat="1" applyFill="1" applyAlignment="1">
      <alignment vertical="top"/>
    </xf>
    <xf numFmtId="185" fontId="0" fillId="0" borderId="0" xfId="0" applyNumberFormat="1" applyFill="1">
      <alignment vertical="top"/>
    </xf>
    <xf numFmtId="165" fontId="0" fillId="57" borderId="0" xfId="0" applyFill="1">
      <alignment vertical="top"/>
    </xf>
    <xf numFmtId="165" fontId="74" fillId="57" borderId="0" xfId="0" applyFont="1" applyFill="1" applyAlignment="1">
      <alignment vertical="center"/>
    </xf>
    <xf numFmtId="0" fontId="1" fillId="57" borderId="0" xfId="94" applyFont="1" applyFill="1"/>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center" wrapText="1"/>
    </xf>
    <xf numFmtId="0" fontId="1" fillId="49" borderId="0" xfId="70" applyFill="1" applyAlignment="1">
      <alignment horizontal="left" vertical="top"/>
    </xf>
    <xf numFmtId="0" fontId="1" fillId="49" borderId="0" xfId="70" applyFill="1" applyAlignment="1">
      <alignment horizontal="left" vertical="center"/>
    </xf>
    <xf numFmtId="0" fontId="22" fillId="0" borderId="0" xfId="66" applyNumberFormat="1" applyFont="1" applyFill="1" applyAlignment="1">
      <alignment horizontal="left" vertical="center"/>
    </xf>
    <xf numFmtId="0" fontId="1" fillId="0" borderId="0" xfId="70" applyFill="1" applyAlignment="1">
      <alignment vertical="center"/>
    </xf>
    <xf numFmtId="0" fontId="1" fillId="0" borderId="0" xfId="70" applyFill="1"/>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3" fontId="0" fillId="0" borderId="0" xfId="0" applyNumberFormat="1" applyFill="1">
      <alignment vertical="top"/>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7 2" xfId="94" xr:uid="{00000000-0005-0000-0000-000046000000}"/>
    <cellStyle name="Note" xfId="17" builtinId="10" hidden="1"/>
    <cellStyle name="Output" xfId="12" builtinId="21" hidden="1"/>
    <cellStyle name="Pantone 130C" xfId="47" xr:uid="{00000000-0005-0000-0000-000049000000}"/>
    <cellStyle name="Pantone 179C" xfId="52" xr:uid="{00000000-0005-0000-0000-00004A000000}"/>
    <cellStyle name="Pantone 232C" xfId="51" xr:uid="{00000000-0005-0000-0000-00004B000000}"/>
    <cellStyle name="Pantone 2745C" xfId="50" xr:uid="{00000000-0005-0000-0000-00004C000000}"/>
    <cellStyle name="Pantone 279C" xfId="45" xr:uid="{00000000-0005-0000-0000-00004D000000}"/>
    <cellStyle name="Pantone 281C" xfId="44" xr:uid="{00000000-0005-0000-0000-00004E000000}"/>
    <cellStyle name="Pantone 451C" xfId="46" xr:uid="{00000000-0005-0000-0000-00004F000000}"/>
    <cellStyle name="Pantone 583C" xfId="49" xr:uid="{00000000-0005-0000-0000-000050000000}"/>
    <cellStyle name="Pantone 633C" xfId="48" xr:uid="{00000000-0005-0000-0000-000051000000}"/>
    <cellStyle name="Percent" xfId="2" builtinId="5" customBuiltin="1"/>
    <cellStyle name="Percent [0]" xfId="58" xr:uid="{00000000-0005-0000-0000-000053000000}"/>
    <cellStyle name="Section separator" xfId="83" xr:uid="{00000000-0005-0000-0000-000054000000}"/>
    <cellStyle name="Title" xfId="3" builtinId="15" hidden="1"/>
    <cellStyle name="Title" xfId="73" builtinId="15"/>
    <cellStyle name="Title 2" xfId="86" xr:uid="{00000000-0005-0000-0000-000057000000}"/>
    <cellStyle name="To be reviewed or discussed" xfId="84" xr:uid="{00000000-0005-0000-0000-000058000000}"/>
    <cellStyle name="Total" xfId="19" builtinId="25" hidden="1"/>
    <cellStyle name="Warning Text" xfId="16" builtinId="11" customBuiltin="1"/>
    <cellStyle name="Warning Text 2" xfId="76" xr:uid="{00000000-0005-0000-0000-00005B000000}"/>
    <cellStyle name="WIP" xfId="53" xr:uid="{00000000-0005-0000-0000-00005C000000}"/>
    <cellStyle name="Within-worksheet counter-flow" xfId="79" xr:uid="{00000000-0005-0000-0000-00005D000000}"/>
    <cellStyle name="Year" xfId="72" xr:uid="{00000000-0005-0000-0000-00005E000000}"/>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Model%20runs/FD/Model%20Run%208/Past%20Delivery/ANH/PR19PD005_ANH_ModelRun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g.rayat\OneDrive%20-%20OFWAT\Quality%20and%20Assurance\FD%20-%20Reconciliation%20Rule%20Book\Reconciliation%20Rule%20Book\Models\Cost-of-New-Debt-Indexation-Model-Blank-17.07.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20">
          <cell r="G20">
            <v>3.5999999999999997E-2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DCD8"/>
    <pageSetUpPr fitToPage="1"/>
  </sheetPr>
  <dimension ref="A1:F30"/>
  <sheetViews>
    <sheetView tabSelected="1" zoomScale="90" zoomScaleNormal="90" zoomScaleSheetLayoutView="100" workbookViewId="0"/>
  </sheetViews>
  <sheetFormatPr defaultColWidth="9.125" defaultRowHeight="12.75" x14ac:dyDescent="0.35"/>
  <cols>
    <col min="1" max="1" width="28.1875" style="303" bestFit="1" customWidth="1"/>
    <col min="2" max="2" width="107.1875" style="303" customWidth="1"/>
    <col min="3" max="3" width="21.125" style="303" customWidth="1"/>
    <col min="4" max="4" width="14.875" style="303" customWidth="1"/>
    <col min="5" max="5" width="5.1875" style="303" customWidth="1"/>
    <col min="6" max="6" width="1.1875" style="303" customWidth="1"/>
    <col min="7" max="16384" width="9.125" style="303"/>
  </cols>
  <sheetData>
    <row r="1" spans="1:6" ht="32.25" thickBot="1" x14ac:dyDescent="1.1000000000000001">
      <c r="A1" s="378" t="str">
        <f ca="1" xml:space="preserve"> RIGHT(CELL("filename", $A$1), LEN(CELL("filename", $A$1)) - SEARCH("]", CELL("filename", $A$1)))</f>
        <v>Cover</v>
      </c>
      <c r="B1" s="284"/>
      <c r="C1" s="284"/>
      <c r="D1" s="284"/>
      <c r="E1" s="284"/>
      <c r="F1" s="284"/>
    </row>
    <row r="2" spans="1:6" ht="4.05" customHeight="1" x14ac:dyDescent="0.4">
      <c r="A2" s="286"/>
      <c r="B2" s="286"/>
      <c r="C2" s="286"/>
      <c r="D2" s="286"/>
      <c r="E2" s="286"/>
      <c r="F2" s="286"/>
    </row>
    <row r="3" spans="1:6" ht="18" customHeight="1" x14ac:dyDescent="0.4">
      <c r="A3" s="379" t="s">
        <v>0</v>
      </c>
      <c r="B3" s="380" t="s">
        <v>1</v>
      </c>
      <c r="C3" s="288"/>
      <c r="D3" s="288"/>
      <c r="E3" s="288"/>
      <c r="F3" s="288"/>
    </row>
    <row r="4" spans="1:6" ht="18" customHeight="1" x14ac:dyDescent="0.4">
      <c r="A4" s="379" t="s">
        <v>2</v>
      </c>
      <c r="B4" s="379" t="s">
        <v>3</v>
      </c>
      <c r="C4" s="288"/>
      <c r="D4" s="288"/>
      <c r="E4" s="288"/>
      <c r="F4" s="288"/>
    </row>
    <row r="5" spans="1:6" ht="18" customHeight="1" x14ac:dyDescent="0.4">
      <c r="A5" s="379" t="s">
        <v>4</v>
      </c>
      <c r="B5" s="380" t="str">
        <f ca="1" xml:space="preserve"> MID(CELL("filename"), FIND("[", CELL("filename"), 1) + 1, FIND("]", CELL("filename"), 1) - FIND("[", CELL("filename"), 1) - 1)</f>
        <v>In-period adjustment model_WSX_BYRun1.xlsx</v>
      </c>
      <c r="C5" s="288"/>
      <c r="D5" s="288"/>
      <c r="E5" s="288"/>
      <c r="F5" s="288"/>
    </row>
    <row r="6" spans="1:6" ht="18" customHeight="1" x14ac:dyDescent="0.4">
      <c r="A6" s="379" t="s">
        <v>5</v>
      </c>
      <c r="B6" s="381">
        <v>44096</v>
      </c>
      <c r="C6" s="288"/>
      <c r="D6" s="288"/>
      <c r="E6" s="288"/>
      <c r="F6" s="288"/>
    </row>
    <row r="7" spans="1:6" ht="18" customHeight="1" x14ac:dyDescent="0.4">
      <c r="A7" s="379" t="s">
        <v>6</v>
      </c>
      <c r="B7" s="379" t="s">
        <v>7</v>
      </c>
      <c r="C7" s="288"/>
      <c r="D7" s="288"/>
      <c r="E7" s="288"/>
      <c r="F7" s="288"/>
    </row>
    <row r="8" spans="1:6" ht="4.05" customHeight="1" x14ac:dyDescent="0.4">
      <c r="A8" s="287"/>
      <c r="B8" s="287"/>
      <c r="C8" s="287"/>
      <c r="D8" s="287"/>
      <c r="E8" s="287"/>
      <c r="F8" s="287"/>
    </row>
    <row r="9" spans="1:6" ht="9" customHeight="1" x14ac:dyDescent="0.35"/>
    <row r="10" spans="1:6" ht="38.25" x14ac:dyDescent="0.35">
      <c r="A10" s="382" t="s">
        <v>8</v>
      </c>
      <c r="B10" s="383" t="s">
        <v>447</v>
      </c>
    </row>
    <row r="11" spans="1:6" ht="9" customHeight="1" x14ac:dyDescent="0.35"/>
    <row r="12" spans="1:6" ht="14.65" x14ac:dyDescent="0.35">
      <c r="A12" s="384" t="s">
        <v>9</v>
      </c>
      <c r="B12" s="385" t="s">
        <v>448</v>
      </c>
    </row>
    <row r="13" spans="1:6" ht="6" customHeight="1" x14ac:dyDescent="0.35">
      <c r="A13" s="386"/>
      <c r="B13" s="386"/>
    </row>
    <row r="14" spans="1:6" ht="14.65" x14ac:dyDescent="0.35">
      <c r="A14" s="382" t="s">
        <v>10</v>
      </c>
      <c r="B14" s="383" t="s">
        <v>449</v>
      </c>
    </row>
    <row r="15" spans="1:6" ht="9" customHeight="1" x14ac:dyDescent="0.35"/>
    <row r="16" spans="1:6" ht="14.65" x14ac:dyDescent="0.35">
      <c r="A16" s="384" t="s">
        <v>11</v>
      </c>
      <c r="B16" s="387" t="s">
        <v>12</v>
      </c>
    </row>
    <row r="17" spans="1:6" ht="9" customHeight="1" x14ac:dyDescent="0.35"/>
    <row r="18" spans="1:6" ht="14.65" x14ac:dyDescent="0.35">
      <c r="A18" s="384" t="s">
        <v>13</v>
      </c>
      <c r="B18" s="387" t="s">
        <v>450</v>
      </c>
    </row>
    <row r="19" spans="1:6" ht="9" customHeight="1" x14ac:dyDescent="0.35"/>
    <row r="20" spans="1:6" ht="14.65" x14ac:dyDescent="0.35">
      <c r="A20" s="384" t="s">
        <v>451</v>
      </c>
      <c r="B20" s="387" t="s">
        <v>12</v>
      </c>
    </row>
    <row r="21" spans="1:6" ht="9" customHeight="1" x14ac:dyDescent="0.35"/>
    <row r="22" spans="1:6" ht="13.15" x14ac:dyDescent="0.35">
      <c r="A22" s="388" t="s">
        <v>452</v>
      </c>
      <c r="B22" s="389"/>
      <c r="C22" s="390"/>
      <c r="D22" s="390"/>
      <c r="E22" s="390"/>
      <c r="F22" s="390"/>
    </row>
    <row r="23" spans="1:6" ht="9" customHeight="1" x14ac:dyDescent="0.35"/>
    <row r="24" spans="1:6" s="321" customFormat="1" ht="18" customHeight="1" x14ac:dyDescent="0.35">
      <c r="A24" s="391" t="s">
        <v>14</v>
      </c>
      <c r="B24" s="391" t="s">
        <v>15</v>
      </c>
      <c r="C24" s="391" t="s">
        <v>16</v>
      </c>
      <c r="D24" s="391" t="s">
        <v>17</v>
      </c>
      <c r="E24" s="323"/>
      <c r="F24" s="323"/>
    </row>
    <row r="25" spans="1:6" ht="14.45" customHeight="1" x14ac:dyDescent="0.35">
      <c r="A25" s="392" t="s">
        <v>18</v>
      </c>
      <c r="B25" s="392" t="s">
        <v>19</v>
      </c>
      <c r="C25" s="393" t="s">
        <v>20</v>
      </c>
      <c r="D25" s="392" t="s">
        <v>3</v>
      </c>
      <c r="E25" s="322"/>
      <c r="F25" s="322"/>
    </row>
    <row r="26" spans="1:6" ht="45" customHeight="1" x14ac:dyDescent="0.35">
      <c r="A26" s="392" t="s">
        <v>21</v>
      </c>
      <c r="B26" s="392" t="s">
        <v>22</v>
      </c>
      <c r="C26" s="392" t="s">
        <v>23</v>
      </c>
      <c r="D26" s="392" t="s">
        <v>3</v>
      </c>
      <c r="E26" s="322"/>
      <c r="F26" s="322"/>
    </row>
    <row r="27" spans="1:6" ht="60" customHeight="1" x14ac:dyDescent="0.35">
      <c r="A27" s="392" t="s">
        <v>18</v>
      </c>
      <c r="B27" s="392" t="s">
        <v>24</v>
      </c>
      <c r="C27" s="392" t="s">
        <v>25</v>
      </c>
      <c r="D27" s="392" t="s">
        <v>3</v>
      </c>
      <c r="E27" s="322"/>
      <c r="F27" s="322"/>
    </row>
    <row r="28" spans="1:6" x14ac:dyDescent="0.35">
      <c r="A28" s="392"/>
      <c r="B28" s="392"/>
      <c r="C28" s="392"/>
      <c r="D28" s="392"/>
      <c r="E28" s="322"/>
      <c r="F28" s="322"/>
    </row>
    <row r="29" spans="1:6" x14ac:dyDescent="0.35">
      <c r="A29" s="322"/>
      <c r="B29" s="322"/>
      <c r="C29" s="322"/>
      <c r="D29" s="322"/>
      <c r="E29" s="322"/>
      <c r="F29" s="322"/>
    </row>
    <row r="30" spans="1:6" ht="13.5" x14ac:dyDescent="0.45">
      <c r="A30" s="289" t="s">
        <v>26</v>
      </c>
      <c r="B30" s="289"/>
      <c r="C30" s="289"/>
      <c r="D30" s="289"/>
      <c r="E30" s="289"/>
      <c r="F30" s="289"/>
    </row>
  </sheetData>
  <pageMargins left="0.70866141732283472" right="0.70866141732283472" top="0.74803149606299213" bottom="0.74803149606299213" header="0.31496062992125984" footer="0.31496062992125984"/>
  <pageSetup paperSize="9" scale="67"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network plus</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74</v>
      </c>
    </row>
    <row r="19" spans="1:20" s="213" customFormat="1" ht="13.15" x14ac:dyDescent="0.35">
      <c r="A19" s="214"/>
      <c r="B19" s="215"/>
      <c r="C19" s="216"/>
      <c r="E19" s="213" t="s">
        <v>153</v>
      </c>
      <c r="G19" s="213" t="str">
        <f>VLOOKUP($F18,$E$10:$H$16,3,FALSE)</f>
        <v>£m (2017-18 Nov CPIH prices)</v>
      </c>
      <c r="H19" s="213">
        <f>VLOOKUP($F18,$E$10:$H$16,4,FALSE)</f>
        <v>0.37993107752926925</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0.37993107752926925</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ht="13.15" x14ac:dyDescent="0.35">
      <c r="A32" s="214"/>
      <c r="B32" s="215"/>
      <c r="C32" s="216"/>
      <c r="D32" s="213"/>
      <c r="E32" s="213"/>
      <c r="F32" s="213"/>
      <c r="G32" s="213"/>
      <c r="H32" s="213"/>
      <c r="I32" s="213"/>
      <c r="J32" s="213"/>
      <c r="K32" s="213"/>
      <c r="L32" s="213"/>
      <c r="M32" s="213"/>
      <c r="N32" s="213"/>
      <c r="O32" s="213"/>
      <c r="P32" s="213"/>
      <c r="Q32" s="213"/>
      <c r="R32" s="213"/>
      <c r="S32" s="213"/>
      <c r="T32" s="213"/>
    </row>
    <row r="33" spans="1:20" ht="13.15" x14ac:dyDescent="0.35">
      <c r="A33" s="214"/>
      <c r="B33" s="215"/>
      <c r="C33" s="213"/>
      <c r="D33" s="213"/>
      <c r="E33" s="219" t="str">
        <f xml:space="preserve"> Inputs!E$97</f>
        <v>Allowed revenue starting point in FD</v>
      </c>
      <c r="F33" s="219">
        <f xml:space="preserve"> Inputs!F$97</f>
        <v>0</v>
      </c>
      <c r="G33" s="219" t="str">
        <f xml:space="preserve"> Inputs!G$97</f>
        <v>£m (nominal)</v>
      </c>
      <c r="H33" s="219">
        <f xml:space="preserve"> Inputs!H$97</f>
        <v>0</v>
      </c>
      <c r="I33" s="219">
        <f xml:space="preserve"> Inputs!I$97</f>
        <v>0</v>
      </c>
      <c r="J33" s="219">
        <f xml:space="preserve"> Inputs!J$97</f>
        <v>0</v>
      </c>
      <c r="K33" s="219">
        <f xml:space="preserve"> Inputs!K$97</f>
        <v>0</v>
      </c>
      <c r="L33" s="219">
        <f xml:space="preserve"> Inputs!L$97</f>
        <v>0</v>
      </c>
      <c r="M33" s="219">
        <f xml:space="preserve"> Inputs!M$97</f>
        <v>0</v>
      </c>
      <c r="N33" s="219">
        <f xml:space="preserve"> Inputs!N$97</f>
        <v>151.516312333786</v>
      </c>
      <c r="O33" s="219">
        <f xml:space="preserve"> Inputs!O$97</f>
        <v>0</v>
      </c>
      <c r="P33" s="219">
        <f xml:space="preserve"> Inputs!P$97</f>
        <v>0</v>
      </c>
      <c r="Q33" s="219">
        <f xml:space="preserve"> Inputs!Q$97</f>
        <v>0</v>
      </c>
      <c r="R33" s="219">
        <f xml:space="preserve"> Inputs!R$97</f>
        <v>0</v>
      </c>
      <c r="S33" s="219">
        <f xml:space="preserve"> Inputs!S$97</f>
        <v>0</v>
      </c>
      <c r="T33" s="219">
        <f xml:space="preserve"> Inputs!T$97</f>
        <v>0</v>
      </c>
    </row>
    <row r="34" spans="1:20" ht="13.15" x14ac:dyDescent="0.35">
      <c r="A34" s="214"/>
      <c r="B34" s="215"/>
      <c r="C34" s="213"/>
      <c r="D34" s="213"/>
      <c r="E34" s="213" t="str">
        <f>E33</f>
        <v>Allowed revenue starting point in FD</v>
      </c>
      <c r="F34" s="213"/>
      <c r="G34" s="213"/>
      <c r="H34" s="213">
        <f xml:space="preserve"> SUM( J33:T33 )</f>
        <v>151.516312333786</v>
      </c>
      <c r="I34" s="219"/>
      <c r="J34" s="219"/>
      <c r="K34" s="219"/>
      <c r="L34" s="219"/>
      <c r="M34" s="219"/>
      <c r="N34" s="219"/>
      <c r="O34" s="219"/>
      <c r="P34" s="219"/>
      <c r="Q34" s="219"/>
      <c r="R34" s="219"/>
      <c r="S34" s="219"/>
      <c r="T34" s="219"/>
    </row>
    <row r="35" spans="1:20" s="110" customFormat="1" ht="13.15" x14ac:dyDescent="0.35">
      <c r="A35" s="214"/>
      <c r="B35" s="215"/>
      <c r="C35" s="216"/>
      <c r="D35" s="213"/>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08" customFormat="1" ht="13.15" x14ac:dyDescent="0.35">
      <c r="A36" s="217"/>
      <c r="B36" s="218"/>
      <c r="C36" s="219"/>
      <c r="D36" s="219"/>
      <c r="E36" s="233" t="str">
        <f xml:space="preserve"> Inputs!E$98</f>
        <v>K factors (last determined)</v>
      </c>
      <c r="F36" s="233">
        <f xml:space="preserve"> Inputs!F$98</f>
        <v>0</v>
      </c>
      <c r="G36" s="233" t="str">
        <f xml:space="preserve"> Inputs!G$98</f>
        <v>Number</v>
      </c>
      <c r="H36" s="233">
        <f xml:space="preserve"> Inputs!H$98</f>
        <v>0</v>
      </c>
      <c r="I36" s="233">
        <f xml:space="preserve"> Inputs!I$98</f>
        <v>0</v>
      </c>
      <c r="J36" s="219">
        <f xml:space="preserve"> Inputs!J$98</f>
        <v>0</v>
      </c>
      <c r="K36" s="219">
        <f xml:space="preserve"> Inputs!K$98</f>
        <v>0</v>
      </c>
      <c r="L36" s="219">
        <f xml:space="preserve"> Inputs!L$98</f>
        <v>0</v>
      </c>
      <c r="M36" s="219">
        <f xml:space="preserve"> Inputs!M$98</f>
        <v>0</v>
      </c>
      <c r="N36" s="219">
        <f xml:space="preserve"> Inputs!N$98</f>
        <v>0</v>
      </c>
      <c r="O36" s="219">
        <f xml:space="preserve"> Inputs!O$98</f>
        <v>0</v>
      </c>
      <c r="P36" s="219">
        <f xml:space="preserve"> Inputs!P$98</f>
        <v>0.77999999999999903</v>
      </c>
      <c r="Q36" s="219">
        <f xml:space="preserve"> Inputs!Q$98</f>
        <v>0.31</v>
      </c>
      <c r="R36" s="219">
        <f xml:space="preserve"> Inputs!R$98</f>
        <v>0.21</v>
      </c>
      <c r="S36" s="219">
        <f xml:space="preserve"> Inputs!S$98</f>
        <v>0.13</v>
      </c>
      <c r="T36" s="219">
        <f xml:space="preserve"> Inputs!T$98</f>
        <v>0</v>
      </c>
    </row>
    <row r="37" spans="1:20" ht="13.15" x14ac:dyDescent="0.35">
      <c r="A37" s="214"/>
      <c r="B37" s="215"/>
      <c r="C37" s="213"/>
      <c r="D37" s="213"/>
      <c r="E37" s="316" t="s">
        <v>159</v>
      </c>
      <c r="F37" s="316"/>
      <c r="G37" s="316" t="s">
        <v>130</v>
      </c>
      <c r="H37" s="316"/>
      <c r="I37" s="316"/>
      <c r="J37" s="316">
        <f>J36/100</f>
        <v>0</v>
      </c>
      <c r="K37" s="316">
        <f t="shared" ref="K37:T37" si="3">K36/100</f>
        <v>0</v>
      </c>
      <c r="L37" s="316">
        <f t="shared" si="3"/>
        <v>0</v>
      </c>
      <c r="M37" s="316">
        <f t="shared" si="3"/>
        <v>0</v>
      </c>
      <c r="N37" s="316">
        <f t="shared" si="3"/>
        <v>0</v>
      </c>
      <c r="O37" s="316">
        <f t="shared" si="3"/>
        <v>0</v>
      </c>
      <c r="P37" s="316">
        <f t="shared" si="3"/>
        <v>7.7999999999999901E-3</v>
      </c>
      <c r="Q37" s="316">
        <f t="shared" si="3"/>
        <v>3.0999999999999999E-3</v>
      </c>
      <c r="R37" s="316">
        <f t="shared" si="3"/>
        <v>2.0999999999999999E-3</v>
      </c>
      <c r="S37" s="316">
        <f t="shared" si="3"/>
        <v>1.2999999999999999E-3</v>
      </c>
      <c r="T37" s="316">
        <f t="shared" si="3"/>
        <v>0</v>
      </c>
    </row>
    <row r="38" spans="1:20" s="108" customFormat="1" ht="13.15" x14ac:dyDescent="0.35">
      <c r="A38" s="217"/>
      <c r="B38" s="218"/>
      <c r="C38" s="219"/>
      <c r="D38" s="219"/>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214"/>
      <c r="B39" s="215"/>
      <c r="C39" s="213"/>
      <c r="D39" s="213"/>
      <c r="E39" s="213" t="s">
        <v>160</v>
      </c>
      <c r="F39" s="213"/>
      <c r="G39" s="213" t="s">
        <v>161</v>
      </c>
      <c r="H39" s="213">
        <f xml:space="preserve"> SUM( J39:T39 )</f>
        <v>932.00843297371557</v>
      </c>
      <c r="I39" s="213"/>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153.78409624149469</v>
      </c>
      <c r="P39" s="213">
        <f xml:space="preserve"> IF(P35=1, $H34 * (1+P38+P37), O39 *  (1+P38+P37))</f>
        <v>154.98361219217836</v>
      </c>
      <c r="Q39" s="213">
        <f t="shared" si="4"/>
        <v>155.46406138997412</v>
      </c>
      <c r="R39" s="213">
        <f t="shared" si="4"/>
        <v>155.79053591889306</v>
      </c>
      <c r="S39" s="213">
        <f t="shared" si="4"/>
        <v>155.99306361558763</v>
      </c>
      <c r="T39" s="213">
        <f t="shared" si="4"/>
        <v>155.99306361558763</v>
      </c>
    </row>
    <row r="40" spans="1:20" ht="13.15" x14ac:dyDescent="0.35">
      <c r="A40" s="214"/>
      <c r="B40" s="215"/>
      <c r="C40" s="216"/>
      <c r="D40" s="213"/>
      <c r="E40" s="213"/>
      <c r="F40" s="213"/>
      <c r="G40" s="213"/>
      <c r="H40" s="213"/>
      <c r="I40" s="213"/>
      <c r="J40" s="213"/>
      <c r="K40" s="213"/>
      <c r="L40" s="213"/>
      <c r="M40" s="213"/>
      <c r="N40" s="213"/>
      <c r="O40" s="213"/>
      <c r="P40" s="213"/>
      <c r="Q40" s="213"/>
      <c r="R40" s="213"/>
      <c r="S40" s="213"/>
      <c r="T40" s="213"/>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0.37993107752926925</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0.40493636455722704</v>
      </c>
      <c r="J44" s="213">
        <f t="shared" ref="J44:P44" si="6" xml:space="preserve"> J42 * J43</f>
        <v>0</v>
      </c>
      <c r="K44" s="213">
        <f t="shared" si="6"/>
        <v>0</v>
      </c>
      <c r="L44" s="213">
        <f t="shared" si="6"/>
        <v>0</v>
      </c>
      <c r="M44" s="213">
        <f t="shared" si="6"/>
        <v>0</v>
      </c>
      <c r="N44" s="213">
        <f t="shared" si="6"/>
        <v>0</v>
      </c>
      <c r="O44" s="213">
        <f t="shared" si="6"/>
        <v>0</v>
      </c>
      <c r="P44" s="213">
        <f t="shared" si="6"/>
        <v>0.40493636455722704</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0.40493636455722704</v>
      </c>
      <c r="I50" s="213">
        <f t="shared" si="8"/>
        <v>0</v>
      </c>
      <c r="J50" s="213">
        <f t="shared" si="8"/>
        <v>0</v>
      </c>
      <c r="K50" s="213">
        <f t="shared" si="8"/>
        <v>0</v>
      </c>
      <c r="L50" s="213">
        <f t="shared" si="8"/>
        <v>0</v>
      </c>
      <c r="M50" s="213">
        <f t="shared" si="8"/>
        <v>0</v>
      </c>
      <c r="N50" s="213">
        <f t="shared" si="8"/>
        <v>0</v>
      </c>
      <c r="O50" s="213">
        <f t="shared" si="8"/>
        <v>0</v>
      </c>
      <c r="P50" s="213">
        <f t="shared" si="8"/>
        <v>0.40493636455722704</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9.4985073167744585E-2</v>
      </c>
      <c r="J52" s="213">
        <f t="shared" ref="J52:T52" si="10" xml:space="preserve"> J50 * J51</f>
        <v>0</v>
      </c>
      <c r="K52" s="213">
        <f t="shared" si="10"/>
        <v>0</v>
      </c>
      <c r="L52" s="213">
        <f t="shared" si="10"/>
        <v>0</v>
      </c>
      <c r="M52" s="213">
        <f t="shared" si="10"/>
        <v>0</v>
      </c>
      <c r="N52" s="213">
        <f t="shared" si="10"/>
        <v>0</v>
      </c>
      <c r="O52" s="213">
        <f t="shared" si="10"/>
        <v>0</v>
      </c>
      <c r="P52" s="213">
        <f t="shared" si="10"/>
        <v>9.4985073167744585E-2</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0.40493636455722704</v>
      </c>
      <c r="I54" s="213">
        <f t="shared" si="11"/>
        <v>0</v>
      </c>
      <c r="J54" s="221">
        <f t="shared" si="11"/>
        <v>0</v>
      </c>
      <c r="K54" s="221">
        <f t="shared" si="11"/>
        <v>0</v>
      </c>
      <c r="L54" s="221">
        <f t="shared" si="11"/>
        <v>0</v>
      </c>
      <c r="M54" s="221">
        <f t="shared" si="11"/>
        <v>0</v>
      </c>
      <c r="N54" s="221">
        <f t="shared" si="11"/>
        <v>0</v>
      </c>
      <c r="O54" s="221">
        <f t="shared" si="11"/>
        <v>0</v>
      </c>
      <c r="P54" s="221">
        <f t="shared" si="11"/>
        <v>0.40493636455722704</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9.4985073167744585E-2</v>
      </c>
      <c r="I55" s="213">
        <f t="shared" si="12"/>
        <v>0</v>
      </c>
      <c r="J55" s="221">
        <f t="shared" si="12"/>
        <v>0</v>
      </c>
      <c r="K55" s="221">
        <f t="shared" si="12"/>
        <v>0</v>
      </c>
      <c r="L55" s="221">
        <f t="shared" si="12"/>
        <v>0</v>
      </c>
      <c r="M55" s="221">
        <f t="shared" si="12"/>
        <v>0</v>
      </c>
      <c r="N55" s="221">
        <f t="shared" si="12"/>
        <v>0</v>
      </c>
      <c r="O55" s="221">
        <f t="shared" si="12"/>
        <v>0</v>
      </c>
      <c r="P55" s="221">
        <f t="shared" si="12"/>
        <v>9.4985073167744585E-2</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0.49992143772497161</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0.49992143772497161</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932.00843297371557</v>
      </c>
      <c r="I58" s="213">
        <f t="shared" si="14"/>
        <v>0</v>
      </c>
      <c r="J58" s="221">
        <f t="shared" si="14"/>
        <v>0</v>
      </c>
      <c r="K58" s="221">
        <f t="shared" si="14"/>
        <v>0</v>
      </c>
      <c r="L58" s="221">
        <f t="shared" si="14"/>
        <v>0</v>
      </c>
      <c r="M58" s="221">
        <f t="shared" si="14"/>
        <v>0</v>
      </c>
      <c r="N58" s="221">
        <f t="shared" si="14"/>
        <v>0</v>
      </c>
      <c r="O58" s="221">
        <f t="shared" si="14"/>
        <v>153.78409624149469</v>
      </c>
      <c r="P58" s="221">
        <f t="shared" si="14"/>
        <v>154.98361219217836</v>
      </c>
      <c r="Q58" s="221">
        <f t="shared" si="14"/>
        <v>155.46406138997412</v>
      </c>
      <c r="R58" s="221">
        <f t="shared" si="14"/>
        <v>155.79053591889306</v>
      </c>
      <c r="S58" s="221">
        <f t="shared" si="14"/>
        <v>155.99306361558763</v>
      </c>
      <c r="T58" s="221">
        <f t="shared" si="14"/>
        <v>155.99306361558763</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0.49992143772497161</v>
      </c>
      <c r="I59" s="213">
        <f t="shared" si="15"/>
        <v>0</v>
      </c>
      <c r="J59" s="221">
        <f t="shared" si="15"/>
        <v>0</v>
      </c>
      <c r="K59" s="221">
        <f t="shared" si="15"/>
        <v>0</v>
      </c>
      <c r="L59" s="221">
        <f t="shared" si="15"/>
        <v>0</v>
      </c>
      <c r="M59" s="221">
        <f t="shared" si="15"/>
        <v>0</v>
      </c>
      <c r="N59" s="221">
        <f t="shared" si="15"/>
        <v>0</v>
      </c>
      <c r="O59" s="221">
        <f t="shared" si="15"/>
        <v>0</v>
      </c>
      <c r="P59" s="221">
        <f t="shared" si="15"/>
        <v>0.49992143772497161</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932.50835441144045</v>
      </c>
      <c r="J60" s="221">
        <f xml:space="preserve"> J58 + J59</f>
        <v>0</v>
      </c>
      <c r="K60" s="221">
        <f t="shared" ref="K60:T60" si="16" xml:space="preserve"> K58 + K59</f>
        <v>0</v>
      </c>
      <c r="L60" s="221">
        <f t="shared" si="16"/>
        <v>0</v>
      </c>
      <c r="M60" s="221">
        <f t="shared" si="16"/>
        <v>0</v>
      </c>
      <c r="N60" s="221">
        <f t="shared" si="16"/>
        <v>0</v>
      </c>
      <c r="O60" s="221">
        <f t="shared" si="16"/>
        <v>153.78409624149469</v>
      </c>
      <c r="P60" s="221">
        <f t="shared" si="16"/>
        <v>155.48353362990332</v>
      </c>
      <c r="Q60" s="221">
        <f t="shared" si="16"/>
        <v>155.46406138997412</v>
      </c>
      <c r="R60" s="221">
        <f t="shared" si="16"/>
        <v>155.79053591889306</v>
      </c>
      <c r="S60" s="221">
        <f t="shared" si="16"/>
        <v>155.99306361558763</v>
      </c>
      <c r="T60" s="221">
        <f t="shared" si="16"/>
        <v>155.99306361558763</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932.50835441144045</v>
      </c>
      <c r="I63" s="213">
        <f t="shared" si="17"/>
        <v>0</v>
      </c>
      <c r="J63" s="213">
        <f t="shared" si="17"/>
        <v>0</v>
      </c>
      <c r="K63" s="213">
        <f t="shared" si="17"/>
        <v>0</v>
      </c>
      <c r="L63" s="213">
        <f t="shared" si="17"/>
        <v>0</v>
      </c>
      <c r="M63" s="213">
        <f t="shared" si="17"/>
        <v>0</v>
      </c>
      <c r="N63" s="213">
        <f t="shared" si="17"/>
        <v>0</v>
      </c>
      <c r="O63" s="213">
        <f t="shared" si="17"/>
        <v>153.78409624149469</v>
      </c>
      <c r="P63" s="213">
        <f t="shared" si="17"/>
        <v>155.48353362990332</v>
      </c>
      <c r="Q63" s="213">
        <f t="shared" si="17"/>
        <v>155.46406138997412</v>
      </c>
      <c r="R63" s="213">
        <f t="shared" si="17"/>
        <v>155.79053591889306</v>
      </c>
      <c r="S63" s="213">
        <f t="shared" si="17"/>
        <v>155.99306361558763</v>
      </c>
      <c r="T63" s="213">
        <f t="shared" si="17"/>
        <v>155.99306361558763</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1.1050800635066471E-2</v>
      </c>
      <c r="Q64" s="268">
        <f t="shared" si="18"/>
        <v>-1.2523666959840529E-4</v>
      </c>
      <c r="R64" s="268">
        <f t="shared" si="18"/>
        <v>2.0999999999999908E-3</v>
      </c>
      <c r="S64" s="268">
        <f t="shared" si="18"/>
        <v>1.3000000000000789E-3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1.1050800635066471E-2</v>
      </c>
      <c r="Q69" s="270">
        <f t="shared" si="21"/>
        <v>-1.2523666959840529E-4</v>
      </c>
      <c r="R69" s="270">
        <f t="shared" si="21"/>
        <v>2.0999999999999908E-3</v>
      </c>
      <c r="S69" s="270">
        <f t="shared" si="21"/>
        <v>1.3000000000000789E-3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1.1050800635066471E-2</v>
      </c>
      <c r="Q72" s="268">
        <f t="shared" si="23"/>
        <v>-1.2523666959840529E-4</v>
      </c>
      <c r="R72" s="268">
        <f t="shared" si="23"/>
        <v>2.0999999999999908E-3</v>
      </c>
      <c r="S72" s="268">
        <f t="shared" si="23"/>
        <v>1.3000000000000789E-3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xml:space="preserve"> J$72</f>
        <v>0</v>
      </c>
      <c r="K74" s="270">
        <f t="shared" si="24"/>
        <v>0</v>
      </c>
      <c r="L74" s="270">
        <f t="shared" si="24"/>
        <v>0</v>
      </c>
      <c r="M74" s="270">
        <f t="shared" si="24"/>
        <v>0</v>
      </c>
      <c r="N74" s="270">
        <f t="shared" si="24"/>
        <v>0</v>
      </c>
      <c r="O74" s="270">
        <f t="shared" si="24"/>
        <v>0</v>
      </c>
      <c r="P74" s="270">
        <f t="shared" si="24"/>
        <v>1.1050800635066471E-2</v>
      </c>
      <c r="Q74" s="270">
        <f t="shared" si="24"/>
        <v>-1.2523666959840529E-4</v>
      </c>
      <c r="R74" s="270">
        <f t="shared" si="24"/>
        <v>2.0999999999999908E-3</v>
      </c>
      <c r="S74" s="270">
        <f t="shared" si="24"/>
        <v>1.3000000000000789E-3</v>
      </c>
      <c r="T74" s="270">
        <f t="shared" si="24"/>
        <v>0</v>
      </c>
    </row>
    <row r="75" spans="1:20" s="213" customFormat="1" ht="13.15" x14ac:dyDescent="0.35">
      <c r="A75" s="214"/>
      <c r="B75" s="215"/>
      <c r="E75" s="221" t="str">
        <f>CONCATENATE("Revised K - ",F18)</f>
        <v>Revised K - 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1.1099999999999999E-2</v>
      </c>
      <c r="Q75" s="319">
        <f t="shared" si="25"/>
        <v>-1E-4</v>
      </c>
      <c r="R75" s="319">
        <f t="shared" si="25"/>
        <v>2.0999999999999999E-3</v>
      </c>
      <c r="S75" s="319">
        <f t="shared" si="25"/>
        <v>1.2999999999999999E-3</v>
      </c>
      <c r="T75" s="319">
        <f t="shared" si="25"/>
        <v>0</v>
      </c>
    </row>
    <row r="76" spans="1:20" s="242" customFormat="1" ht="13.15" x14ac:dyDescent="0.35">
      <c r="A76" s="240"/>
      <c r="B76" s="241"/>
      <c r="E76" s="318" t="str">
        <f>CONCATENATE("Revised K - ",F18)</f>
        <v>Revised K - Water network plus</v>
      </c>
      <c r="G76" s="318" t="s">
        <v>172</v>
      </c>
      <c r="J76" s="242">
        <f>J75*100</f>
        <v>0</v>
      </c>
      <c r="K76" s="242">
        <f t="shared" ref="K76:T76" si="26">K75*100</f>
        <v>0</v>
      </c>
      <c r="L76" s="242">
        <f t="shared" si="26"/>
        <v>0</v>
      </c>
      <c r="M76" s="242">
        <f t="shared" si="26"/>
        <v>0</v>
      </c>
      <c r="N76" s="242">
        <f t="shared" si="26"/>
        <v>0</v>
      </c>
      <c r="O76" s="242">
        <f t="shared" si="26"/>
        <v>0</v>
      </c>
      <c r="P76" s="242">
        <f t="shared" si="26"/>
        <v>1.1099999999999999</v>
      </c>
      <c r="Q76" s="242">
        <f t="shared" si="26"/>
        <v>-0.01</v>
      </c>
      <c r="R76" s="242">
        <f t="shared" si="26"/>
        <v>0.21</v>
      </c>
      <c r="S76" s="242">
        <f t="shared" si="26"/>
        <v>0.13</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Wastewater network plus</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76</v>
      </c>
    </row>
    <row r="19" spans="1:20" s="213" customFormat="1" ht="13.15" x14ac:dyDescent="0.35">
      <c r="A19" s="214"/>
      <c r="B19" s="215"/>
      <c r="C19" s="216"/>
      <c r="E19" s="213" t="s">
        <v>153</v>
      </c>
      <c r="G19" s="213" t="str">
        <f>VLOOKUP($F18,$E$10:$H$16,3,FALSE)</f>
        <v>£m (2017-18 Nov CPIH prices)</v>
      </c>
      <c r="H19" s="213">
        <f>VLOOKUP($F18,$E$10:$H$16,4,FALSE)</f>
        <v>-0.54145318926300068</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-0.54145318926300068</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s="213" customFormat="1" ht="13.15" x14ac:dyDescent="0.35">
      <c r="A33" s="214"/>
      <c r="B33" s="215"/>
      <c r="E33" s="219" t="str">
        <f xml:space="preserve"> Inputs!E$101</f>
        <v>Allowed revenue starting point in FD</v>
      </c>
      <c r="F33" s="219">
        <f xml:space="preserve"> Inputs!F$101</f>
        <v>0</v>
      </c>
      <c r="G33" s="219" t="str">
        <f xml:space="preserve"> Inputs!G$101</f>
        <v>£m (nominal)</v>
      </c>
      <c r="H33" s="219">
        <f xml:space="preserve"> Inputs!H$101</f>
        <v>0</v>
      </c>
      <c r="I33" s="219">
        <f xml:space="preserve"> Inputs!I$101</f>
        <v>0</v>
      </c>
      <c r="J33" s="219">
        <f xml:space="preserve"> Inputs!J$101</f>
        <v>0</v>
      </c>
      <c r="K33" s="219">
        <f xml:space="preserve"> Inputs!K$101</f>
        <v>0</v>
      </c>
      <c r="L33" s="219">
        <f xml:space="preserve"> Inputs!L$101</f>
        <v>0</v>
      </c>
      <c r="M33" s="219">
        <f xml:space="preserve"> Inputs!M$101</f>
        <v>0</v>
      </c>
      <c r="N33" s="219">
        <f xml:space="preserve"> Inputs!N$101</f>
        <v>262.50818471460184</v>
      </c>
      <c r="O33" s="219">
        <f xml:space="preserve"> Inputs!O$101</f>
        <v>0</v>
      </c>
      <c r="P33" s="219">
        <f xml:space="preserve"> Inputs!P$101</f>
        <v>0</v>
      </c>
      <c r="Q33" s="219">
        <f xml:space="preserve"> Inputs!Q$101</f>
        <v>0</v>
      </c>
      <c r="R33" s="219">
        <f xml:space="preserve"> Inputs!R$101</f>
        <v>0</v>
      </c>
      <c r="S33" s="219">
        <f xml:space="preserve"> Inputs!S$101</f>
        <v>0</v>
      </c>
      <c r="T33" s="219">
        <f xml:space="preserve"> Inputs!T$101</f>
        <v>0</v>
      </c>
    </row>
    <row r="34" spans="1:20" s="213" customFormat="1" ht="13.15" x14ac:dyDescent="0.35">
      <c r="A34" s="214"/>
      <c r="B34" s="215"/>
      <c r="E34" s="213" t="str">
        <f>E33</f>
        <v>Allowed revenue starting point in FD</v>
      </c>
      <c r="H34" s="213">
        <f xml:space="preserve"> SUM( J33:T33 )</f>
        <v>262.50818471460184</v>
      </c>
      <c r="I34" s="219"/>
      <c r="J34" s="219"/>
      <c r="K34" s="219"/>
      <c r="L34" s="219"/>
      <c r="M34" s="219"/>
      <c r="N34" s="219"/>
      <c r="O34" s="219"/>
      <c r="P34" s="219"/>
      <c r="Q34" s="219"/>
      <c r="R34" s="219"/>
      <c r="S34" s="219"/>
      <c r="T34" s="219"/>
    </row>
    <row r="35" spans="1:20" s="231" customFormat="1" ht="13.15" x14ac:dyDescent="0.35">
      <c r="A35" s="278"/>
      <c r="B35" s="279"/>
      <c r="C35" s="280"/>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Inputs!E$102</f>
        <v>K factors (last determined)</v>
      </c>
      <c r="F36" s="230">
        <f xml:space="preserve"> Inputs!F$102</f>
        <v>0</v>
      </c>
      <c r="G36" s="230" t="str">
        <f xml:space="preserve"> Inputs!G$102</f>
        <v>Number</v>
      </c>
      <c r="H36" s="230">
        <f xml:space="preserve"> Inputs!H$102</f>
        <v>0</v>
      </c>
      <c r="I36" s="230">
        <f xml:space="preserve"> Inputs!I$102</f>
        <v>0</v>
      </c>
      <c r="J36" s="219">
        <f xml:space="preserve"> Inputs!J$102</f>
        <v>0</v>
      </c>
      <c r="K36" s="219">
        <f xml:space="preserve"> Inputs!K$102</f>
        <v>0</v>
      </c>
      <c r="L36" s="219">
        <f xml:space="preserve"> Inputs!L$102</f>
        <v>0</v>
      </c>
      <c r="M36" s="219">
        <f xml:space="preserve"> Inputs!M$102</f>
        <v>0</v>
      </c>
      <c r="N36" s="219">
        <f xml:space="preserve"> Inputs!N$102</f>
        <v>0</v>
      </c>
      <c r="O36" s="219">
        <f xml:space="preserve"> Inputs!O$102</f>
        <v>0</v>
      </c>
      <c r="P36" s="219">
        <f xml:space="preserve"> Inputs!P$102</f>
        <v>0.75</v>
      </c>
      <c r="Q36" s="219">
        <f xml:space="preserve"> Inputs!Q$102</f>
        <v>0.27999999999999903</v>
      </c>
      <c r="R36" s="219">
        <f xml:space="preserve"> Inputs!R$102</f>
        <v>0.13</v>
      </c>
      <c r="S36" s="219">
        <f xml:space="preserve"> Inputs!S$102</f>
        <v>0.16</v>
      </c>
      <c r="T36" s="219">
        <f xml:space="preserve"> Inputs!T$102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7.4999999999999997E-3</v>
      </c>
      <c r="Q37" s="261">
        <f t="shared" si="3"/>
        <v>2.7999999999999904E-3</v>
      </c>
      <c r="R37" s="261">
        <f t="shared" si="3"/>
        <v>1.2999999999999999E-3</v>
      </c>
      <c r="S37" s="261">
        <f t="shared" si="3"/>
        <v>1.6000000000000001E-3</v>
      </c>
      <c r="T37" s="261">
        <f t="shared" si="3"/>
        <v>0</v>
      </c>
    </row>
    <row r="38" spans="1:20" s="208" customFormat="1" ht="13.15" x14ac:dyDescent="0.35">
      <c r="A38" s="276"/>
      <c r="B38" s="277"/>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1613.5334977132436</v>
      </c>
      <c r="J39" s="213">
        <f t="shared" ref="J39:T39" si="4" xml:space="preserve"> IF(J35=1, $H34 * (1+J38+J37), I39 *  (1+J38+J37))</f>
        <v>0</v>
      </c>
      <c r="K39" s="213">
        <f t="shared" si="4"/>
        <v>0</v>
      </c>
      <c r="L39" s="213">
        <f t="shared" si="4"/>
        <v>0</v>
      </c>
      <c r="M39" s="213">
        <f t="shared" si="4"/>
        <v>0</v>
      </c>
      <c r="N39" s="213">
        <f t="shared" si="4"/>
        <v>0</v>
      </c>
      <c r="O39" s="213">
        <f t="shared" si="4"/>
        <v>266.43721273652289</v>
      </c>
      <c r="P39" s="213">
        <f t="shared" si="4"/>
        <v>268.43549183204681</v>
      </c>
      <c r="Q39" s="213">
        <f t="shared" si="4"/>
        <v>269.18711120917652</v>
      </c>
      <c r="R39" s="213">
        <f t="shared" si="4"/>
        <v>269.53705445374845</v>
      </c>
      <c r="S39" s="213">
        <f t="shared" si="4"/>
        <v>269.96831374087446</v>
      </c>
      <c r="T39" s="213">
        <f t="shared" si="4"/>
        <v>269.96831374087446</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-0.54145318926300068</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-0.57708910643453415</v>
      </c>
      <c r="J44" s="213">
        <f t="shared" ref="J44:P44" si="6" xml:space="preserve"> J42 * J43</f>
        <v>0</v>
      </c>
      <c r="K44" s="213">
        <f t="shared" si="6"/>
        <v>0</v>
      </c>
      <c r="L44" s="213">
        <f t="shared" si="6"/>
        <v>0</v>
      </c>
      <c r="M44" s="213">
        <f t="shared" si="6"/>
        <v>0</v>
      </c>
      <c r="N44" s="213">
        <f t="shared" si="6"/>
        <v>0</v>
      </c>
      <c r="O44" s="213">
        <f t="shared" si="6"/>
        <v>0</v>
      </c>
      <c r="P44" s="213">
        <f t="shared" si="6"/>
        <v>-0.57708910643453415</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-0.57708910643453415</v>
      </c>
      <c r="I50" s="213">
        <f t="shared" si="8"/>
        <v>0</v>
      </c>
      <c r="J50" s="213">
        <f t="shared" si="8"/>
        <v>0</v>
      </c>
      <c r="K50" s="213">
        <f t="shared" si="8"/>
        <v>0</v>
      </c>
      <c r="L50" s="213">
        <f t="shared" si="8"/>
        <v>0</v>
      </c>
      <c r="M50" s="213">
        <f t="shared" si="8"/>
        <v>0</v>
      </c>
      <c r="N50" s="213">
        <f t="shared" si="8"/>
        <v>0</v>
      </c>
      <c r="O50" s="213">
        <f t="shared" si="8"/>
        <v>0</v>
      </c>
      <c r="P50" s="213">
        <f t="shared" si="8"/>
        <v>-0.57708910643453415</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-0.13536658052168082</v>
      </c>
      <c r="J52" s="213">
        <f t="shared" ref="J52:T52" si="10" xml:space="preserve"> J50 * J51</f>
        <v>0</v>
      </c>
      <c r="K52" s="213">
        <f t="shared" si="10"/>
        <v>0</v>
      </c>
      <c r="L52" s="213">
        <f t="shared" si="10"/>
        <v>0</v>
      </c>
      <c r="M52" s="213">
        <f t="shared" si="10"/>
        <v>0</v>
      </c>
      <c r="N52" s="213">
        <f t="shared" si="10"/>
        <v>0</v>
      </c>
      <c r="O52" s="213">
        <f t="shared" si="10"/>
        <v>0</v>
      </c>
      <c r="P52" s="213">
        <f t="shared" si="10"/>
        <v>-0.13536658052168082</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-0.57708910643453415</v>
      </c>
      <c r="I54" s="213">
        <f t="shared" si="11"/>
        <v>0</v>
      </c>
      <c r="J54" s="221">
        <f t="shared" si="11"/>
        <v>0</v>
      </c>
      <c r="K54" s="221">
        <f t="shared" si="11"/>
        <v>0</v>
      </c>
      <c r="L54" s="221">
        <f t="shared" si="11"/>
        <v>0</v>
      </c>
      <c r="M54" s="221">
        <f t="shared" si="11"/>
        <v>0</v>
      </c>
      <c r="N54" s="221">
        <f t="shared" si="11"/>
        <v>0</v>
      </c>
      <c r="O54" s="221">
        <f t="shared" si="11"/>
        <v>0</v>
      </c>
      <c r="P54" s="221">
        <f t="shared" si="11"/>
        <v>-0.57708910643453415</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-0.13536658052168082</v>
      </c>
      <c r="I55" s="213">
        <f t="shared" si="12"/>
        <v>0</v>
      </c>
      <c r="J55" s="221">
        <f t="shared" si="12"/>
        <v>0</v>
      </c>
      <c r="K55" s="221">
        <f t="shared" si="12"/>
        <v>0</v>
      </c>
      <c r="L55" s="221">
        <f t="shared" si="12"/>
        <v>0</v>
      </c>
      <c r="M55" s="221">
        <f t="shared" si="12"/>
        <v>0</v>
      </c>
      <c r="N55" s="221">
        <f t="shared" si="12"/>
        <v>0</v>
      </c>
      <c r="O55" s="221">
        <f t="shared" si="12"/>
        <v>0</v>
      </c>
      <c r="P55" s="221">
        <f t="shared" si="12"/>
        <v>-0.13536658052168082</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-0.71245568695621497</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-0.71245568695621497</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1613.5334977132436</v>
      </c>
      <c r="I58" s="213">
        <f t="shared" si="14"/>
        <v>0</v>
      </c>
      <c r="J58" s="221">
        <f t="shared" si="14"/>
        <v>0</v>
      </c>
      <c r="K58" s="221">
        <f t="shared" si="14"/>
        <v>0</v>
      </c>
      <c r="L58" s="221">
        <f t="shared" si="14"/>
        <v>0</v>
      </c>
      <c r="M58" s="221">
        <f t="shared" si="14"/>
        <v>0</v>
      </c>
      <c r="N58" s="221">
        <f t="shared" si="14"/>
        <v>0</v>
      </c>
      <c r="O58" s="221">
        <f t="shared" si="14"/>
        <v>266.43721273652289</v>
      </c>
      <c r="P58" s="221">
        <f t="shared" si="14"/>
        <v>268.43549183204681</v>
      </c>
      <c r="Q58" s="221">
        <f t="shared" si="14"/>
        <v>269.18711120917652</v>
      </c>
      <c r="R58" s="221">
        <f t="shared" si="14"/>
        <v>269.53705445374845</v>
      </c>
      <c r="S58" s="221">
        <f t="shared" si="14"/>
        <v>269.96831374087446</v>
      </c>
      <c r="T58" s="221">
        <f t="shared" si="14"/>
        <v>269.96831374087446</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-0.71245568695621497</v>
      </c>
      <c r="I59" s="213">
        <f t="shared" si="15"/>
        <v>0</v>
      </c>
      <c r="J59" s="221">
        <f t="shared" si="15"/>
        <v>0</v>
      </c>
      <c r="K59" s="221">
        <f t="shared" si="15"/>
        <v>0</v>
      </c>
      <c r="L59" s="221">
        <f t="shared" si="15"/>
        <v>0</v>
      </c>
      <c r="M59" s="221">
        <f t="shared" si="15"/>
        <v>0</v>
      </c>
      <c r="N59" s="221">
        <f t="shared" si="15"/>
        <v>0</v>
      </c>
      <c r="O59" s="221">
        <f t="shared" si="15"/>
        <v>0</v>
      </c>
      <c r="P59" s="221">
        <f t="shared" si="15"/>
        <v>-0.71245568695621497</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1612.8210420262874</v>
      </c>
      <c r="J60" s="221">
        <f xml:space="preserve"> J58 + J59</f>
        <v>0</v>
      </c>
      <c r="K60" s="221">
        <f t="shared" ref="K60:T60" si="16" xml:space="preserve"> K58 + K59</f>
        <v>0</v>
      </c>
      <c r="L60" s="221">
        <f t="shared" si="16"/>
        <v>0</v>
      </c>
      <c r="M60" s="221">
        <f t="shared" si="16"/>
        <v>0</v>
      </c>
      <c r="N60" s="221">
        <f t="shared" si="16"/>
        <v>0</v>
      </c>
      <c r="O60" s="221">
        <f t="shared" si="16"/>
        <v>266.43721273652289</v>
      </c>
      <c r="P60" s="221">
        <f t="shared" si="16"/>
        <v>267.72303614509059</v>
      </c>
      <c r="Q60" s="221">
        <f t="shared" si="16"/>
        <v>269.18711120917652</v>
      </c>
      <c r="R60" s="221">
        <f t="shared" si="16"/>
        <v>269.53705445374845</v>
      </c>
      <c r="S60" s="221">
        <f t="shared" si="16"/>
        <v>269.96831374087446</v>
      </c>
      <c r="T60" s="221">
        <f t="shared" si="16"/>
        <v>269.96831374087446</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1612.8210420262874</v>
      </c>
      <c r="I63" s="213">
        <f t="shared" si="17"/>
        <v>0</v>
      </c>
      <c r="J63" s="213">
        <f t="shared" si="17"/>
        <v>0</v>
      </c>
      <c r="K63" s="213">
        <f t="shared" si="17"/>
        <v>0</v>
      </c>
      <c r="L63" s="213">
        <f t="shared" si="17"/>
        <v>0</v>
      </c>
      <c r="M63" s="213">
        <f t="shared" si="17"/>
        <v>0</v>
      </c>
      <c r="N63" s="213">
        <f t="shared" si="17"/>
        <v>0</v>
      </c>
      <c r="O63" s="213">
        <f t="shared" si="17"/>
        <v>266.43721273652289</v>
      </c>
      <c r="P63" s="213">
        <f t="shared" si="17"/>
        <v>267.72303614509059</v>
      </c>
      <c r="Q63" s="213">
        <f t="shared" si="17"/>
        <v>269.18711120917652</v>
      </c>
      <c r="R63" s="213">
        <f t="shared" si="17"/>
        <v>269.53705445374845</v>
      </c>
      <c r="S63" s="213">
        <f t="shared" si="17"/>
        <v>269.96831374087446</v>
      </c>
      <c r="T63" s="213">
        <f t="shared" si="17"/>
        <v>269.96831374087446</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4.8259903162972684E-3</v>
      </c>
      <c r="Q64" s="268">
        <f t="shared" si="18"/>
        <v>5.4686181852967586E-3</v>
      </c>
      <c r="R64" s="268">
        <f t="shared" si="18"/>
        <v>1.3000000000000789E-3</v>
      </c>
      <c r="S64" s="268">
        <f t="shared" si="18"/>
        <v>1.6000000000000458E-3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4.8259903162972684E-3</v>
      </c>
      <c r="Q69" s="270">
        <f t="shared" si="21"/>
        <v>5.4686181852967586E-3</v>
      </c>
      <c r="R69" s="270">
        <f t="shared" si="21"/>
        <v>1.3000000000000789E-3</v>
      </c>
      <c r="S69" s="270">
        <f t="shared" si="21"/>
        <v>1.6000000000000458E-3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4.8259903162972684E-3</v>
      </c>
      <c r="Q72" s="268">
        <f t="shared" si="23"/>
        <v>5.4686181852967586E-3</v>
      </c>
      <c r="R72" s="268">
        <f t="shared" si="23"/>
        <v>1.3000000000000789E-3</v>
      </c>
      <c r="S72" s="268">
        <f t="shared" si="23"/>
        <v>1.6000000000000458E-3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4.8259903162972684E-3</v>
      </c>
      <c r="Q74" s="270">
        <f t="shared" si="24"/>
        <v>5.4686181852967586E-3</v>
      </c>
      <c r="R74" s="270">
        <f t="shared" si="24"/>
        <v>1.3000000000000789E-3</v>
      </c>
      <c r="S74" s="270">
        <f t="shared" si="24"/>
        <v>1.6000000000000458E-3</v>
      </c>
      <c r="T74" s="270">
        <f t="shared" si="24"/>
        <v>0</v>
      </c>
    </row>
    <row r="75" spans="1:20" s="213" customFormat="1" ht="13.15" x14ac:dyDescent="0.35">
      <c r="A75" s="214"/>
      <c r="B75" s="215"/>
      <c r="E75" s="221" t="str">
        <f>CONCATENATE("Revised K - ",F18)</f>
        <v>Revised K - Wastewater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4.8999999999999998E-3</v>
      </c>
      <c r="Q75" s="319">
        <f t="shared" si="25"/>
        <v>5.5000000000000005E-3</v>
      </c>
      <c r="R75" s="319">
        <f t="shared" si="25"/>
        <v>1.2999999999999999E-3</v>
      </c>
      <c r="S75" s="319">
        <f t="shared" si="25"/>
        <v>1.6000000000000001E-3</v>
      </c>
      <c r="T75" s="319">
        <f t="shared" si="25"/>
        <v>0</v>
      </c>
    </row>
    <row r="76" spans="1:20" s="226" customFormat="1" ht="13.15" x14ac:dyDescent="0.35">
      <c r="A76" s="225"/>
      <c r="B76" s="215"/>
      <c r="E76" s="227" t="str">
        <f>CONCATENATE("Revised K - ",F18)</f>
        <v>Revised K - Wastewater network plus</v>
      </c>
      <c r="G76" s="227" t="s">
        <v>172</v>
      </c>
      <c r="J76" s="242">
        <f>J75*100</f>
        <v>0</v>
      </c>
      <c r="K76" s="242">
        <f t="shared" ref="K76:T76" si="26">K75*100</f>
        <v>0</v>
      </c>
      <c r="L76" s="242">
        <f t="shared" si="26"/>
        <v>0</v>
      </c>
      <c r="M76" s="242">
        <f t="shared" si="26"/>
        <v>0</v>
      </c>
      <c r="N76" s="242">
        <f t="shared" si="26"/>
        <v>0</v>
      </c>
      <c r="O76" s="242">
        <f t="shared" si="26"/>
        <v>0</v>
      </c>
      <c r="P76" s="242">
        <f t="shared" si="26"/>
        <v>0.49</v>
      </c>
      <c r="Q76" s="242">
        <f t="shared" si="26"/>
        <v>0.55000000000000004</v>
      </c>
      <c r="R76" s="242">
        <f t="shared" si="26"/>
        <v>0.13</v>
      </c>
      <c r="S76" s="242">
        <f t="shared" si="26"/>
        <v>0.16</v>
      </c>
      <c r="T76" s="242">
        <f t="shared" si="26"/>
        <v>0</v>
      </c>
    </row>
    <row r="77" spans="1:20" ht="13.15" x14ac:dyDescent="0.35">
      <c r="B77" s="120"/>
      <c r="E77" s="114"/>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row r="80" spans="1:20" x14ac:dyDescent="0.3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cols>
  <sheetData>
    <row r="1" spans="1:20" s="128" customFormat="1" ht="29.25" x14ac:dyDescent="0.35">
      <c r="A1" s="182" t="str">
        <f ca="1" xml:space="preserve"> RIGHT(CELL("filename", $A$1), LEN(CELL("filename", $A$1)) - SEARCH("]", CELL("filename", $A$1)))</f>
        <v>Residential retail</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78</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F42" s="213">
        <f t="shared" ref="F42:T42" si="6" xml:space="preserve"> F$36</f>
        <v>0</v>
      </c>
      <c r="G42" s="213" t="str">
        <f t="shared" si="6"/>
        <v>£m (nominal)</v>
      </c>
      <c r="H42" s="213">
        <f t="shared" si="6"/>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t="s">
        <v>173</v>
      </c>
      <c r="E50" s="114"/>
      <c r="H50" s="110"/>
      <c r="I50" s="110"/>
    </row>
    <row r="51" spans="1:20" s="108" customFormat="1" ht="13.15" x14ac:dyDescent="0.35">
      <c r="A51" s="115"/>
      <c r="B51" s="116"/>
      <c r="C51" s="117"/>
      <c r="D51" s="90"/>
      <c r="E51" s="219" t="str">
        <f>Inputs!E108</f>
        <v>Total revenue (TRt in last determination)</v>
      </c>
      <c r="F51" s="219"/>
      <c r="G51" s="219" t="str">
        <f>Inputs!G108</f>
        <v>£m (nominal)</v>
      </c>
      <c r="H51" s="219"/>
      <c r="I51" s="219"/>
      <c r="J51" s="219">
        <f>Inputs!J108</f>
        <v>0</v>
      </c>
      <c r="K51" s="219">
        <f>Inputs!K108</f>
        <v>0</v>
      </c>
      <c r="L51" s="219">
        <f>Inputs!L108</f>
        <v>0</v>
      </c>
      <c r="M51" s="219">
        <f>Inputs!M108</f>
        <v>0</v>
      </c>
      <c r="N51" s="219">
        <f>Inputs!N108</f>
        <v>0</v>
      </c>
      <c r="O51" s="219">
        <f>Inputs!O108</f>
        <v>0</v>
      </c>
      <c r="P51" s="219">
        <f>Inputs!P108</f>
        <v>31.902510731770601</v>
      </c>
      <c r="Q51" s="219">
        <f>Inputs!Q108</f>
        <v>32.716490318083103</v>
      </c>
      <c r="R51" s="219">
        <f>Inputs!R108</f>
        <v>33.448142797569197</v>
      </c>
      <c r="S51" s="219">
        <f>Inputs!S108</f>
        <v>34.196410189452202</v>
      </c>
      <c r="T51" s="219">
        <f>Inputs!T108</f>
        <v>0</v>
      </c>
    </row>
    <row r="52" spans="1:20" ht="13.15" x14ac:dyDescent="0.35">
      <c r="B52" s="120"/>
      <c r="E52" s="213"/>
      <c r="F52" s="213"/>
      <c r="G52" s="213"/>
      <c r="H52" s="213"/>
      <c r="I52" s="213"/>
      <c r="J52" s="213"/>
      <c r="K52" s="213"/>
      <c r="L52" s="213"/>
      <c r="M52" s="213"/>
      <c r="N52" s="213"/>
      <c r="O52" s="213"/>
      <c r="P52" s="213"/>
      <c r="Q52" s="213"/>
      <c r="R52" s="213"/>
      <c r="S52" s="213"/>
      <c r="T52" s="213"/>
    </row>
    <row r="53" spans="1:20" s="60" customFormat="1" ht="13.15" x14ac:dyDescent="0.35">
      <c r="A53" s="194"/>
      <c r="B53" s="195"/>
      <c r="C53" s="196"/>
      <c r="D53" s="138"/>
      <c r="E53" s="242" t="s">
        <v>174</v>
      </c>
      <c r="F53" s="242"/>
      <c r="G53" s="242" t="s">
        <v>161</v>
      </c>
      <c r="H53" s="242"/>
      <c r="I53" s="242"/>
      <c r="J53" s="242">
        <f xml:space="preserve"> J48 + J51</f>
        <v>0</v>
      </c>
      <c r="K53" s="242">
        <f t="shared" ref="K53:T53" si="12" xml:space="preserve"> K48 + K51</f>
        <v>0</v>
      </c>
      <c r="L53" s="242">
        <f t="shared" si="12"/>
        <v>0</v>
      </c>
      <c r="M53" s="242">
        <f t="shared" si="12"/>
        <v>0</v>
      </c>
      <c r="N53" s="242">
        <f t="shared" si="12"/>
        <v>0</v>
      </c>
      <c r="O53" s="242">
        <f t="shared" si="12"/>
        <v>0</v>
      </c>
      <c r="P53" s="242">
        <f t="shared" si="12"/>
        <v>31.902510731770601</v>
      </c>
      <c r="Q53" s="242">
        <f t="shared" si="12"/>
        <v>32.716490318083103</v>
      </c>
      <c r="R53" s="242">
        <f t="shared" si="12"/>
        <v>33.448142797569197</v>
      </c>
      <c r="S53" s="242">
        <f t="shared" si="12"/>
        <v>34.196410189452202</v>
      </c>
      <c r="T53" s="242">
        <f t="shared" si="12"/>
        <v>0</v>
      </c>
    </row>
    <row r="54" spans="1:20" ht="13.15" x14ac:dyDescent="0.35">
      <c r="B54" s="120"/>
      <c r="E54" s="114"/>
      <c r="H54" s="110"/>
      <c r="I54" s="110"/>
    </row>
    <row r="55" spans="1:20" ht="13.15" x14ac:dyDescent="0.35">
      <c r="A55" s="2" t="s">
        <v>127</v>
      </c>
      <c r="B55" s="191"/>
      <c r="C55" s="177"/>
      <c r="D55" s="192"/>
      <c r="E55" s="179"/>
      <c r="F55" s="179"/>
      <c r="G55" s="179"/>
      <c r="H55" s="3"/>
      <c r="I55" s="3"/>
      <c r="J55" s="3"/>
      <c r="K55" s="3"/>
      <c r="L55" s="3"/>
      <c r="M55" s="3"/>
      <c r="N55" s="3"/>
      <c r="O55" s="3"/>
      <c r="P55" s="3"/>
      <c r="Q55" s="3"/>
      <c r="R55" s="3"/>
      <c r="S55" s="3"/>
      <c r="T55" s="3"/>
    </row>
    <row r="56" spans="1:20" x14ac:dyDescent="0.3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Business retail</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80</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c r="E50" s="208" t="str">
        <f xml:space="preserve"> Inputs!E123</f>
        <v>Customer type 1 - proportion of revenue expected to be collected from these customers in year adjustment to be made</v>
      </c>
      <c r="F50" s="208">
        <f xml:space="preserve"> Inputs!F123</f>
        <v>0</v>
      </c>
      <c r="G50" s="208" t="str">
        <f xml:space="preserve"> Inputs!G123</f>
        <v>Percentage</v>
      </c>
      <c r="H50" s="208">
        <f xml:space="preserve"> Inputs!H123</f>
        <v>0</v>
      </c>
      <c r="I50" s="208">
        <f xml:space="preserve"> Inputs!I123</f>
        <v>0</v>
      </c>
      <c r="J50" s="208">
        <f xml:space="preserve"> Inputs!J123</f>
        <v>0</v>
      </c>
      <c r="K50" s="208">
        <f xml:space="preserve"> Inputs!K123</f>
        <v>0</v>
      </c>
      <c r="L50" s="208">
        <f xml:space="preserve"> Inputs!L123</f>
        <v>0</v>
      </c>
      <c r="M50" s="208">
        <f xml:space="preserve"> Inputs!M123</f>
        <v>0</v>
      </c>
      <c r="N50" s="208">
        <f xml:space="preserve"> Inputs!N123</f>
        <v>0</v>
      </c>
      <c r="O50" s="208">
        <f xml:space="preserve"> Inputs!O123</f>
        <v>0</v>
      </c>
      <c r="P50" s="208">
        <f xml:space="preserve"> Inputs!P123</f>
        <v>0</v>
      </c>
      <c r="Q50" s="208">
        <f xml:space="preserve"> Inputs!Q123</f>
        <v>0</v>
      </c>
      <c r="R50" s="208">
        <f xml:space="preserve"> Inputs!R123</f>
        <v>0</v>
      </c>
      <c r="S50" s="208">
        <f xml:space="preserve"> Inputs!S123</f>
        <v>0</v>
      </c>
      <c r="T50" s="208">
        <f xml:space="preserve"> Inputs!T123</f>
        <v>0</v>
      </c>
    </row>
    <row r="51" spans="1:20" ht="13.15" x14ac:dyDescent="0.35">
      <c r="B51" s="120"/>
      <c r="E51" s="208" t="str">
        <f xml:space="preserve"> Inputs!E124</f>
        <v>Customer type 2 - proportion of revenue expected to be collected from these customers in year adjustment to be made</v>
      </c>
      <c r="F51" s="208">
        <f xml:space="preserve"> Inputs!F124</f>
        <v>0</v>
      </c>
      <c r="G51" s="208" t="str">
        <f xml:space="preserve"> Inputs!G124</f>
        <v>Percentage</v>
      </c>
      <c r="H51" s="208">
        <f xml:space="preserve"> Inputs!H124</f>
        <v>0</v>
      </c>
      <c r="I51" s="208">
        <f xml:space="preserve"> Inputs!I124</f>
        <v>0</v>
      </c>
      <c r="J51" s="208">
        <f xml:space="preserve"> Inputs!J124</f>
        <v>0</v>
      </c>
      <c r="K51" s="208">
        <f xml:space="preserve"> Inputs!K124</f>
        <v>0</v>
      </c>
      <c r="L51" s="208">
        <f xml:space="preserve"> Inputs!L124</f>
        <v>0</v>
      </c>
      <c r="M51" s="208">
        <f xml:space="preserve"> Inputs!M124</f>
        <v>0</v>
      </c>
      <c r="N51" s="208">
        <f xml:space="preserve"> Inputs!N124</f>
        <v>0</v>
      </c>
      <c r="O51" s="208">
        <f xml:space="preserve"> Inputs!O124</f>
        <v>0</v>
      </c>
      <c r="P51" s="208">
        <f xml:space="preserve"> Inputs!P124</f>
        <v>0</v>
      </c>
      <c r="Q51" s="208">
        <f xml:space="preserve"> Inputs!Q124</f>
        <v>0</v>
      </c>
      <c r="R51" s="208">
        <f xml:space="preserve"> Inputs!R124</f>
        <v>0</v>
      </c>
      <c r="S51" s="208">
        <f xml:space="preserve"> Inputs!S124</f>
        <v>0</v>
      </c>
      <c r="T51" s="208">
        <f xml:space="preserve"> Inputs!T124</f>
        <v>0</v>
      </c>
    </row>
    <row r="52" spans="1:20" ht="13.15" x14ac:dyDescent="0.35">
      <c r="B52" s="120"/>
      <c r="E52" s="208" t="str">
        <f xml:space="preserve"> Inputs!E125</f>
        <v>Customer type 3 - proportion of revenue expected to be collected from these customers in year adjustment to be made</v>
      </c>
      <c r="F52" s="208">
        <f xml:space="preserve"> Inputs!F125</f>
        <v>0</v>
      </c>
      <c r="G52" s="208" t="str">
        <f xml:space="preserve"> Inputs!G125</f>
        <v>Percentage</v>
      </c>
      <c r="H52" s="208">
        <f xml:space="preserve"> Inputs!H125</f>
        <v>0</v>
      </c>
      <c r="I52" s="208">
        <f xml:space="preserve"> Inputs!I125</f>
        <v>0</v>
      </c>
      <c r="J52" s="208">
        <f xml:space="preserve"> Inputs!J125</f>
        <v>0</v>
      </c>
      <c r="K52" s="208">
        <f xml:space="preserve"> Inputs!K125</f>
        <v>0</v>
      </c>
      <c r="L52" s="208">
        <f xml:space="preserve"> Inputs!L125</f>
        <v>0</v>
      </c>
      <c r="M52" s="208">
        <f xml:space="preserve"> Inputs!M125</f>
        <v>0</v>
      </c>
      <c r="N52" s="208">
        <f xml:space="preserve"> Inputs!N125</f>
        <v>0</v>
      </c>
      <c r="O52" s="208">
        <f xml:space="preserve"> Inputs!O125</f>
        <v>0</v>
      </c>
      <c r="P52" s="208">
        <f xml:space="preserve"> Inputs!P125</f>
        <v>0</v>
      </c>
      <c r="Q52" s="208">
        <f xml:space="preserve"> Inputs!Q125</f>
        <v>0</v>
      </c>
      <c r="R52" s="208">
        <f xml:space="preserve"> Inputs!R125</f>
        <v>0</v>
      </c>
      <c r="S52" s="208">
        <f xml:space="preserve"> Inputs!S125</f>
        <v>0</v>
      </c>
      <c r="T52" s="208">
        <f xml:space="preserve"> Inputs!T125</f>
        <v>0</v>
      </c>
    </row>
    <row r="53" spans="1:20" ht="13.15" x14ac:dyDescent="0.35">
      <c r="B53" s="120"/>
      <c r="E53" s="208" t="str">
        <f xml:space="preserve"> Inputs!E126</f>
        <v>Customer type 4 - proportion of revenue expected to be collected from these customers in year adjustment to be made</v>
      </c>
      <c r="F53" s="208">
        <f xml:space="preserve"> Inputs!F126</f>
        <v>0</v>
      </c>
      <c r="G53" s="208" t="str">
        <f xml:space="preserve"> Inputs!G126</f>
        <v>Percentage</v>
      </c>
      <c r="H53" s="208">
        <f xml:space="preserve"> Inputs!H126</f>
        <v>0</v>
      </c>
      <c r="I53" s="208">
        <f xml:space="preserve"> Inputs!I126</f>
        <v>0</v>
      </c>
      <c r="J53" s="208">
        <f xml:space="preserve"> Inputs!J126</f>
        <v>0</v>
      </c>
      <c r="K53" s="208">
        <f xml:space="preserve"> Inputs!K126</f>
        <v>0</v>
      </c>
      <c r="L53" s="208">
        <f xml:space="preserve"> Inputs!L126</f>
        <v>0</v>
      </c>
      <c r="M53" s="208">
        <f xml:space="preserve"> Inputs!M126</f>
        <v>0</v>
      </c>
      <c r="N53" s="208">
        <f xml:space="preserve"> Inputs!N126</f>
        <v>0</v>
      </c>
      <c r="O53" s="208">
        <f xml:space="preserve"> Inputs!O126</f>
        <v>0</v>
      </c>
      <c r="P53" s="208">
        <f xml:space="preserve"> Inputs!P126</f>
        <v>0</v>
      </c>
      <c r="Q53" s="208">
        <f xml:space="preserve"> Inputs!Q126</f>
        <v>0</v>
      </c>
      <c r="R53" s="208">
        <f xml:space="preserve"> Inputs!R126</f>
        <v>0</v>
      </c>
      <c r="S53" s="208">
        <f xml:space="preserve"> Inputs!S126</f>
        <v>0</v>
      </c>
      <c r="T53" s="208">
        <f xml:space="preserve"> Inputs!T126</f>
        <v>0</v>
      </c>
    </row>
    <row r="54" spans="1:20" ht="13.15" x14ac:dyDescent="0.35">
      <c r="B54" s="120"/>
      <c r="E54" s="208" t="str">
        <f xml:space="preserve"> Inputs!E127</f>
        <v>Customer type 5 - proportion of revenue expected to be collected from these customers in year adjustment to be made</v>
      </c>
      <c r="F54" s="208">
        <f xml:space="preserve"> Inputs!F127</f>
        <v>0</v>
      </c>
      <c r="G54" s="208" t="str">
        <f xml:space="preserve"> Inputs!G127</f>
        <v>Percentage</v>
      </c>
      <c r="H54" s="208">
        <f xml:space="preserve"> Inputs!H127</f>
        <v>0</v>
      </c>
      <c r="I54" s="208">
        <f xml:space="preserve"> Inputs!I127</f>
        <v>0</v>
      </c>
      <c r="J54" s="208">
        <f xml:space="preserve"> Inputs!J127</f>
        <v>0</v>
      </c>
      <c r="K54" s="208">
        <f xml:space="preserve"> Inputs!K127</f>
        <v>0</v>
      </c>
      <c r="L54" s="208">
        <f xml:space="preserve"> Inputs!L127</f>
        <v>0</v>
      </c>
      <c r="M54" s="208">
        <f xml:space="preserve"> Inputs!M127</f>
        <v>0</v>
      </c>
      <c r="N54" s="208">
        <f xml:space="preserve"> Inputs!N127</f>
        <v>0</v>
      </c>
      <c r="O54" s="208">
        <f xml:space="preserve"> Inputs!O127</f>
        <v>0</v>
      </c>
      <c r="P54" s="208">
        <f xml:space="preserve"> Inputs!P127</f>
        <v>0</v>
      </c>
      <c r="Q54" s="208">
        <f xml:space="preserve"> Inputs!Q127</f>
        <v>0</v>
      </c>
      <c r="R54" s="208">
        <f xml:space="preserve"> Inputs!R127</f>
        <v>0</v>
      </c>
      <c r="S54" s="208">
        <f xml:space="preserve"> Inputs!S127</f>
        <v>0</v>
      </c>
      <c r="T54" s="208">
        <f xml:space="preserve"> Inputs!T127</f>
        <v>0</v>
      </c>
    </row>
    <row r="55" spans="1:20" ht="13.15" x14ac:dyDescent="0.35">
      <c r="B55" s="120"/>
      <c r="E55" s="114"/>
      <c r="H55" s="110"/>
      <c r="I55" s="110"/>
    </row>
    <row r="56" spans="1:20" ht="13.15" x14ac:dyDescent="0.35">
      <c r="B56" s="120"/>
      <c r="E56" s="275" t="str">
        <f t="shared" ref="E56:T56" si="12" xml:space="preserve"> E$48</f>
        <v xml:space="preserve">Total value of ODI </v>
      </c>
      <c r="F56" s="275">
        <f t="shared" si="12"/>
        <v>0</v>
      </c>
      <c r="G56" s="275" t="str">
        <f t="shared" si="12"/>
        <v>£m (nominal)</v>
      </c>
      <c r="H56" s="275">
        <f t="shared" si="12"/>
        <v>0</v>
      </c>
      <c r="I56" s="275">
        <f t="shared" si="12"/>
        <v>0</v>
      </c>
      <c r="J56" s="275">
        <f t="shared" si="12"/>
        <v>0</v>
      </c>
      <c r="K56" s="275">
        <f t="shared" si="12"/>
        <v>0</v>
      </c>
      <c r="L56" s="275">
        <f t="shared" si="12"/>
        <v>0</v>
      </c>
      <c r="M56" s="275">
        <f t="shared" si="12"/>
        <v>0</v>
      </c>
      <c r="N56" s="275">
        <f t="shared" si="12"/>
        <v>0</v>
      </c>
      <c r="O56" s="275">
        <f t="shared" si="12"/>
        <v>0</v>
      </c>
      <c r="P56" s="275">
        <f t="shared" si="12"/>
        <v>0</v>
      </c>
      <c r="Q56" s="275">
        <f t="shared" si="12"/>
        <v>0</v>
      </c>
      <c r="R56" s="275">
        <f t="shared" si="12"/>
        <v>0</v>
      </c>
      <c r="S56" s="275">
        <f t="shared" si="12"/>
        <v>0</v>
      </c>
      <c r="T56" s="275">
        <f t="shared" si="12"/>
        <v>0</v>
      </c>
    </row>
    <row r="57" spans="1:20" ht="13.15" x14ac:dyDescent="0.35">
      <c r="B57" s="120"/>
      <c r="E57" s="114"/>
      <c r="F57" s="114"/>
      <c r="G57" s="114"/>
      <c r="H57" s="114"/>
      <c r="I57" s="114"/>
      <c r="J57" s="112"/>
      <c r="K57" s="112"/>
      <c r="L57" s="112"/>
      <c r="M57" s="112"/>
      <c r="N57" s="112"/>
      <c r="O57" s="112"/>
      <c r="P57" s="112"/>
      <c r="Q57" s="112"/>
      <c r="R57" s="112"/>
      <c r="S57" s="112"/>
      <c r="T57" s="112"/>
    </row>
    <row r="58" spans="1:20" s="213" customFormat="1" ht="13.15" x14ac:dyDescent="0.35">
      <c r="A58" s="214"/>
      <c r="B58" s="215"/>
      <c r="C58" s="216"/>
      <c r="E58" s="213" t="s">
        <v>175</v>
      </c>
      <c r="G58" s="213" t="s">
        <v>161</v>
      </c>
      <c r="J58" s="213">
        <f xml:space="preserve"> J$56 * J50</f>
        <v>0</v>
      </c>
      <c r="K58" s="213">
        <f t="shared" ref="K58:T58" si="13" xml:space="preserve"> K$56 * K50</f>
        <v>0</v>
      </c>
      <c r="L58" s="213">
        <f t="shared" si="13"/>
        <v>0</v>
      </c>
      <c r="M58" s="213">
        <f t="shared" si="13"/>
        <v>0</v>
      </c>
      <c r="N58" s="213">
        <f t="shared" si="13"/>
        <v>0</v>
      </c>
      <c r="O58" s="213">
        <f t="shared" si="13"/>
        <v>0</v>
      </c>
      <c r="P58" s="213">
        <f t="shared" si="13"/>
        <v>0</v>
      </c>
      <c r="Q58" s="213">
        <f t="shared" si="13"/>
        <v>0</v>
      </c>
      <c r="R58" s="213">
        <f t="shared" si="13"/>
        <v>0</v>
      </c>
      <c r="S58" s="213">
        <f t="shared" si="13"/>
        <v>0</v>
      </c>
      <c r="T58" s="213">
        <f t="shared" si="13"/>
        <v>0</v>
      </c>
    </row>
    <row r="59" spans="1:20" s="213" customFormat="1" ht="13.15" x14ac:dyDescent="0.35">
      <c r="A59" s="214"/>
      <c r="B59" s="215"/>
      <c r="C59" s="216"/>
      <c r="E59" s="213" t="s">
        <v>176</v>
      </c>
      <c r="G59" s="213" t="s">
        <v>161</v>
      </c>
      <c r="J59" s="213">
        <f t="shared" ref="J59:T62" si="14" xml:space="preserve"> J$56 * J51</f>
        <v>0</v>
      </c>
      <c r="K59" s="213">
        <f t="shared" si="14"/>
        <v>0</v>
      </c>
      <c r="L59" s="213">
        <f t="shared" si="14"/>
        <v>0</v>
      </c>
      <c r="M59" s="213">
        <f t="shared" si="14"/>
        <v>0</v>
      </c>
      <c r="N59" s="213">
        <f t="shared" si="14"/>
        <v>0</v>
      </c>
      <c r="O59" s="213">
        <f t="shared" si="14"/>
        <v>0</v>
      </c>
      <c r="P59" s="213">
        <f t="shared" si="14"/>
        <v>0</v>
      </c>
      <c r="Q59" s="213">
        <f t="shared" si="14"/>
        <v>0</v>
      </c>
      <c r="R59" s="213">
        <f t="shared" si="14"/>
        <v>0</v>
      </c>
      <c r="S59" s="213">
        <f t="shared" si="14"/>
        <v>0</v>
      </c>
      <c r="T59" s="213">
        <f t="shared" si="14"/>
        <v>0</v>
      </c>
    </row>
    <row r="60" spans="1:20" s="213" customFormat="1" ht="13.15" x14ac:dyDescent="0.35">
      <c r="A60" s="214"/>
      <c r="B60" s="215"/>
      <c r="C60" s="216"/>
      <c r="E60" s="213" t="s">
        <v>177</v>
      </c>
      <c r="G60" s="213" t="s">
        <v>161</v>
      </c>
      <c r="J60" s="213">
        <f t="shared" si="14"/>
        <v>0</v>
      </c>
      <c r="K60" s="213">
        <f t="shared" si="14"/>
        <v>0</v>
      </c>
      <c r="L60" s="213">
        <f t="shared" si="14"/>
        <v>0</v>
      </c>
      <c r="M60" s="213">
        <f t="shared" si="14"/>
        <v>0</v>
      </c>
      <c r="N60" s="213">
        <f t="shared" si="14"/>
        <v>0</v>
      </c>
      <c r="O60" s="213">
        <f t="shared" si="14"/>
        <v>0</v>
      </c>
      <c r="P60" s="213">
        <f t="shared" si="14"/>
        <v>0</v>
      </c>
      <c r="Q60" s="213">
        <f t="shared" si="14"/>
        <v>0</v>
      </c>
      <c r="R60" s="213">
        <f t="shared" si="14"/>
        <v>0</v>
      </c>
      <c r="S60" s="213">
        <f t="shared" si="14"/>
        <v>0</v>
      </c>
      <c r="T60" s="213">
        <f t="shared" si="14"/>
        <v>0</v>
      </c>
    </row>
    <row r="61" spans="1:20" s="213" customFormat="1" ht="13.15" x14ac:dyDescent="0.35">
      <c r="A61" s="214"/>
      <c r="B61" s="215"/>
      <c r="C61" s="216"/>
      <c r="E61" s="213" t="s">
        <v>178</v>
      </c>
      <c r="G61" s="213" t="s">
        <v>161</v>
      </c>
      <c r="J61" s="213">
        <f t="shared" si="14"/>
        <v>0</v>
      </c>
      <c r="K61" s="213">
        <f t="shared" si="14"/>
        <v>0</v>
      </c>
      <c r="L61" s="213">
        <f t="shared" si="14"/>
        <v>0</v>
      </c>
      <c r="M61" s="213">
        <f t="shared" si="14"/>
        <v>0</v>
      </c>
      <c r="N61" s="213">
        <f t="shared" si="14"/>
        <v>0</v>
      </c>
      <c r="O61" s="213">
        <f t="shared" si="14"/>
        <v>0</v>
      </c>
      <c r="P61" s="213">
        <f t="shared" si="14"/>
        <v>0</v>
      </c>
      <c r="Q61" s="213">
        <f t="shared" si="14"/>
        <v>0</v>
      </c>
      <c r="R61" s="213">
        <f t="shared" si="14"/>
        <v>0</v>
      </c>
      <c r="S61" s="213">
        <f t="shared" si="14"/>
        <v>0</v>
      </c>
      <c r="T61" s="213">
        <f t="shared" si="14"/>
        <v>0</v>
      </c>
    </row>
    <row r="62" spans="1:20" s="213" customFormat="1" ht="13.15" x14ac:dyDescent="0.35">
      <c r="A62" s="214"/>
      <c r="B62" s="215"/>
      <c r="C62" s="216"/>
      <c r="E62" s="213" t="s">
        <v>179</v>
      </c>
      <c r="G62" s="213" t="s">
        <v>161</v>
      </c>
      <c r="J62" s="213">
        <f t="shared" si="14"/>
        <v>0</v>
      </c>
      <c r="K62" s="213">
        <f t="shared" si="14"/>
        <v>0</v>
      </c>
      <c r="L62" s="213">
        <f t="shared" si="14"/>
        <v>0</v>
      </c>
      <c r="M62" s="213">
        <f t="shared" si="14"/>
        <v>0</v>
      </c>
      <c r="N62" s="213">
        <f t="shared" si="14"/>
        <v>0</v>
      </c>
      <c r="O62" s="213">
        <f t="shared" si="14"/>
        <v>0</v>
      </c>
      <c r="P62" s="213">
        <f t="shared" si="14"/>
        <v>0</v>
      </c>
      <c r="Q62" s="213">
        <f t="shared" si="14"/>
        <v>0</v>
      </c>
      <c r="R62" s="213">
        <f t="shared" si="14"/>
        <v>0</v>
      </c>
      <c r="S62" s="213">
        <f t="shared" si="14"/>
        <v>0</v>
      </c>
      <c r="T62" s="213">
        <f t="shared" si="14"/>
        <v>0</v>
      </c>
    </row>
    <row r="63" spans="1:20" s="213" customFormat="1" ht="13.15" x14ac:dyDescent="0.35">
      <c r="A63" s="214"/>
      <c r="B63" s="215"/>
      <c r="C63" s="216"/>
    </row>
    <row r="64" spans="1:20" s="213" customFormat="1" ht="13.15" x14ac:dyDescent="0.35">
      <c r="A64" s="214"/>
      <c r="B64" s="215"/>
      <c r="C64" s="216"/>
      <c r="E64" s="219" t="str">
        <f xml:space="preserve"> Inputs!E111</f>
        <v>Customer type 1 - allowed average retail cost component (rct in last determination)</v>
      </c>
      <c r="F64" s="219">
        <f xml:space="preserve"> Inputs!F111</f>
        <v>0</v>
      </c>
      <c r="G64" s="219" t="str">
        <f xml:space="preserve"> Inputs!G111</f>
        <v>£ (nominal)</v>
      </c>
      <c r="H64" s="219">
        <f xml:space="preserve"> Inputs!H111</f>
        <v>0</v>
      </c>
      <c r="I64" s="219">
        <f xml:space="preserve"> Inputs!I111</f>
        <v>0</v>
      </c>
      <c r="J64" s="219">
        <f xml:space="preserve"> Inputs!J111</f>
        <v>0</v>
      </c>
      <c r="K64" s="219">
        <f xml:space="preserve"> Inputs!K111</f>
        <v>0</v>
      </c>
      <c r="L64" s="219">
        <f xml:space="preserve"> Inputs!L111</f>
        <v>0</v>
      </c>
      <c r="M64" s="219">
        <f xml:space="preserve"> Inputs!M111</f>
        <v>0</v>
      </c>
      <c r="N64" s="219">
        <f xml:space="preserve"> Inputs!N111</f>
        <v>0</v>
      </c>
      <c r="O64" s="219">
        <f xml:space="preserve"> Inputs!O111</f>
        <v>0</v>
      </c>
      <c r="P64" s="219">
        <f xml:space="preserve"> Inputs!P111</f>
        <v>0</v>
      </c>
      <c r="Q64" s="219">
        <f xml:space="preserve"> Inputs!Q111</f>
        <v>0</v>
      </c>
      <c r="R64" s="219">
        <f xml:space="preserve"> Inputs!R111</f>
        <v>0</v>
      </c>
      <c r="S64" s="219">
        <f xml:space="preserve"> Inputs!S111</f>
        <v>0</v>
      </c>
      <c r="T64" s="219">
        <f xml:space="preserve"> Inputs!T111</f>
        <v>0</v>
      </c>
    </row>
    <row r="65" spans="1:20" s="213" customFormat="1" ht="13.15" x14ac:dyDescent="0.35">
      <c r="A65" s="214"/>
      <c r="B65" s="215"/>
      <c r="C65" s="216"/>
      <c r="E65" s="219" t="str">
        <f xml:space="preserve"> Inputs!E112</f>
        <v>Customer type 2 - allowed average retail cost component (rct in last determination)</v>
      </c>
      <c r="F65" s="219">
        <f xml:space="preserve"> Inputs!F112</f>
        <v>0</v>
      </c>
      <c r="G65" s="219" t="str">
        <f xml:space="preserve"> Inputs!G112</f>
        <v>£ (nominal)</v>
      </c>
      <c r="H65" s="219">
        <f xml:space="preserve"> Inputs!H112</f>
        <v>0</v>
      </c>
      <c r="I65" s="219">
        <f xml:space="preserve"> Inputs!I112</f>
        <v>0</v>
      </c>
      <c r="J65" s="219">
        <f xml:space="preserve"> Inputs!J112</f>
        <v>0</v>
      </c>
      <c r="K65" s="219">
        <f xml:space="preserve"> Inputs!K112</f>
        <v>0</v>
      </c>
      <c r="L65" s="219">
        <f xml:space="preserve"> Inputs!L112</f>
        <v>0</v>
      </c>
      <c r="M65" s="219">
        <f xml:space="preserve"> Inputs!M112</f>
        <v>0</v>
      </c>
      <c r="N65" s="219">
        <f xml:space="preserve"> Inputs!N112</f>
        <v>0</v>
      </c>
      <c r="O65" s="219">
        <f xml:space="preserve"> Inputs!O112</f>
        <v>0</v>
      </c>
      <c r="P65" s="219">
        <f xml:space="preserve"> Inputs!P112</f>
        <v>0</v>
      </c>
      <c r="Q65" s="219">
        <f xml:space="preserve"> Inputs!Q112</f>
        <v>0</v>
      </c>
      <c r="R65" s="219">
        <f xml:space="preserve"> Inputs!R112</f>
        <v>0</v>
      </c>
      <c r="S65" s="219">
        <f xml:space="preserve"> Inputs!S112</f>
        <v>0</v>
      </c>
      <c r="T65" s="219">
        <f xml:space="preserve"> Inputs!T112</f>
        <v>0</v>
      </c>
    </row>
    <row r="66" spans="1:20" s="213" customFormat="1" ht="13.15" x14ac:dyDescent="0.35">
      <c r="A66" s="214"/>
      <c r="B66" s="215"/>
      <c r="C66" s="216"/>
      <c r="E66" s="219" t="str">
        <f xml:space="preserve"> Inputs!E113</f>
        <v>Customer type 3 - allowed average retail cost component (rct in last determination)</v>
      </c>
      <c r="F66" s="219">
        <f xml:space="preserve"> Inputs!F113</f>
        <v>0</v>
      </c>
      <c r="G66" s="219" t="str">
        <f xml:space="preserve"> Inputs!G113</f>
        <v>£ (nominal)</v>
      </c>
      <c r="H66" s="219">
        <f xml:space="preserve"> Inputs!H113</f>
        <v>0</v>
      </c>
      <c r="I66" s="219">
        <f xml:space="preserve"> Inputs!I113</f>
        <v>0</v>
      </c>
      <c r="J66" s="219">
        <f xml:space="preserve"> Inputs!J113</f>
        <v>0</v>
      </c>
      <c r="K66" s="219">
        <f xml:space="preserve"> Inputs!K113</f>
        <v>0</v>
      </c>
      <c r="L66" s="219">
        <f xml:space="preserve"> Inputs!L113</f>
        <v>0</v>
      </c>
      <c r="M66" s="219">
        <f xml:space="preserve"> Inputs!M113</f>
        <v>0</v>
      </c>
      <c r="N66" s="219">
        <f xml:space="preserve"> Inputs!N113</f>
        <v>0</v>
      </c>
      <c r="O66" s="219">
        <f xml:space="preserve"> Inputs!O113</f>
        <v>0</v>
      </c>
      <c r="P66" s="219">
        <f xml:space="preserve"> Inputs!P113</f>
        <v>0</v>
      </c>
      <c r="Q66" s="219">
        <f xml:space="preserve"> Inputs!Q113</f>
        <v>0</v>
      </c>
      <c r="R66" s="219">
        <f xml:space="preserve"> Inputs!R113</f>
        <v>0</v>
      </c>
      <c r="S66" s="219">
        <f xml:space="preserve"> Inputs!S113</f>
        <v>0</v>
      </c>
      <c r="T66" s="219">
        <f xml:space="preserve"> Inputs!T113</f>
        <v>0</v>
      </c>
    </row>
    <row r="67" spans="1:20" s="213" customFormat="1" ht="13.15" x14ac:dyDescent="0.35">
      <c r="A67" s="214"/>
      <c r="B67" s="215"/>
      <c r="C67" s="216"/>
      <c r="E67" s="219" t="str">
        <f xml:space="preserve"> Inputs!E114</f>
        <v>Customer type 4 - allowed average retail cost component (rct in last determination)</v>
      </c>
      <c r="F67" s="219">
        <f xml:space="preserve"> Inputs!F114</f>
        <v>0</v>
      </c>
      <c r="G67" s="219" t="str">
        <f xml:space="preserve"> Inputs!G114</f>
        <v>£ (nominal)</v>
      </c>
      <c r="H67" s="219">
        <f xml:space="preserve"> Inputs!H114</f>
        <v>0</v>
      </c>
      <c r="I67" s="219">
        <f xml:space="preserve"> Inputs!I114</f>
        <v>0</v>
      </c>
      <c r="J67" s="219">
        <f xml:space="preserve"> Inputs!J114</f>
        <v>0</v>
      </c>
      <c r="K67" s="219">
        <f xml:space="preserve"> Inputs!K114</f>
        <v>0</v>
      </c>
      <c r="L67" s="219">
        <f xml:space="preserve"> Inputs!L114</f>
        <v>0</v>
      </c>
      <c r="M67" s="219">
        <f xml:space="preserve"> Inputs!M114</f>
        <v>0</v>
      </c>
      <c r="N67" s="219">
        <f xml:space="preserve"> Inputs!N114</f>
        <v>0</v>
      </c>
      <c r="O67" s="219">
        <f xml:space="preserve"> Inputs!O114</f>
        <v>0</v>
      </c>
      <c r="P67" s="219">
        <f xml:space="preserve"> Inputs!P114</f>
        <v>0</v>
      </c>
      <c r="Q67" s="219">
        <f xml:space="preserve"> Inputs!Q114</f>
        <v>0</v>
      </c>
      <c r="R67" s="219">
        <f xml:space="preserve"> Inputs!R114</f>
        <v>0</v>
      </c>
      <c r="S67" s="219">
        <f xml:space="preserve"> Inputs!S114</f>
        <v>0</v>
      </c>
      <c r="T67" s="219">
        <f xml:space="preserve"> Inputs!T114</f>
        <v>0</v>
      </c>
    </row>
    <row r="68" spans="1:20" s="213" customFormat="1" ht="13.15" x14ac:dyDescent="0.35">
      <c r="A68" s="214"/>
      <c r="B68" s="215"/>
      <c r="C68" s="216"/>
      <c r="E68" s="219" t="str">
        <f xml:space="preserve"> Inputs!E115</f>
        <v>Customer type 5 - allowed average retail cost component (rct in last determination)</v>
      </c>
      <c r="F68" s="219">
        <f xml:space="preserve"> Inputs!F115</f>
        <v>0</v>
      </c>
      <c r="G68" s="219" t="str">
        <f xml:space="preserve"> Inputs!G115</f>
        <v>£ (nominal)</v>
      </c>
      <c r="H68" s="219">
        <f xml:space="preserve"> Inputs!H115</f>
        <v>0</v>
      </c>
      <c r="I68" s="219">
        <f xml:space="preserve"> Inputs!I115</f>
        <v>0</v>
      </c>
      <c r="J68" s="219">
        <f xml:space="preserve"> Inputs!J115</f>
        <v>0</v>
      </c>
      <c r="K68" s="219">
        <f xml:space="preserve"> Inputs!K115</f>
        <v>0</v>
      </c>
      <c r="L68" s="219">
        <f xml:space="preserve"> Inputs!L115</f>
        <v>0</v>
      </c>
      <c r="M68" s="219">
        <f xml:space="preserve"> Inputs!M115</f>
        <v>0</v>
      </c>
      <c r="N68" s="219">
        <f xml:space="preserve"> Inputs!N115</f>
        <v>0</v>
      </c>
      <c r="O68" s="219">
        <f xml:space="preserve"> Inputs!O115</f>
        <v>0</v>
      </c>
      <c r="P68" s="219">
        <f xml:space="preserve"> Inputs!P115</f>
        <v>0</v>
      </c>
      <c r="Q68" s="219">
        <f xml:space="preserve"> Inputs!Q115</f>
        <v>0</v>
      </c>
      <c r="R68" s="219">
        <f xml:space="preserve"> Inputs!R115</f>
        <v>0</v>
      </c>
      <c r="S68" s="219">
        <f xml:space="preserve"> Inputs!S115</f>
        <v>0</v>
      </c>
      <c r="T68" s="219">
        <f xml:space="preserve"> Inputs!T115</f>
        <v>0</v>
      </c>
    </row>
    <row r="69" spans="1:20" s="213" customFormat="1" ht="13.15" x14ac:dyDescent="0.35">
      <c r="A69" s="214"/>
      <c r="B69" s="215"/>
      <c r="C69" s="216"/>
    </row>
    <row r="70" spans="1:20" s="219" customFormat="1" ht="13.15" x14ac:dyDescent="0.35">
      <c r="A70" s="217"/>
      <c r="B70" s="218"/>
      <c r="E70" s="230" t="str">
        <f xml:space="preserve"> Inputs!E117</f>
        <v>Customer type 1 - number of customers (cnt in last determination)</v>
      </c>
      <c r="F70" s="230">
        <f xml:space="preserve"> Inputs!F117</f>
        <v>0</v>
      </c>
      <c r="G70" s="230" t="str">
        <f xml:space="preserve"> Inputs!G117</f>
        <v>Number</v>
      </c>
      <c r="H70" s="230">
        <f xml:space="preserve"> Inputs!H117</f>
        <v>0</v>
      </c>
      <c r="I70" s="230">
        <f xml:space="preserve"> Inputs!I117</f>
        <v>0</v>
      </c>
      <c r="J70" s="230">
        <f xml:space="preserve"> Inputs!J117</f>
        <v>0</v>
      </c>
      <c r="K70" s="230">
        <f xml:space="preserve"> Inputs!K117</f>
        <v>0</v>
      </c>
      <c r="L70" s="230">
        <f xml:space="preserve"> Inputs!L117</f>
        <v>0</v>
      </c>
      <c r="M70" s="230">
        <f xml:space="preserve"> Inputs!M117</f>
        <v>0</v>
      </c>
      <c r="N70" s="230">
        <f xml:space="preserve"> Inputs!N117</f>
        <v>0</v>
      </c>
      <c r="O70" s="230">
        <f xml:space="preserve"> Inputs!O117</f>
        <v>0</v>
      </c>
      <c r="P70" s="230">
        <f xml:space="preserve"> Inputs!P117</f>
        <v>0</v>
      </c>
      <c r="Q70" s="230">
        <f xml:space="preserve"> Inputs!Q117</f>
        <v>0</v>
      </c>
      <c r="R70" s="230">
        <f xml:space="preserve"> Inputs!R117</f>
        <v>0</v>
      </c>
      <c r="S70" s="230">
        <f xml:space="preserve"> Inputs!S117</f>
        <v>0</v>
      </c>
      <c r="T70" s="230">
        <f xml:space="preserve"> Inputs!T117</f>
        <v>0</v>
      </c>
    </row>
    <row r="71" spans="1:20" s="219" customFormat="1" ht="13.15" x14ac:dyDescent="0.35">
      <c r="A71" s="217"/>
      <c r="B71" s="218"/>
      <c r="E71" s="230" t="str">
        <f xml:space="preserve"> Inputs!E118</f>
        <v>Customer type 2 - number of customers (cnt in last determination)</v>
      </c>
      <c r="F71" s="230">
        <f xml:space="preserve"> Inputs!F118</f>
        <v>0</v>
      </c>
      <c r="G71" s="230" t="str">
        <f xml:space="preserve"> Inputs!G118</f>
        <v>Number</v>
      </c>
      <c r="H71" s="230">
        <f xml:space="preserve"> Inputs!H118</f>
        <v>0</v>
      </c>
      <c r="I71" s="230">
        <f xml:space="preserve"> Inputs!I118</f>
        <v>0</v>
      </c>
      <c r="J71" s="230">
        <f xml:space="preserve"> Inputs!J118</f>
        <v>0</v>
      </c>
      <c r="K71" s="230">
        <f xml:space="preserve"> Inputs!K118</f>
        <v>0</v>
      </c>
      <c r="L71" s="230">
        <f xml:space="preserve"> Inputs!L118</f>
        <v>0</v>
      </c>
      <c r="M71" s="230">
        <f xml:space="preserve"> Inputs!M118</f>
        <v>0</v>
      </c>
      <c r="N71" s="230">
        <f xml:space="preserve"> Inputs!N118</f>
        <v>0</v>
      </c>
      <c r="O71" s="230">
        <f xml:space="preserve"> Inputs!O118</f>
        <v>0</v>
      </c>
      <c r="P71" s="230">
        <f xml:space="preserve"> Inputs!P118</f>
        <v>0</v>
      </c>
      <c r="Q71" s="230">
        <f xml:space="preserve"> Inputs!Q118</f>
        <v>0</v>
      </c>
      <c r="R71" s="230">
        <f xml:space="preserve"> Inputs!R118</f>
        <v>0</v>
      </c>
      <c r="S71" s="230">
        <f xml:space="preserve"> Inputs!S118</f>
        <v>0</v>
      </c>
      <c r="T71" s="230">
        <f xml:space="preserve"> Inputs!T118</f>
        <v>0</v>
      </c>
    </row>
    <row r="72" spans="1:20" s="219" customFormat="1" ht="13.15" x14ac:dyDescent="0.35">
      <c r="A72" s="217"/>
      <c r="B72" s="218"/>
      <c r="E72" s="230" t="str">
        <f xml:space="preserve"> Inputs!E119</f>
        <v>Customer type 3 - number of customers (cnt in last determination)</v>
      </c>
      <c r="F72" s="230">
        <f xml:space="preserve"> Inputs!F119</f>
        <v>0</v>
      </c>
      <c r="G72" s="230" t="str">
        <f xml:space="preserve"> Inputs!G119</f>
        <v>Number</v>
      </c>
      <c r="H72" s="230">
        <f xml:space="preserve"> Inputs!H119</f>
        <v>0</v>
      </c>
      <c r="I72" s="230">
        <f xml:space="preserve"> Inputs!I119</f>
        <v>0</v>
      </c>
      <c r="J72" s="230">
        <f xml:space="preserve"> Inputs!J119</f>
        <v>0</v>
      </c>
      <c r="K72" s="230">
        <f xml:space="preserve"> Inputs!K119</f>
        <v>0</v>
      </c>
      <c r="L72" s="230">
        <f xml:space="preserve"> Inputs!L119</f>
        <v>0</v>
      </c>
      <c r="M72" s="230">
        <f xml:space="preserve"> Inputs!M119</f>
        <v>0</v>
      </c>
      <c r="N72" s="230">
        <f xml:space="preserve"> Inputs!N119</f>
        <v>0</v>
      </c>
      <c r="O72" s="230">
        <f xml:space="preserve"> Inputs!O119</f>
        <v>0</v>
      </c>
      <c r="P72" s="230">
        <f xml:space="preserve"> Inputs!P119</f>
        <v>0</v>
      </c>
      <c r="Q72" s="230">
        <f xml:space="preserve"> Inputs!Q119</f>
        <v>0</v>
      </c>
      <c r="R72" s="230">
        <f xml:space="preserve"> Inputs!R119</f>
        <v>0</v>
      </c>
      <c r="S72" s="230">
        <f xml:space="preserve"> Inputs!S119</f>
        <v>0</v>
      </c>
      <c r="T72" s="230">
        <f xml:space="preserve"> Inputs!T119</f>
        <v>0</v>
      </c>
    </row>
    <row r="73" spans="1:20" s="219" customFormat="1" ht="13.15" x14ac:dyDescent="0.35">
      <c r="A73" s="217"/>
      <c r="B73" s="218"/>
      <c r="E73" s="230" t="str">
        <f xml:space="preserve"> Inputs!E120</f>
        <v>Customer type 4 - number of customers (cnt in last determination)</v>
      </c>
      <c r="F73" s="230">
        <f xml:space="preserve"> Inputs!F120</f>
        <v>0</v>
      </c>
      <c r="G73" s="230" t="str">
        <f xml:space="preserve"> Inputs!G120</f>
        <v>Number</v>
      </c>
      <c r="H73" s="230">
        <f xml:space="preserve"> Inputs!H120</f>
        <v>0</v>
      </c>
      <c r="I73" s="230">
        <f xml:space="preserve"> Inputs!I120</f>
        <v>0</v>
      </c>
      <c r="J73" s="230">
        <f xml:space="preserve"> Inputs!J120</f>
        <v>0</v>
      </c>
      <c r="K73" s="230">
        <f xml:space="preserve"> Inputs!K120</f>
        <v>0</v>
      </c>
      <c r="L73" s="230">
        <f xml:space="preserve"> Inputs!L120</f>
        <v>0</v>
      </c>
      <c r="M73" s="230">
        <f xml:space="preserve"> Inputs!M120</f>
        <v>0</v>
      </c>
      <c r="N73" s="230">
        <f xml:space="preserve"> Inputs!N120</f>
        <v>0</v>
      </c>
      <c r="O73" s="230">
        <f xml:space="preserve"> Inputs!O120</f>
        <v>0</v>
      </c>
      <c r="P73" s="230">
        <f xml:space="preserve"> Inputs!P120</f>
        <v>0</v>
      </c>
      <c r="Q73" s="230">
        <f xml:space="preserve"> Inputs!Q120</f>
        <v>0</v>
      </c>
      <c r="R73" s="230">
        <f xml:space="preserve"> Inputs!R120</f>
        <v>0</v>
      </c>
      <c r="S73" s="230">
        <f xml:space="preserve"> Inputs!S120</f>
        <v>0</v>
      </c>
      <c r="T73" s="230">
        <f xml:space="preserve"> Inputs!T120</f>
        <v>0</v>
      </c>
    </row>
    <row r="74" spans="1:20" s="219" customFormat="1" ht="13.15" x14ac:dyDescent="0.35">
      <c r="A74" s="217"/>
      <c r="B74" s="218"/>
      <c r="E74" s="230" t="str">
        <f xml:space="preserve"> Inputs!E121</f>
        <v>Customer type 5 - number of customers (cnt in last determination)</v>
      </c>
      <c r="F74" s="230">
        <f xml:space="preserve"> Inputs!F121</f>
        <v>0</v>
      </c>
      <c r="G74" s="230" t="str">
        <f xml:space="preserve"> Inputs!G121</f>
        <v>Number</v>
      </c>
      <c r="H74" s="230">
        <f xml:space="preserve"> Inputs!H121</f>
        <v>0</v>
      </c>
      <c r="I74" s="230">
        <f xml:space="preserve"> Inputs!I121</f>
        <v>0</v>
      </c>
      <c r="J74" s="230">
        <f xml:space="preserve"> Inputs!J121</f>
        <v>0</v>
      </c>
      <c r="K74" s="230">
        <f xml:space="preserve"> Inputs!K121</f>
        <v>0</v>
      </c>
      <c r="L74" s="230">
        <f xml:space="preserve"> Inputs!L121</f>
        <v>0</v>
      </c>
      <c r="M74" s="230">
        <f xml:space="preserve"> Inputs!M121</f>
        <v>0</v>
      </c>
      <c r="N74" s="230">
        <f xml:space="preserve"> Inputs!N121</f>
        <v>0</v>
      </c>
      <c r="O74" s="230">
        <f xml:space="preserve"> Inputs!O121</f>
        <v>0</v>
      </c>
      <c r="P74" s="230">
        <f xml:space="preserve"> Inputs!P121</f>
        <v>0</v>
      </c>
      <c r="Q74" s="230">
        <f xml:space="preserve"> Inputs!Q121</f>
        <v>0</v>
      </c>
      <c r="R74" s="230">
        <f xml:space="preserve"> Inputs!R121</f>
        <v>0</v>
      </c>
      <c r="S74" s="230">
        <f xml:space="preserve"> Inputs!S121</f>
        <v>0</v>
      </c>
      <c r="T74" s="230">
        <f xml:space="preserve"> Inputs!T121</f>
        <v>0</v>
      </c>
    </row>
    <row r="75" spans="1:20" s="213" customFormat="1" ht="13.15" x14ac:dyDescent="0.35">
      <c r="A75" s="214"/>
      <c r="B75" s="215"/>
      <c r="C75" s="216"/>
    </row>
    <row r="76" spans="1:20" s="213" customFormat="1" ht="13.15" x14ac:dyDescent="0.35">
      <c r="A76" s="214"/>
      <c r="B76" s="215"/>
      <c r="C76" s="216"/>
      <c r="E76" s="213" t="s">
        <v>180</v>
      </c>
      <c r="G76" s="213" t="s">
        <v>161</v>
      </c>
      <c r="J76" s="213">
        <f xml:space="preserve"> J64 * J70 / 1000000</f>
        <v>0</v>
      </c>
      <c r="K76" s="213">
        <f t="shared" ref="K76:T76" si="15" xml:space="preserve"> K64 * K70 / 1000000</f>
        <v>0</v>
      </c>
      <c r="L76" s="213">
        <f t="shared" si="15"/>
        <v>0</v>
      </c>
      <c r="M76" s="213">
        <f t="shared" si="15"/>
        <v>0</v>
      </c>
      <c r="N76" s="213">
        <f t="shared" si="15"/>
        <v>0</v>
      </c>
      <c r="O76" s="213">
        <f t="shared" si="15"/>
        <v>0</v>
      </c>
      <c r="P76" s="213">
        <f t="shared" si="15"/>
        <v>0</v>
      </c>
      <c r="Q76" s="213">
        <f t="shared" si="15"/>
        <v>0</v>
      </c>
      <c r="R76" s="213">
        <f t="shared" si="15"/>
        <v>0</v>
      </c>
      <c r="S76" s="213">
        <f t="shared" si="15"/>
        <v>0</v>
      </c>
      <c r="T76" s="213">
        <f t="shared" si="15"/>
        <v>0</v>
      </c>
    </row>
    <row r="77" spans="1:20" s="213" customFormat="1" ht="13.15" x14ac:dyDescent="0.35">
      <c r="A77" s="214"/>
      <c r="B77" s="215"/>
      <c r="C77" s="216"/>
      <c r="E77" s="213" t="s">
        <v>181</v>
      </c>
      <c r="G77" s="213" t="s">
        <v>161</v>
      </c>
      <c r="J77" s="213">
        <f t="shared" ref="J77:T80" si="16" xml:space="preserve"> J65 * J71 / 1000000</f>
        <v>0</v>
      </c>
      <c r="K77" s="213">
        <f t="shared" si="16"/>
        <v>0</v>
      </c>
      <c r="L77" s="213">
        <f t="shared" si="16"/>
        <v>0</v>
      </c>
      <c r="M77" s="213">
        <f t="shared" si="16"/>
        <v>0</v>
      </c>
      <c r="N77" s="213">
        <f t="shared" si="16"/>
        <v>0</v>
      </c>
      <c r="O77" s="213">
        <f t="shared" si="16"/>
        <v>0</v>
      </c>
      <c r="P77" s="213">
        <f t="shared" si="16"/>
        <v>0</v>
      </c>
      <c r="Q77" s="213">
        <f t="shared" si="16"/>
        <v>0</v>
      </c>
      <c r="R77" s="213">
        <f t="shared" si="16"/>
        <v>0</v>
      </c>
      <c r="S77" s="213">
        <f t="shared" si="16"/>
        <v>0</v>
      </c>
      <c r="T77" s="213">
        <f t="shared" si="16"/>
        <v>0</v>
      </c>
    </row>
    <row r="78" spans="1:20" s="213" customFormat="1" ht="13.15" x14ac:dyDescent="0.35">
      <c r="A78" s="214"/>
      <c r="B78" s="215"/>
      <c r="C78" s="216"/>
      <c r="E78" s="213" t="s">
        <v>182</v>
      </c>
      <c r="G78" s="213" t="s">
        <v>161</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213">
        <f t="shared" si="16"/>
        <v>0</v>
      </c>
    </row>
    <row r="79" spans="1:20" s="213" customFormat="1" ht="13.15" x14ac:dyDescent="0.35">
      <c r="A79" s="214"/>
      <c r="B79" s="215"/>
      <c r="C79" s="216"/>
      <c r="E79" s="213" t="s">
        <v>183</v>
      </c>
      <c r="G79" s="213" t="s">
        <v>161</v>
      </c>
      <c r="J79" s="213">
        <f t="shared" si="16"/>
        <v>0</v>
      </c>
      <c r="K79" s="213">
        <f t="shared" si="16"/>
        <v>0</v>
      </c>
      <c r="L79" s="213">
        <f t="shared" si="16"/>
        <v>0</v>
      </c>
      <c r="M79" s="213">
        <f t="shared" si="16"/>
        <v>0</v>
      </c>
      <c r="N79" s="213">
        <f t="shared" si="16"/>
        <v>0</v>
      </c>
      <c r="O79" s="213">
        <f t="shared" si="16"/>
        <v>0</v>
      </c>
      <c r="P79" s="213">
        <f t="shared" si="16"/>
        <v>0</v>
      </c>
      <c r="Q79" s="213">
        <f t="shared" si="16"/>
        <v>0</v>
      </c>
      <c r="R79" s="213">
        <f t="shared" si="16"/>
        <v>0</v>
      </c>
      <c r="S79" s="213">
        <f t="shared" si="16"/>
        <v>0</v>
      </c>
      <c r="T79" s="213">
        <f t="shared" si="16"/>
        <v>0</v>
      </c>
    </row>
    <row r="80" spans="1:20" s="213" customFormat="1" ht="13.15" x14ac:dyDescent="0.35">
      <c r="A80" s="214"/>
      <c r="B80" s="215"/>
      <c r="C80" s="216"/>
      <c r="E80" s="213" t="s">
        <v>184</v>
      </c>
      <c r="G80" s="213" t="s">
        <v>161</v>
      </c>
      <c r="J80" s="213">
        <f t="shared" si="16"/>
        <v>0</v>
      </c>
      <c r="K80" s="213">
        <f t="shared" si="16"/>
        <v>0</v>
      </c>
      <c r="L80" s="213">
        <f t="shared" si="16"/>
        <v>0</v>
      </c>
      <c r="M80" s="213">
        <f t="shared" si="16"/>
        <v>0</v>
      </c>
      <c r="N80" s="213">
        <f t="shared" si="16"/>
        <v>0</v>
      </c>
      <c r="O80" s="213">
        <f t="shared" si="16"/>
        <v>0</v>
      </c>
      <c r="P80" s="213">
        <f t="shared" si="16"/>
        <v>0</v>
      </c>
      <c r="Q80" s="213">
        <f t="shared" si="16"/>
        <v>0</v>
      </c>
      <c r="R80" s="213">
        <f t="shared" si="16"/>
        <v>0</v>
      </c>
      <c r="S80" s="213">
        <f t="shared" si="16"/>
        <v>0</v>
      </c>
      <c r="T80" s="213">
        <f t="shared" si="16"/>
        <v>0</v>
      </c>
    </row>
    <row r="81" spans="1:20" s="213" customFormat="1" ht="13.15" x14ac:dyDescent="0.35">
      <c r="A81" s="214"/>
      <c r="B81" s="215"/>
      <c r="C81" s="216"/>
    </row>
    <row r="82" spans="1:20" s="213" customFormat="1" ht="13.15" x14ac:dyDescent="0.35">
      <c r="A82" s="214"/>
      <c r="B82" s="215"/>
      <c r="C82" s="216"/>
      <c r="E82" s="213" t="s">
        <v>185</v>
      </c>
      <c r="G82" s="213" t="s">
        <v>161</v>
      </c>
      <c r="J82" s="213">
        <f xml:space="preserve"> J58 + J76</f>
        <v>0</v>
      </c>
      <c r="K82" s="213">
        <f t="shared" ref="K82:T82" si="17" xml:space="preserve"> K58 + K76</f>
        <v>0</v>
      </c>
      <c r="L82" s="213">
        <f t="shared" si="17"/>
        <v>0</v>
      </c>
      <c r="M82" s="213">
        <f t="shared" si="17"/>
        <v>0</v>
      </c>
      <c r="N82" s="213">
        <f t="shared" si="17"/>
        <v>0</v>
      </c>
      <c r="O82" s="213">
        <f t="shared" si="17"/>
        <v>0</v>
      </c>
      <c r="P82" s="213">
        <f t="shared" si="17"/>
        <v>0</v>
      </c>
      <c r="Q82" s="213">
        <f t="shared" si="17"/>
        <v>0</v>
      </c>
      <c r="R82" s="213">
        <f t="shared" si="17"/>
        <v>0</v>
      </c>
      <c r="S82" s="213">
        <f t="shared" si="17"/>
        <v>0</v>
      </c>
      <c r="T82" s="213">
        <f t="shared" si="17"/>
        <v>0</v>
      </c>
    </row>
    <row r="83" spans="1:20" s="213" customFormat="1" ht="13.15" x14ac:dyDescent="0.35">
      <c r="A83" s="214"/>
      <c r="B83" s="215"/>
      <c r="C83" s="216"/>
      <c r="E83" s="213" t="s">
        <v>186</v>
      </c>
      <c r="G83" s="213" t="s">
        <v>161</v>
      </c>
      <c r="J83" s="213">
        <f t="shared" ref="J83:T86" si="18" xml:space="preserve"> J59 + J77</f>
        <v>0</v>
      </c>
      <c r="K83" s="213">
        <f t="shared" si="18"/>
        <v>0</v>
      </c>
      <c r="L83" s="213">
        <f t="shared" si="18"/>
        <v>0</v>
      </c>
      <c r="M83" s="213">
        <f t="shared" si="18"/>
        <v>0</v>
      </c>
      <c r="N83" s="213">
        <f t="shared" si="18"/>
        <v>0</v>
      </c>
      <c r="O83" s="213">
        <f t="shared" si="18"/>
        <v>0</v>
      </c>
      <c r="P83" s="213">
        <f t="shared" si="18"/>
        <v>0</v>
      </c>
      <c r="Q83" s="213">
        <f t="shared" si="18"/>
        <v>0</v>
      </c>
      <c r="R83" s="213">
        <f t="shared" si="18"/>
        <v>0</v>
      </c>
      <c r="S83" s="213">
        <f t="shared" si="18"/>
        <v>0</v>
      </c>
      <c r="T83" s="213">
        <f t="shared" si="18"/>
        <v>0</v>
      </c>
    </row>
    <row r="84" spans="1:20" s="213" customFormat="1" ht="13.15" x14ac:dyDescent="0.35">
      <c r="A84" s="214"/>
      <c r="B84" s="215"/>
      <c r="C84" s="216"/>
      <c r="E84" s="213" t="s">
        <v>187</v>
      </c>
      <c r="G84" s="213" t="s">
        <v>161</v>
      </c>
      <c r="J84" s="213">
        <f t="shared" si="18"/>
        <v>0</v>
      </c>
      <c r="K84" s="213">
        <f t="shared" si="18"/>
        <v>0</v>
      </c>
      <c r="L84" s="213">
        <f t="shared" si="18"/>
        <v>0</v>
      </c>
      <c r="M84" s="213">
        <f t="shared" si="18"/>
        <v>0</v>
      </c>
      <c r="N84" s="213">
        <f t="shared" si="18"/>
        <v>0</v>
      </c>
      <c r="O84" s="213">
        <f t="shared" si="18"/>
        <v>0</v>
      </c>
      <c r="P84" s="213">
        <f t="shared" si="18"/>
        <v>0</v>
      </c>
      <c r="Q84" s="213">
        <f t="shared" si="18"/>
        <v>0</v>
      </c>
      <c r="R84" s="213">
        <f t="shared" si="18"/>
        <v>0</v>
      </c>
      <c r="S84" s="213">
        <f t="shared" si="18"/>
        <v>0</v>
      </c>
      <c r="T84" s="213">
        <f t="shared" si="18"/>
        <v>0</v>
      </c>
    </row>
    <row r="85" spans="1:20" s="213" customFormat="1" ht="13.15" x14ac:dyDescent="0.35">
      <c r="A85" s="214"/>
      <c r="B85" s="215"/>
      <c r="C85" s="216"/>
      <c r="E85" s="213" t="s">
        <v>188</v>
      </c>
      <c r="G85" s="213" t="s">
        <v>161</v>
      </c>
      <c r="J85" s="213">
        <f t="shared" si="18"/>
        <v>0</v>
      </c>
      <c r="K85" s="213">
        <f t="shared" si="18"/>
        <v>0</v>
      </c>
      <c r="L85" s="213">
        <f t="shared" si="18"/>
        <v>0</v>
      </c>
      <c r="M85" s="213">
        <f t="shared" si="18"/>
        <v>0</v>
      </c>
      <c r="N85" s="213">
        <f t="shared" si="18"/>
        <v>0</v>
      </c>
      <c r="O85" s="213">
        <f t="shared" si="18"/>
        <v>0</v>
      </c>
      <c r="P85" s="213">
        <f t="shared" si="18"/>
        <v>0</v>
      </c>
      <c r="Q85" s="213">
        <f t="shared" si="18"/>
        <v>0</v>
      </c>
      <c r="R85" s="213">
        <f t="shared" si="18"/>
        <v>0</v>
      </c>
      <c r="S85" s="213">
        <f t="shared" si="18"/>
        <v>0</v>
      </c>
      <c r="T85" s="213">
        <f t="shared" si="18"/>
        <v>0</v>
      </c>
    </row>
    <row r="86" spans="1:20" s="213" customFormat="1" ht="13.15" x14ac:dyDescent="0.35">
      <c r="A86" s="214"/>
      <c r="B86" s="215"/>
      <c r="C86" s="216"/>
      <c r="E86" s="213" t="s">
        <v>189</v>
      </c>
      <c r="G86" s="213" t="s">
        <v>161</v>
      </c>
      <c r="J86" s="213">
        <f t="shared" si="18"/>
        <v>0</v>
      </c>
      <c r="K86" s="213">
        <f t="shared" si="18"/>
        <v>0</v>
      </c>
      <c r="L86" s="213">
        <f t="shared" si="18"/>
        <v>0</v>
      </c>
      <c r="M86" s="213">
        <f t="shared" si="18"/>
        <v>0</v>
      </c>
      <c r="N86" s="213">
        <f t="shared" si="18"/>
        <v>0</v>
      </c>
      <c r="O86" s="213">
        <f t="shared" si="18"/>
        <v>0</v>
      </c>
      <c r="P86" s="213">
        <f t="shared" si="18"/>
        <v>0</v>
      </c>
      <c r="Q86" s="213">
        <f t="shared" si="18"/>
        <v>0</v>
      </c>
      <c r="R86" s="213">
        <f t="shared" si="18"/>
        <v>0</v>
      </c>
      <c r="S86" s="213">
        <f t="shared" si="18"/>
        <v>0</v>
      </c>
      <c r="T86" s="213">
        <f t="shared" si="18"/>
        <v>0</v>
      </c>
    </row>
    <row r="87" spans="1:20" s="213" customFormat="1" ht="13.15" x14ac:dyDescent="0.35">
      <c r="A87" s="214"/>
      <c r="B87" s="215"/>
      <c r="C87" s="216"/>
    </row>
    <row r="88" spans="1:20" s="213" customFormat="1" ht="13.15" x14ac:dyDescent="0.35">
      <c r="A88" s="214"/>
      <c r="B88" s="215"/>
      <c r="C88" s="216"/>
      <c r="E88" s="213" t="s">
        <v>190</v>
      </c>
      <c r="G88" s="213" t="s">
        <v>191</v>
      </c>
      <c r="J88" s="213">
        <f xml:space="preserve"> IF( J70 = 0, 0, ( J82 * 1000000 ) / J70 )</f>
        <v>0</v>
      </c>
      <c r="K88" s="213">
        <f t="shared" ref="K88:T88" si="19" xml:space="preserve"> IF( K70 = 0, 0, ( K82 * 1000000 ) / K70 )</f>
        <v>0</v>
      </c>
      <c r="L88" s="213">
        <f t="shared" si="19"/>
        <v>0</v>
      </c>
      <c r="M88" s="213">
        <f t="shared" si="19"/>
        <v>0</v>
      </c>
      <c r="N88" s="213">
        <f t="shared" si="19"/>
        <v>0</v>
      </c>
      <c r="O88" s="213">
        <f t="shared" si="19"/>
        <v>0</v>
      </c>
      <c r="P88" s="213">
        <f t="shared" si="19"/>
        <v>0</v>
      </c>
      <c r="Q88" s="213">
        <f t="shared" si="19"/>
        <v>0</v>
      </c>
      <c r="R88" s="213">
        <f t="shared" si="19"/>
        <v>0</v>
      </c>
      <c r="S88" s="213">
        <f t="shared" si="19"/>
        <v>0</v>
      </c>
      <c r="T88" s="213">
        <f t="shared" si="19"/>
        <v>0</v>
      </c>
    </row>
    <row r="89" spans="1:20" s="213" customFormat="1" ht="13.15" x14ac:dyDescent="0.35">
      <c r="A89" s="214"/>
      <c r="B89" s="215"/>
      <c r="C89" s="216"/>
      <c r="E89" s="213" t="s">
        <v>192</v>
      </c>
      <c r="G89" s="213" t="s">
        <v>191</v>
      </c>
      <c r="J89" s="213">
        <f t="shared" ref="J89:T92" si="20" xml:space="preserve"> IF( J71 = 0, 0, ( J83 * 1000000 ) / J71 )</f>
        <v>0</v>
      </c>
      <c r="K89" s="213">
        <f t="shared" si="20"/>
        <v>0</v>
      </c>
      <c r="L89" s="213">
        <f t="shared" si="20"/>
        <v>0</v>
      </c>
      <c r="M89" s="213">
        <f t="shared" si="20"/>
        <v>0</v>
      </c>
      <c r="N89" s="213">
        <f t="shared" si="20"/>
        <v>0</v>
      </c>
      <c r="O89" s="213">
        <f t="shared" si="20"/>
        <v>0</v>
      </c>
      <c r="P89" s="213">
        <f t="shared" si="20"/>
        <v>0</v>
      </c>
      <c r="Q89" s="213">
        <f t="shared" si="20"/>
        <v>0</v>
      </c>
      <c r="R89" s="213">
        <f t="shared" si="20"/>
        <v>0</v>
      </c>
      <c r="S89" s="213">
        <f t="shared" si="20"/>
        <v>0</v>
      </c>
      <c r="T89" s="213">
        <f t="shared" si="20"/>
        <v>0</v>
      </c>
    </row>
    <row r="90" spans="1:20" s="213" customFormat="1" ht="13.15" x14ac:dyDescent="0.35">
      <c r="A90" s="214"/>
      <c r="B90" s="215"/>
      <c r="C90" s="216"/>
      <c r="E90" s="213" t="s">
        <v>193</v>
      </c>
      <c r="G90" s="213" t="s">
        <v>191</v>
      </c>
      <c r="J90" s="213">
        <f t="shared" si="20"/>
        <v>0</v>
      </c>
      <c r="K90" s="213">
        <f t="shared" si="20"/>
        <v>0</v>
      </c>
      <c r="L90" s="213">
        <f t="shared" si="20"/>
        <v>0</v>
      </c>
      <c r="M90" s="213">
        <f t="shared" si="20"/>
        <v>0</v>
      </c>
      <c r="N90" s="213">
        <f t="shared" si="20"/>
        <v>0</v>
      </c>
      <c r="O90" s="213">
        <f t="shared" si="20"/>
        <v>0</v>
      </c>
      <c r="P90" s="213">
        <f t="shared" si="20"/>
        <v>0</v>
      </c>
      <c r="Q90" s="213">
        <f t="shared" si="20"/>
        <v>0</v>
      </c>
      <c r="R90" s="213">
        <f t="shared" si="20"/>
        <v>0</v>
      </c>
      <c r="S90" s="213">
        <f t="shared" si="20"/>
        <v>0</v>
      </c>
      <c r="T90" s="213">
        <f t="shared" si="20"/>
        <v>0</v>
      </c>
    </row>
    <row r="91" spans="1:20" s="213" customFormat="1" ht="13.15" x14ac:dyDescent="0.35">
      <c r="A91" s="214"/>
      <c r="B91" s="215"/>
      <c r="C91" s="216"/>
      <c r="E91" s="213" t="s">
        <v>194</v>
      </c>
      <c r="G91" s="213" t="s">
        <v>191</v>
      </c>
      <c r="J91" s="213">
        <f t="shared" si="20"/>
        <v>0</v>
      </c>
      <c r="K91" s="213">
        <f t="shared" si="20"/>
        <v>0</v>
      </c>
      <c r="L91" s="213">
        <f t="shared" si="20"/>
        <v>0</v>
      </c>
      <c r="M91" s="213">
        <f t="shared" si="20"/>
        <v>0</v>
      </c>
      <c r="N91" s="213">
        <f t="shared" si="20"/>
        <v>0</v>
      </c>
      <c r="O91" s="213">
        <f t="shared" si="20"/>
        <v>0</v>
      </c>
      <c r="P91" s="213">
        <f t="shared" si="20"/>
        <v>0</v>
      </c>
      <c r="Q91" s="213">
        <f t="shared" si="20"/>
        <v>0</v>
      </c>
      <c r="R91" s="213">
        <f t="shared" si="20"/>
        <v>0</v>
      </c>
      <c r="S91" s="213">
        <f t="shared" si="20"/>
        <v>0</v>
      </c>
      <c r="T91" s="213">
        <f t="shared" si="20"/>
        <v>0</v>
      </c>
    </row>
    <row r="92" spans="1:20" s="213" customFormat="1" ht="13.15" x14ac:dyDescent="0.35">
      <c r="A92" s="214"/>
      <c r="B92" s="215"/>
      <c r="C92" s="216"/>
      <c r="E92" s="213" t="s">
        <v>195</v>
      </c>
      <c r="G92" s="213" t="s">
        <v>191</v>
      </c>
      <c r="J92" s="213">
        <f t="shared" si="20"/>
        <v>0</v>
      </c>
      <c r="K92" s="213">
        <f t="shared" si="20"/>
        <v>0</v>
      </c>
      <c r="L92" s="213">
        <f t="shared" si="20"/>
        <v>0</v>
      </c>
      <c r="M92" s="213">
        <f t="shared" si="20"/>
        <v>0</v>
      </c>
      <c r="N92" s="213">
        <f t="shared" si="20"/>
        <v>0</v>
      </c>
      <c r="O92" s="213">
        <f t="shared" si="20"/>
        <v>0</v>
      </c>
      <c r="P92" s="213">
        <f t="shared" si="20"/>
        <v>0</v>
      </c>
      <c r="Q92" s="213">
        <f t="shared" si="20"/>
        <v>0</v>
      </c>
      <c r="R92" s="213">
        <f t="shared" si="20"/>
        <v>0</v>
      </c>
      <c r="S92" s="213">
        <f t="shared" si="20"/>
        <v>0</v>
      </c>
      <c r="T92" s="213">
        <f t="shared" si="20"/>
        <v>0</v>
      </c>
    </row>
    <row r="93" spans="1:20" s="213" customFormat="1" ht="13.15" x14ac:dyDescent="0.35">
      <c r="A93" s="214"/>
      <c r="B93" s="215"/>
      <c r="C93" s="216"/>
    </row>
    <row r="94" spans="1:20" s="213" customFormat="1" ht="13.15" x14ac:dyDescent="0.35">
      <c r="A94" s="214"/>
      <c r="B94" s="215" t="s">
        <v>196</v>
      </c>
      <c r="C94" s="216"/>
    </row>
    <row r="95" spans="1:20" s="242" customFormat="1" ht="13.15" x14ac:dyDescent="0.35">
      <c r="A95" s="240"/>
      <c r="B95" s="241"/>
      <c r="E95" s="242" t="str">
        <f xml:space="preserve"> E88</f>
        <v>Customer type 1 - revised allowed average retail cost component (rct)</v>
      </c>
      <c r="F95" s="242">
        <f t="shared" ref="F95:T95" si="21" xml:space="preserve"> F88</f>
        <v>0</v>
      </c>
      <c r="G95" s="242" t="str">
        <f t="shared" si="21"/>
        <v>£ (nominal)</v>
      </c>
      <c r="H95" s="242">
        <f t="shared" si="21"/>
        <v>0</v>
      </c>
      <c r="I95" s="242">
        <f t="shared" si="21"/>
        <v>0</v>
      </c>
      <c r="J95" s="242">
        <f t="shared" si="21"/>
        <v>0</v>
      </c>
      <c r="K95" s="242">
        <f t="shared" si="21"/>
        <v>0</v>
      </c>
      <c r="L95" s="242">
        <f t="shared" si="21"/>
        <v>0</v>
      </c>
      <c r="M95" s="242">
        <f t="shared" si="21"/>
        <v>0</v>
      </c>
      <c r="N95" s="242">
        <f t="shared" si="21"/>
        <v>0</v>
      </c>
      <c r="O95" s="242">
        <f t="shared" si="21"/>
        <v>0</v>
      </c>
      <c r="P95" s="242">
        <f t="shared" si="21"/>
        <v>0</v>
      </c>
      <c r="Q95" s="242">
        <f t="shared" si="21"/>
        <v>0</v>
      </c>
      <c r="R95" s="242">
        <f t="shared" si="21"/>
        <v>0</v>
      </c>
      <c r="S95" s="242">
        <f t="shared" si="21"/>
        <v>0</v>
      </c>
      <c r="T95" s="242">
        <f t="shared" si="21"/>
        <v>0</v>
      </c>
    </row>
    <row r="96" spans="1:20" s="242" customFormat="1" ht="13.15" x14ac:dyDescent="0.35">
      <c r="A96" s="240"/>
      <c r="B96" s="241"/>
      <c r="E96" s="242" t="str">
        <f t="shared" ref="E96:T99" si="22" xml:space="preserve"> E89</f>
        <v>Customer type 2 - revised allowed average retail cost component (rct)</v>
      </c>
      <c r="F96" s="242">
        <f t="shared" si="22"/>
        <v>0</v>
      </c>
      <c r="G96" s="242" t="str">
        <f t="shared" si="22"/>
        <v>£ (nominal)</v>
      </c>
      <c r="H96" s="242">
        <f t="shared" si="22"/>
        <v>0</v>
      </c>
      <c r="I96" s="242">
        <f t="shared" si="22"/>
        <v>0</v>
      </c>
      <c r="J96" s="242">
        <f t="shared" si="22"/>
        <v>0</v>
      </c>
      <c r="K96" s="242">
        <f t="shared" si="22"/>
        <v>0</v>
      </c>
      <c r="L96" s="242">
        <f t="shared" si="22"/>
        <v>0</v>
      </c>
      <c r="M96" s="242">
        <f t="shared" si="22"/>
        <v>0</v>
      </c>
      <c r="N96" s="242">
        <f t="shared" si="22"/>
        <v>0</v>
      </c>
      <c r="O96" s="242">
        <f t="shared" si="22"/>
        <v>0</v>
      </c>
      <c r="P96" s="242">
        <f t="shared" si="22"/>
        <v>0</v>
      </c>
      <c r="Q96" s="242">
        <f t="shared" si="22"/>
        <v>0</v>
      </c>
      <c r="R96" s="242">
        <f t="shared" si="22"/>
        <v>0</v>
      </c>
      <c r="S96" s="242">
        <f t="shared" si="22"/>
        <v>0</v>
      </c>
      <c r="T96" s="242">
        <f t="shared" si="22"/>
        <v>0</v>
      </c>
    </row>
    <row r="97" spans="1:20" s="242" customFormat="1" ht="13.15" x14ac:dyDescent="0.35">
      <c r="A97" s="240"/>
      <c r="B97" s="241"/>
      <c r="E97" s="242" t="str">
        <f t="shared" si="22"/>
        <v>Customer type 3 - revised allowed average retail cost component (rct)</v>
      </c>
      <c r="F97" s="242">
        <f t="shared" si="22"/>
        <v>0</v>
      </c>
      <c r="G97" s="242" t="str">
        <f t="shared" si="22"/>
        <v>£ (nominal)</v>
      </c>
      <c r="H97" s="242">
        <f t="shared" si="22"/>
        <v>0</v>
      </c>
      <c r="I97" s="242">
        <f t="shared" si="22"/>
        <v>0</v>
      </c>
      <c r="J97" s="242">
        <f t="shared" si="22"/>
        <v>0</v>
      </c>
      <c r="K97" s="242">
        <f t="shared" si="22"/>
        <v>0</v>
      </c>
      <c r="L97" s="242">
        <f t="shared" si="22"/>
        <v>0</v>
      </c>
      <c r="M97" s="242">
        <f t="shared" si="22"/>
        <v>0</v>
      </c>
      <c r="N97" s="242">
        <f t="shared" si="22"/>
        <v>0</v>
      </c>
      <c r="O97" s="242">
        <f t="shared" si="22"/>
        <v>0</v>
      </c>
      <c r="P97" s="242">
        <f t="shared" si="22"/>
        <v>0</v>
      </c>
      <c r="Q97" s="242">
        <f t="shared" si="22"/>
        <v>0</v>
      </c>
      <c r="R97" s="242">
        <f t="shared" si="22"/>
        <v>0</v>
      </c>
      <c r="S97" s="242">
        <f t="shared" si="22"/>
        <v>0</v>
      </c>
      <c r="T97" s="242">
        <f t="shared" si="22"/>
        <v>0</v>
      </c>
    </row>
    <row r="98" spans="1:20" s="242" customFormat="1" ht="13.15" x14ac:dyDescent="0.35">
      <c r="A98" s="240"/>
      <c r="B98" s="241"/>
      <c r="E98" s="242" t="str">
        <f t="shared" si="22"/>
        <v>Customer type 4 - revised allowed average retail cost component (rct)</v>
      </c>
      <c r="F98" s="242">
        <f t="shared" si="22"/>
        <v>0</v>
      </c>
      <c r="G98" s="242" t="str">
        <f t="shared" si="22"/>
        <v>£ (nominal)</v>
      </c>
      <c r="H98" s="242">
        <f t="shared" si="22"/>
        <v>0</v>
      </c>
      <c r="I98" s="242">
        <f t="shared" si="22"/>
        <v>0</v>
      </c>
      <c r="J98" s="242">
        <f t="shared" si="22"/>
        <v>0</v>
      </c>
      <c r="K98" s="242">
        <f t="shared" si="22"/>
        <v>0</v>
      </c>
      <c r="L98" s="242">
        <f t="shared" si="22"/>
        <v>0</v>
      </c>
      <c r="M98" s="242">
        <f t="shared" si="22"/>
        <v>0</v>
      </c>
      <c r="N98" s="242">
        <f t="shared" si="22"/>
        <v>0</v>
      </c>
      <c r="O98" s="242">
        <f t="shared" si="22"/>
        <v>0</v>
      </c>
      <c r="P98" s="242">
        <f t="shared" si="22"/>
        <v>0</v>
      </c>
      <c r="Q98" s="242">
        <f t="shared" si="22"/>
        <v>0</v>
      </c>
      <c r="R98" s="242">
        <f t="shared" si="22"/>
        <v>0</v>
      </c>
      <c r="S98" s="242">
        <f t="shared" si="22"/>
        <v>0</v>
      </c>
      <c r="T98" s="242">
        <f t="shared" si="22"/>
        <v>0</v>
      </c>
    </row>
    <row r="99" spans="1:20" s="242" customFormat="1" ht="13.15" x14ac:dyDescent="0.35">
      <c r="A99" s="240"/>
      <c r="B99" s="241"/>
      <c r="E99" s="242" t="str">
        <f t="shared" si="22"/>
        <v>Customer type 5 - revised allowed average retail cost component (rct)</v>
      </c>
      <c r="F99" s="242">
        <f t="shared" si="22"/>
        <v>0</v>
      </c>
      <c r="G99" s="242" t="str">
        <f t="shared" si="22"/>
        <v>£ (nominal)</v>
      </c>
      <c r="H99" s="242">
        <f t="shared" si="22"/>
        <v>0</v>
      </c>
      <c r="I99" s="242">
        <f t="shared" si="22"/>
        <v>0</v>
      </c>
      <c r="J99" s="242">
        <f t="shared" si="22"/>
        <v>0</v>
      </c>
      <c r="K99" s="242">
        <f t="shared" si="22"/>
        <v>0</v>
      </c>
      <c r="L99" s="242">
        <f t="shared" si="22"/>
        <v>0</v>
      </c>
      <c r="M99" s="242">
        <f t="shared" si="22"/>
        <v>0</v>
      </c>
      <c r="N99" s="242">
        <f t="shared" si="22"/>
        <v>0</v>
      </c>
      <c r="O99" s="242">
        <f t="shared" si="22"/>
        <v>0</v>
      </c>
      <c r="P99" s="242">
        <f t="shared" si="22"/>
        <v>0</v>
      </c>
      <c r="Q99" s="242">
        <f t="shared" si="22"/>
        <v>0</v>
      </c>
      <c r="R99" s="242">
        <f t="shared" si="22"/>
        <v>0</v>
      </c>
      <c r="S99" s="242">
        <f t="shared" si="22"/>
        <v>0</v>
      </c>
      <c r="T99" s="242">
        <f t="shared" si="22"/>
        <v>0</v>
      </c>
    </row>
    <row r="100" spans="1:20" ht="13.15" x14ac:dyDescent="0.35">
      <c r="B100" s="120"/>
      <c r="E100" s="114"/>
    </row>
    <row r="101" spans="1:20" ht="13.15" x14ac:dyDescent="0.35">
      <c r="A101" s="2" t="s">
        <v>127</v>
      </c>
      <c r="B101" s="191"/>
      <c r="C101" s="177"/>
      <c r="D101" s="192"/>
      <c r="E101" s="179"/>
      <c r="F101" s="179"/>
      <c r="G101" s="179"/>
      <c r="H101" s="3"/>
      <c r="I101" s="3"/>
      <c r="J101" s="3"/>
      <c r="K101" s="3"/>
      <c r="L101" s="3"/>
      <c r="M101" s="3"/>
      <c r="N101" s="3"/>
      <c r="O101" s="3"/>
      <c r="P101" s="3"/>
      <c r="Q101" s="3"/>
      <c r="R101" s="3"/>
      <c r="S101" s="3"/>
      <c r="T101" s="3"/>
    </row>
    <row r="102" spans="1:20" x14ac:dyDescent="0.3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rintOptions headings="1"/>
  <pageMargins left="0.7" right="0.7" top="0.75" bottom="0.75" header="0.3" footer="0.3"/>
  <pageSetup paperSize="9" scale="3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Bioresources (sludge)</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82</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c r="J49" s="113"/>
      <c r="K49" s="113"/>
      <c r="L49" s="113"/>
      <c r="M49" s="113"/>
      <c r="N49" s="113"/>
      <c r="O49" s="113"/>
      <c r="P49" s="113"/>
      <c r="Q49" s="113"/>
      <c r="R49" s="113"/>
      <c r="S49" s="113"/>
      <c r="T49" s="113"/>
    </row>
    <row r="50" spans="1:20" ht="13.15" x14ac:dyDescent="0.35">
      <c r="B50" s="120" t="s">
        <v>197</v>
      </c>
      <c r="E50" s="114"/>
      <c r="H50" s="110"/>
      <c r="I50" s="110"/>
      <c r="J50" s="113"/>
      <c r="K50" s="113"/>
      <c r="L50" s="113"/>
      <c r="M50" s="113"/>
      <c r="N50" s="113"/>
      <c r="O50" s="113"/>
      <c r="P50" s="113"/>
      <c r="Q50" s="113"/>
      <c r="R50" s="113"/>
      <c r="S50" s="113"/>
      <c r="T50" s="113"/>
    </row>
    <row r="51" spans="1:20" s="213" customFormat="1" ht="13.15" x14ac:dyDescent="0.35">
      <c r="A51" s="214"/>
      <c r="B51" s="215"/>
      <c r="C51" s="216"/>
      <c r="E51" s="213" t="str">
        <f>E48</f>
        <v xml:space="preserve">Total value of ODI </v>
      </c>
      <c r="G51" s="213" t="str">
        <f t="shared" ref="G51" si="12">G48</f>
        <v>£m (nominal)</v>
      </c>
      <c r="J51" s="213">
        <f t="shared" ref="J51:T51" si="13">J48</f>
        <v>0</v>
      </c>
      <c r="K51" s="213">
        <f t="shared" si="13"/>
        <v>0</v>
      </c>
      <c r="L51" s="213">
        <f t="shared" si="13"/>
        <v>0</v>
      </c>
      <c r="M51" s="213">
        <f t="shared" si="13"/>
        <v>0</v>
      </c>
      <c r="N51" s="213">
        <f t="shared" si="13"/>
        <v>0</v>
      </c>
      <c r="O51" s="213">
        <f t="shared" si="13"/>
        <v>0</v>
      </c>
      <c r="P51" s="213">
        <f t="shared" si="13"/>
        <v>0</v>
      </c>
      <c r="Q51" s="213">
        <f t="shared" si="13"/>
        <v>0</v>
      </c>
      <c r="R51" s="213">
        <f t="shared" si="13"/>
        <v>0</v>
      </c>
      <c r="S51" s="213">
        <f t="shared" si="13"/>
        <v>0</v>
      </c>
      <c r="T51" s="213">
        <f t="shared" si="13"/>
        <v>0</v>
      </c>
    </row>
    <row r="52" spans="1:20" s="208" customFormat="1" ht="13.15" x14ac:dyDescent="0.35">
      <c r="A52" s="276"/>
      <c r="B52" s="277"/>
      <c r="E52" s="208" t="str">
        <f>Index!E13</f>
        <v>Cumulative inflation factor</v>
      </c>
      <c r="G52" s="208" t="str">
        <f>Index!G13</f>
        <v>Percentage</v>
      </c>
      <c r="J52" s="208">
        <f>Index!J13</f>
        <v>0</v>
      </c>
      <c r="K52" s="208">
        <f>Index!K13</f>
        <v>0</v>
      </c>
      <c r="L52" s="208">
        <f>Index!L13</f>
        <v>1</v>
      </c>
      <c r="M52" s="208">
        <f>Index!M13</f>
        <v>1.0284872298624754</v>
      </c>
      <c r="N52" s="208">
        <f>Index!N13</f>
        <v>1.0500982318271121</v>
      </c>
      <c r="O52" s="208">
        <f>Index!O13</f>
        <v>1.0658153241650294</v>
      </c>
      <c r="P52" s="208">
        <f>Index!P13</f>
        <v>1.0658153241650294</v>
      </c>
      <c r="Q52" s="208">
        <f>Index!Q13</f>
        <v>1.0658153241650294</v>
      </c>
      <c r="R52" s="208">
        <f>Index!R13</f>
        <v>1.0658153241650294</v>
      </c>
      <c r="S52" s="208">
        <f>Index!S13</f>
        <v>1.0658153241650294</v>
      </c>
      <c r="T52" s="208">
        <f>Index!T13</f>
        <v>1.0658153241650294</v>
      </c>
    </row>
    <row r="53" spans="1:20" s="213" customFormat="1" ht="13.15" x14ac:dyDescent="0.35">
      <c r="A53" s="214"/>
      <c r="B53" s="215"/>
      <c r="C53" s="216"/>
      <c r="E53" s="213" t="s">
        <v>198</v>
      </c>
      <c r="G53" s="213" t="str">
        <f>G19</f>
        <v>£m (2017-18 Nov CPIH prices)</v>
      </c>
      <c r="J53" s="221">
        <f>IF(J52&lt;&gt;0,J51/J52,0)</f>
        <v>0</v>
      </c>
      <c r="K53" s="221">
        <f t="shared" ref="K53:T53" si="14">IF(K52&lt;&gt;0,K51/K52,0)</f>
        <v>0</v>
      </c>
      <c r="L53" s="221">
        <f t="shared" si="14"/>
        <v>0</v>
      </c>
      <c r="M53" s="221">
        <f t="shared" si="14"/>
        <v>0</v>
      </c>
      <c r="N53" s="221">
        <f t="shared" si="14"/>
        <v>0</v>
      </c>
      <c r="O53" s="221">
        <f>IF(O52&lt;&gt;0,O51/O52,0)</f>
        <v>0</v>
      </c>
      <c r="P53" s="221">
        <f t="shared" si="14"/>
        <v>0</v>
      </c>
      <c r="Q53" s="221">
        <f t="shared" si="14"/>
        <v>0</v>
      </c>
      <c r="R53" s="221">
        <f t="shared" si="14"/>
        <v>0</v>
      </c>
      <c r="S53" s="221">
        <f t="shared" si="14"/>
        <v>0</v>
      </c>
      <c r="T53" s="221">
        <f t="shared" si="14"/>
        <v>0</v>
      </c>
    </row>
    <row r="54" spans="1:20" s="213" customFormat="1" ht="13.15" x14ac:dyDescent="0.35">
      <c r="A54" s="214"/>
      <c r="B54" s="215"/>
      <c r="C54" s="216"/>
    </row>
    <row r="55" spans="1:20" s="213" customFormat="1" ht="13.15" x14ac:dyDescent="0.35">
      <c r="A55" s="214"/>
      <c r="B55" s="215" t="s">
        <v>173</v>
      </c>
      <c r="C55" s="216"/>
    </row>
    <row r="56" spans="1:20" s="213" customFormat="1" x14ac:dyDescent="0.35">
      <c r="A56" s="214"/>
      <c r="B56" s="222"/>
      <c r="C56" s="216"/>
      <c r="E56" s="213" t="str">
        <f>E53</f>
        <v>ODI value in original prices</v>
      </c>
      <c r="G56" s="213" t="str">
        <f>G53</f>
        <v>£m (2017-18 Nov CPIH prices)</v>
      </c>
      <c r="J56" s="221">
        <f>J53</f>
        <v>0</v>
      </c>
      <c r="K56" s="221">
        <f t="shared" ref="K56:T56" si="15">K53</f>
        <v>0</v>
      </c>
      <c r="L56" s="221">
        <f t="shared" si="15"/>
        <v>0</v>
      </c>
      <c r="M56" s="221">
        <f t="shared" si="15"/>
        <v>0</v>
      </c>
      <c r="N56" s="221">
        <f t="shared" si="15"/>
        <v>0</v>
      </c>
      <c r="O56" s="221">
        <f t="shared" si="15"/>
        <v>0</v>
      </c>
      <c r="P56" s="221">
        <f t="shared" si="15"/>
        <v>0</v>
      </c>
      <c r="Q56" s="221">
        <f t="shared" si="15"/>
        <v>0</v>
      </c>
      <c r="R56" s="221">
        <f t="shared" si="15"/>
        <v>0</v>
      </c>
      <c r="S56" s="221">
        <f t="shared" si="15"/>
        <v>0</v>
      </c>
      <c r="T56" s="221">
        <f t="shared" si="15"/>
        <v>0</v>
      </c>
    </row>
    <row r="57" spans="1:20" s="219" customFormat="1" ht="13.15" x14ac:dyDescent="0.35">
      <c r="A57" s="217"/>
      <c r="B57" s="218"/>
      <c r="E57" s="219" t="str">
        <f>Inputs!E105</f>
        <v>Total revenue (URt in last determination)</v>
      </c>
      <c r="G57" s="219" t="str">
        <f>Inputs!$F$16</f>
        <v>£m (2017-18 Nov CPIH prices)</v>
      </c>
      <c r="J57" s="219">
        <f>Inputs!J105</f>
        <v>0</v>
      </c>
      <c r="K57" s="219">
        <f>Inputs!K105</f>
        <v>0</v>
      </c>
      <c r="L57" s="219">
        <f>Inputs!L105</f>
        <v>0</v>
      </c>
      <c r="M57" s="219">
        <f>Inputs!M105</f>
        <v>0</v>
      </c>
      <c r="N57" s="219">
        <f>Inputs!N105</f>
        <v>0</v>
      </c>
      <c r="O57" s="219">
        <f>Inputs!O105</f>
        <v>0</v>
      </c>
      <c r="P57" s="219">
        <f>Inputs!P105</f>
        <v>30.982457462417532</v>
      </c>
      <c r="Q57" s="219">
        <f>Inputs!Q105</f>
        <v>31.187467802943388</v>
      </c>
      <c r="R57" s="219">
        <f>Inputs!R105</f>
        <v>31.55778121804061</v>
      </c>
      <c r="S57" s="219">
        <f>Inputs!S105</f>
        <v>32.144758193019889</v>
      </c>
      <c r="T57" s="219">
        <f>Inputs!T105</f>
        <v>0</v>
      </c>
    </row>
    <row r="58" spans="1:20" s="242" customFormat="1" ht="13.15" x14ac:dyDescent="0.35">
      <c r="A58" s="240"/>
      <c r="B58" s="241"/>
      <c r="E58" s="242" t="s">
        <v>199</v>
      </c>
      <c r="G58" s="242" t="str">
        <f>Inputs!$F$16</f>
        <v>£m (2017-18 Nov CPIH prices)</v>
      </c>
      <c r="J58" s="242">
        <f>J56+J57</f>
        <v>0</v>
      </c>
      <c r="K58" s="242">
        <f t="shared" ref="K58" si="16">K56+K57</f>
        <v>0</v>
      </c>
      <c r="L58" s="242">
        <f t="shared" ref="L58:M58" si="17">L56+L57</f>
        <v>0</v>
      </c>
      <c r="M58" s="242">
        <f t="shared" si="17"/>
        <v>0</v>
      </c>
      <c r="N58" s="242">
        <f t="shared" ref="N58" si="18">N56+N57</f>
        <v>0</v>
      </c>
      <c r="O58" s="242">
        <f t="shared" ref="O58" si="19">O56+O57</f>
        <v>0</v>
      </c>
      <c r="P58" s="242">
        <f t="shared" ref="P58" si="20">P56+P57</f>
        <v>30.982457462417532</v>
      </c>
      <c r="Q58" s="242">
        <f>Q56+Q57</f>
        <v>31.187467802943388</v>
      </c>
      <c r="R58" s="242">
        <f t="shared" ref="R58:T58" si="21">R56+R57</f>
        <v>31.55778121804061</v>
      </c>
      <c r="S58" s="242">
        <f t="shared" si="21"/>
        <v>32.144758193019889</v>
      </c>
      <c r="T58" s="242">
        <f t="shared" si="21"/>
        <v>0</v>
      </c>
    </row>
    <row r="59" spans="1:20" ht="13.15" x14ac:dyDescent="0.35">
      <c r="B59" s="120"/>
      <c r="E59" s="114"/>
      <c r="H59" s="110"/>
      <c r="I59" s="110"/>
    </row>
    <row r="60" spans="1:20" ht="13.15" x14ac:dyDescent="0.35">
      <c r="A60" s="2" t="s">
        <v>127</v>
      </c>
      <c r="B60" s="191"/>
      <c r="C60" s="177"/>
      <c r="D60" s="192"/>
      <c r="E60" s="179"/>
      <c r="F60" s="179"/>
      <c r="G60" s="179"/>
      <c r="H60" s="3"/>
      <c r="I60" s="3"/>
      <c r="J60" s="3"/>
      <c r="K60" s="3"/>
      <c r="L60" s="3"/>
      <c r="M60" s="3"/>
      <c r="N60" s="3"/>
      <c r="O60" s="3"/>
      <c r="P60" s="3"/>
      <c r="Q60" s="3"/>
      <c r="R60" s="3"/>
      <c r="S60" s="3"/>
      <c r="T60" s="3"/>
    </row>
    <row r="61" spans="1:20" x14ac:dyDescent="0.3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Dummy control</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84</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A33" s="125"/>
      <c r="B33" s="120"/>
      <c r="C33" s="126"/>
      <c r="E33" s="273" t="str">
        <f xml:space="preserve"> Inputs!E$131</f>
        <v>Allowed revenue starting point in FD</v>
      </c>
      <c r="F33" s="273">
        <f xml:space="preserve"> Inputs!F$131</f>
        <v>0</v>
      </c>
      <c r="G33" s="273" t="str">
        <f xml:space="preserve"> Inputs!G$131</f>
        <v>£m (nominal)</v>
      </c>
      <c r="H33" s="273">
        <f xml:space="preserve"> Inputs!H$131</f>
        <v>0</v>
      </c>
      <c r="I33" s="273">
        <f xml:space="preserve"> Inputs!I$131</f>
        <v>0</v>
      </c>
      <c r="J33" s="273">
        <f xml:space="preserve"> Inputs!J$131</f>
        <v>0</v>
      </c>
      <c r="K33" s="273">
        <f xml:space="preserve"> Inputs!K$131</f>
        <v>0</v>
      </c>
      <c r="L33" s="273">
        <f xml:space="preserve"> Inputs!L$131</f>
        <v>0</v>
      </c>
      <c r="M33" s="273">
        <f xml:space="preserve"> Inputs!M$131</f>
        <v>0</v>
      </c>
      <c r="N33" s="273">
        <f xml:space="preserve"> Inputs!N$131</f>
        <v>0</v>
      </c>
      <c r="O33" s="273">
        <f xml:space="preserve"> Inputs!O$131</f>
        <v>0</v>
      </c>
      <c r="P33" s="273">
        <f xml:space="preserve"> Inputs!P$131</f>
        <v>0</v>
      </c>
      <c r="Q33" s="273">
        <f xml:space="preserve"> Inputs!Q$131</f>
        <v>0</v>
      </c>
      <c r="R33" s="273">
        <f xml:space="preserve"> Inputs!R$131</f>
        <v>0</v>
      </c>
      <c r="S33" s="273">
        <f xml:space="preserve"> Inputs!S$131</f>
        <v>0</v>
      </c>
      <c r="T33" s="273">
        <f xml:space="preserve"> Inputs!T$131</f>
        <v>0</v>
      </c>
    </row>
    <row r="34" spans="1:20" ht="13.15" x14ac:dyDescent="0.35">
      <c r="A34" s="125"/>
      <c r="B34" s="120"/>
      <c r="C34" s="126"/>
      <c r="E34" s="213" t="str">
        <f>E33</f>
        <v>Allowed revenue starting point in FD</v>
      </c>
      <c r="F34" s="114"/>
      <c r="G34" s="114"/>
      <c r="H34" s="213">
        <f xml:space="preserve"> SUM( J33:T33 )</f>
        <v>0</v>
      </c>
      <c r="I34" s="107"/>
      <c r="J34" s="107"/>
      <c r="K34" s="107"/>
      <c r="L34" s="107"/>
      <c r="M34" s="107"/>
      <c r="N34" s="107"/>
      <c r="O34" s="107"/>
      <c r="P34" s="107"/>
      <c r="Q34" s="107"/>
      <c r="R34" s="107"/>
      <c r="S34" s="107"/>
      <c r="T34" s="107"/>
    </row>
    <row r="35" spans="1:20" s="110" customFormat="1" ht="13.15" x14ac:dyDescent="0.35">
      <c r="A35" s="119"/>
      <c r="B35" s="120"/>
      <c r="C35" s="121"/>
      <c r="E35" s="230" t="str">
        <f xml:space="preserve"> Time!E$45</f>
        <v>1st Forecast Period Flag</v>
      </c>
      <c r="F35" s="230"/>
      <c r="G35" s="230" t="str">
        <f xml:space="preserve"> Time!G$45</f>
        <v>flag</v>
      </c>
      <c r="H35" s="230"/>
      <c r="I35" s="230"/>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Inputs!E$132</f>
        <v>K factors (last determined)</v>
      </c>
      <c r="F36" s="230">
        <f xml:space="preserve"> Inputs!F$132</f>
        <v>0</v>
      </c>
      <c r="G36" s="230" t="str">
        <f xml:space="preserve"> Inputs!G$132</f>
        <v>Number</v>
      </c>
      <c r="H36" s="230">
        <f xml:space="preserve"> Inputs!H$132</f>
        <v>0</v>
      </c>
      <c r="I36" s="230">
        <f xml:space="preserve"> Inputs!I$132</f>
        <v>0</v>
      </c>
      <c r="J36" s="219">
        <f xml:space="preserve"> Inputs!J$132</f>
        <v>0</v>
      </c>
      <c r="K36" s="219">
        <f xml:space="preserve"> Inputs!K$132</f>
        <v>0</v>
      </c>
      <c r="L36" s="219">
        <f xml:space="preserve"> Inputs!L$132</f>
        <v>0</v>
      </c>
      <c r="M36" s="219">
        <f xml:space="preserve"> Inputs!M$132</f>
        <v>0</v>
      </c>
      <c r="N36" s="219">
        <f xml:space="preserve"> Inputs!N$132</f>
        <v>0</v>
      </c>
      <c r="O36" s="219">
        <f xml:space="preserve"> Inputs!O$132</f>
        <v>0</v>
      </c>
      <c r="P36" s="219">
        <f xml:space="preserve"> Inputs!P$132</f>
        <v>0</v>
      </c>
      <c r="Q36" s="219">
        <f xml:space="preserve"> Inputs!Q$132</f>
        <v>0</v>
      </c>
      <c r="R36" s="219">
        <f xml:space="preserve"> Inputs!R$132</f>
        <v>0</v>
      </c>
      <c r="S36" s="219">
        <f xml:space="preserve"> Inputs!S$132</f>
        <v>0</v>
      </c>
      <c r="T36" s="219">
        <f xml:space="preserve"> Inputs!T$132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108" customFormat="1" ht="13.15" x14ac:dyDescent="0.35">
      <c r="A38" s="115"/>
      <c r="B38" s="116"/>
      <c r="C38" s="117"/>
      <c r="D38" s="90"/>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122"/>
      <c r="B39" s="123"/>
      <c r="C39" s="124"/>
      <c r="E39" s="213" t="s">
        <v>160</v>
      </c>
      <c r="F39" s="213"/>
      <c r="G39" s="213" t="s">
        <v>161</v>
      </c>
      <c r="H39" s="213"/>
      <c r="I39" s="213"/>
      <c r="J39" s="213">
        <f xml:space="preserve"> IF(J35=1, $H34 * (1+J38+J37), I39 *  (1+J38+J37))</f>
        <v>0</v>
      </c>
      <c r="K39" s="213">
        <f xml:space="preserve"> IF(K35=1, $H34 * (1+K38+K37), J39 *  (1+K38+K37))</f>
        <v>0</v>
      </c>
      <c r="L39" s="213">
        <f t="shared" ref="L39:T39" si="4" xml:space="preserve"> IF(L35=1, $H34 * (1+L38+L37), K39 *  (1+L38+L37))</f>
        <v>0</v>
      </c>
      <c r="M39" s="213">
        <f t="shared" si="4"/>
        <v>0</v>
      </c>
      <c r="N39" s="213">
        <f t="shared" si="4"/>
        <v>0</v>
      </c>
      <c r="O39" s="213">
        <f t="shared" si="4"/>
        <v>0</v>
      </c>
      <c r="P39" s="213">
        <f xml:space="preserve"> IF(P35=1, $H34 * (1+P38+P37), O39 *  (1+P38+P37))</f>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Dummy control</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Dummy control</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pageSetUpPr fitToPage="1"/>
  </sheetPr>
  <dimension ref="A1:E24"/>
  <sheetViews>
    <sheetView zoomScaleNormal="100" workbookViewId="0"/>
  </sheetViews>
  <sheetFormatPr defaultColWidth="0" defaultRowHeight="12.75" zeroHeight="1" x14ac:dyDescent="0.35"/>
  <cols>
    <col min="1" max="1" width="14.625" style="132" customWidth="1"/>
    <col min="2" max="2" width="18" style="132" customWidth="1"/>
    <col min="3" max="3" width="9.6875" style="132" customWidth="1"/>
    <col min="4" max="4" width="10.625" style="132" customWidth="1"/>
    <col min="5" max="5" width="10" style="132" customWidth="1"/>
    <col min="6" max="16384" width="9.6875" style="132" hidden="1"/>
  </cols>
  <sheetData>
    <row r="1" spans="1:5" s="133" customFormat="1" ht="29.25" x14ac:dyDescent="0.35">
      <c r="A1" s="141" t="str">
        <f ca="1" xml:space="preserve"> RIGHT(CELL("filename", $A$1), LEN(CELL("filename", $A$1)) - SEARCH("]", CELL("filename", $A$1)))</f>
        <v>Validation</v>
      </c>
      <c r="B1" s="141"/>
      <c r="C1" s="141"/>
      <c r="D1" s="141"/>
      <c r="E1" s="142" t="str">
        <f>Inputs!F9</f>
        <v>Wessex Water</v>
      </c>
    </row>
    <row r="2" spans="1:5" x14ac:dyDescent="0.35"/>
    <row r="3" spans="1:5" x14ac:dyDescent="0.35">
      <c r="A3" s="7" t="s">
        <v>200</v>
      </c>
      <c r="B3" s="7" t="s">
        <v>201</v>
      </c>
      <c r="C3" s="7" t="s">
        <v>202</v>
      </c>
      <c r="D3" s="7" t="s">
        <v>203</v>
      </c>
      <c r="E3" s="7" t="s">
        <v>204</v>
      </c>
    </row>
    <row r="4" spans="1:5" x14ac:dyDescent="0.35">
      <c r="A4" s="8"/>
      <c r="B4" s="8"/>
      <c r="C4" s="8"/>
      <c r="D4" s="8"/>
      <c r="E4" s="8"/>
    </row>
    <row r="5" spans="1:5" x14ac:dyDescent="0.35">
      <c r="A5" s="8" t="s">
        <v>205</v>
      </c>
      <c r="B5" s="8" t="s">
        <v>206</v>
      </c>
      <c r="C5" s="8" t="s">
        <v>207</v>
      </c>
      <c r="D5" s="8" t="b">
        <v>1</v>
      </c>
      <c r="E5" s="8" t="s">
        <v>208</v>
      </c>
    </row>
    <row r="6" spans="1:5" x14ac:dyDescent="0.35">
      <c r="A6" s="8" t="s">
        <v>209</v>
      </c>
      <c r="B6" s="8" t="s">
        <v>210</v>
      </c>
      <c r="C6" s="8" t="s">
        <v>211</v>
      </c>
      <c r="D6" s="8" t="b">
        <v>0</v>
      </c>
      <c r="E6" s="8" t="s">
        <v>212</v>
      </c>
    </row>
    <row r="7" spans="1:5" x14ac:dyDescent="0.35">
      <c r="A7" s="8" t="s">
        <v>213</v>
      </c>
      <c r="B7" s="8" t="s">
        <v>214</v>
      </c>
      <c r="C7" s="8" t="s">
        <v>215</v>
      </c>
      <c r="D7" s="8"/>
      <c r="E7" s="8"/>
    </row>
    <row r="8" spans="1:5" x14ac:dyDescent="0.35">
      <c r="A8" s="8" t="s">
        <v>216</v>
      </c>
      <c r="B8" s="8" t="s">
        <v>217</v>
      </c>
      <c r="C8" s="8" t="s">
        <v>218</v>
      </c>
      <c r="D8" s="136"/>
      <c r="E8" s="136"/>
    </row>
    <row r="9" spans="1:5" x14ac:dyDescent="0.35">
      <c r="A9" s="8" t="s">
        <v>219</v>
      </c>
      <c r="B9" s="8" t="s">
        <v>220</v>
      </c>
      <c r="C9" s="8" t="s">
        <v>221</v>
      </c>
      <c r="D9" s="135"/>
      <c r="E9" s="135"/>
    </row>
    <row r="10" spans="1:5" x14ac:dyDescent="0.35">
      <c r="A10" s="8" t="s">
        <v>222</v>
      </c>
      <c r="B10" s="8" t="s">
        <v>223</v>
      </c>
      <c r="C10" s="8" t="s">
        <v>224</v>
      </c>
      <c r="D10" s="135"/>
      <c r="E10" s="135"/>
    </row>
    <row r="11" spans="1:5" x14ac:dyDescent="0.35">
      <c r="A11" s="134"/>
      <c r="B11" s="8" t="s">
        <v>225</v>
      </c>
      <c r="C11" s="8" t="s">
        <v>226</v>
      </c>
      <c r="D11" s="135"/>
      <c r="E11" s="135"/>
    </row>
    <row r="12" spans="1:5" x14ac:dyDescent="0.35">
      <c r="A12" s="134"/>
      <c r="B12" s="8" t="s">
        <v>227</v>
      </c>
      <c r="C12" s="8" t="s">
        <v>228</v>
      </c>
      <c r="D12" s="135"/>
      <c r="E12" s="135"/>
    </row>
    <row r="13" spans="1:5" x14ac:dyDescent="0.35">
      <c r="A13" s="134"/>
      <c r="B13" s="8" t="s">
        <v>229</v>
      </c>
      <c r="C13" s="8" t="s">
        <v>230</v>
      </c>
      <c r="D13" s="135"/>
      <c r="E13" s="135"/>
    </row>
    <row r="14" spans="1:5" x14ac:dyDescent="0.35">
      <c r="A14" s="134"/>
      <c r="B14" s="8" t="s">
        <v>231</v>
      </c>
      <c r="C14" s="8" t="s">
        <v>232</v>
      </c>
      <c r="D14" s="135"/>
      <c r="E14" s="135"/>
    </row>
    <row r="15" spans="1:5" x14ac:dyDescent="0.35">
      <c r="A15" s="134"/>
      <c r="B15" s="8" t="s">
        <v>233</v>
      </c>
      <c r="C15" s="8" t="s">
        <v>234</v>
      </c>
      <c r="D15" s="135"/>
      <c r="E15" s="135"/>
    </row>
    <row r="16" spans="1:5" x14ac:dyDescent="0.35">
      <c r="A16" s="134"/>
      <c r="B16" s="8" t="s">
        <v>235</v>
      </c>
      <c r="C16" s="8" t="s">
        <v>236</v>
      </c>
      <c r="D16" s="135"/>
      <c r="E16" s="135"/>
    </row>
    <row r="17" spans="1:5" x14ac:dyDescent="0.35">
      <c r="A17" s="134"/>
      <c r="B17" s="8" t="s">
        <v>237</v>
      </c>
      <c r="C17" s="8" t="s">
        <v>238</v>
      </c>
      <c r="D17" s="135"/>
      <c r="E17" s="135"/>
    </row>
    <row r="18" spans="1:5" x14ac:dyDescent="0.35">
      <c r="A18" s="134"/>
      <c r="B18" s="8" t="s">
        <v>239</v>
      </c>
      <c r="C18" s="8" t="s">
        <v>240</v>
      </c>
      <c r="D18" s="135"/>
      <c r="E18" s="135"/>
    </row>
    <row r="19" spans="1:5" x14ac:dyDescent="0.35">
      <c r="A19" s="134"/>
      <c r="B19" s="8" t="s">
        <v>241</v>
      </c>
      <c r="C19" s="8" t="s">
        <v>242</v>
      </c>
      <c r="D19" s="135"/>
      <c r="E19" s="135"/>
    </row>
    <row r="20" spans="1:5" x14ac:dyDescent="0.35">
      <c r="A20" s="134"/>
      <c r="B20" s="8" t="s">
        <v>243</v>
      </c>
      <c r="C20" s="8" t="s">
        <v>244</v>
      </c>
      <c r="D20" s="135"/>
      <c r="E20" s="135"/>
    </row>
    <row r="21" spans="1:5" x14ac:dyDescent="0.35">
      <c r="A21" s="134"/>
      <c r="B21" s="8" t="s">
        <v>245</v>
      </c>
      <c r="C21" s="8" t="s">
        <v>246</v>
      </c>
      <c r="D21" s="135"/>
      <c r="E21" s="135"/>
    </row>
    <row r="22" spans="1:5" x14ac:dyDescent="0.35"/>
    <row r="23" spans="1:5" ht="13.15" x14ac:dyDescent="0.35">
      <c r="A23" s="130" t="s">
        <v>127</v>
      </c>
      <c r="B23" s="131"/>
      <c r="C23" s="111"/>
      <c r="D23" s="137"/>
      <c r="E23" s="3"/>
    </row>
    <row r="24" spans="1:5" x14ac:dyDescent="0.35"/>
  </sheetData>
  <printOptions headings="1"/>
  <pageMargins left="0.7" right="0.7" top="0.75" bottom="0.75" header="0.3" footer="0.3"/>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39"/>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23" customWidth="1"/>
    <col min="2" max="2" width="1.625" style="125" customWidth="1"/>
    <col min="3" max="3" width="1.625" style="120" customWidth="1"/>
    <col min="4" max="4" width="1.625" style="200" customWidth="1"/>
    <col min="5" max="5" width="52.125" style="110" customWidth="1"/>
    <col min="6" max="7" width="15.625" style="110" customWidth="1"/>
    <col min="8" max="8" width="15.625" style="33" customWidth="1"/>
    <col min="9" max="9" width="2.625" style="33" customWidth="1"/>
    <col min="10" max="20" width="11.625" style="33" customWidth="1"/>
    <col min="21" max="16384" width="11.625" style="33" hidden="1"/>
  </cols>
  <sheetData>
    <row r="1" spans="1:20" s="128" customFormat="1" ht="29.25" x14ac:dyDescent="0.35">
      <c r="A1" s="182" t="str">
        <f ca="1" xml:space="preserve"> RIGHT(CELL("filename", $A$1), LEN(CELL("filename", $A$1)) - SEARCH("]", CELL("filename", $A$1)))</f>
        <v>Outputs</v>
      </c>
      <c r="B1" s="197"/>
      <c r="C1" s="198"/>
      <c r="D1" s="199"/>
      <c r="E1" s="180"/>
      <c r="F1" s="180"/>
      <c r="G1" s="180"/>
      <c r="H1" s="91" t="str">
        <f>Inputs!F9</f>
        <v>Wessex Water</v>
      </c>
      <c r="I1" s="127"/>
      <c r="J1" s="127"/>
      <c r="K1" s="127"/>
      <c r="L1" s="127"/>
      <c r="M1" s="127"/>
      <c r="N1" s="127"/>
      <c r="O1" s="127"/>
      <c r="P1" s="127"/>
      <c r="Q1" s="127"/>
      <c r="R1" s="127"/>
      <c r="S1" s="127"/>
      <c r="T1" s="127"/>
    </row>
    <row r="2" spans="1:20" s="17" customFormat="1"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35">
      <c r="A6" s="181"/>
      <c r="B6" s="186"/>
      <c r="C6" s="187"/>
      <c r="D6" s="188"/>
      <c r="E6" s="156"/>
      <c r="F6" s="181"/>
      <c r="G6" s="181"/>
      <c r="H6" s="22"/>
      <c r="I6" s="27"/>
      <c r="J6" s="27"/>
      <c r="K6" s="27"/>
      <c r="L6" s="27"/>
      <c r="M6" s="27"/>
      <c r="N6" s="27"/>
      <c r="O6" s="27"/>
      <c r="P6" s="27"/>
      <c r="Q6" s="27"/>
      <c r="R6" s="27"/>
      <c r="S6" s="27"/>
      <c r="T6" s="27"/>
    </row>
    <row r="7" spans="1:20" s="9" customFormat="1" x14ac:dyDescent="0.35">
      <c r="A7" s="83" t="s">
        <v>313</v>
      </c>
      <c r="B7" s="163"/>
      <c r="C7" s="163"/>
      <c r="D7" s="163"/>
      <c r="E7" s="164"/>
      <c r="F7" s="86"/>
      <c r="G7" s="86"/>
      <c r="H7" s="87"/>
      <c r="I7" s="88"/>
      <c r="J7" s="87"/>
      <c r="K7" s="87"/>
      <c r="L7" s="87"/>
      <c r="M7" s="87"/>
      <c r="N7" s="87"/>
      <c r="O7" s="87"/>
      <c r="P7" s="87"/>
      <c r="Q7" s="87"/>
      <c r="R7" s="87"/>
      <c r="S7" s="87"/>
      <c r="T7" s="87"/>
    </row>
    <row r="8" spans="1:20" x14ac:dyDescent="0.35"/>
    <row r="9" spans="1:20" x14ac:dyDescent="0.35">
      <c r="C9" s="120" t="s">
        <v>314</v>
      </c>
    </row>
    <row r="10" spans="1:20" x14ac:dyDescent="0.35">
      <c r="E10" s="281" t="str">
        <f ca="1" xml:space="preserve"> 'Water resources'!E76</f>
        <v>Revised K - Water resources</v>
      </c>
      <c r="F10" s="219">
        <f xml:space="preserve"> 'Water resources'!F76</f>
        <v>0</v>
      </c>
      <c r="G10" s="281" t="str">
        <f xml:space="preserve"> 'Water resources'!G76</f>
        <v>Number</v>
      </c>
      <c r="H10" s="219">
        <f xml:space="preserve"> 'Water resources'!H76</f>
        <v>0</v>
      </c>
      <c r="I10" s="219">
        <f xml:space="preserve"> 'Water resources'!I76</f>
        <v>0</v>
      </c>
      <c r="J10" s="219">
        <f xml:space="preserve"> 'Water resources'!J76</f>
        <v>0</v>
      </c>
      <c r="K10" s="219">
        <f xml:space="preserve"> 'Water resources'!K76</f>
        <v>0</v>
      </c>
      <c r="L10" s="219">
        <f xml:space="preserve"> 'Water resources'!L76</f>
        <v>0</v>
      </c>
      <c r="M10" s="219">
        <f xml:space="preserve"> 'Water resources'!M76</f>
        <v>0</v>
      </c>
      <c r="N10" s="219">
        <f xml:space="preserve"> 'Water resources'!N76</f>
        <v>0</v>
      </c>
      <c r="O10" s="219">
        <f xml:space="preserve"> 'Water resources'!O76</f>
        <v>0</v>
      </c>
      <c r="P10" s="348">
        <f ca="1" xml:space="preserve"> 'Water resources'!P76</f>
        <v>3.95</v>
      </c>
      <c r="Q10" s="348">
        <f ca="1" xml:space="preserve"> 'Water resources'!Q76</f>
        <v>0.4</v>
      </c>
      <c r="R10" s="348">
        <f xml:space="preserve"> 'Water resources'!R76</f>
        <v>0.5</v>
      </c>
      <c r="S10" s="348">
        <f xml:space="preserve"> 'Water resources'!S76</f>
        <v>0.44</v>
      </c>
      <c r="T10" s="219">
        <f xml:space="preserve"> 'Water resources'!T76</f>
        <v>0</v>
      </c>
    </row>
    <row r="11" spans="1:20" x14ac:dyDescent="0.35">
      <c r="C11" s="201"/>
      <c r="E11" s="281" t="str">
        <f xml:space="preserve"> 'Water network plus'!E$76</f>
        <v>Revised K - Water network plus</v>
      </c>
      <c r="F11" s="219">
        <f xml:space="preserve"> 'Water network plus'!F$76</f>
        <v>0</v>
      </c>
      <c r="G11" s="281" t="str">
        <f xml:space="preserve"> 'Water network plus'!G$76</f>
        <v>Number</v>
      </c>
      <c r="H11" s="219">
        <f xml:space="preserve"> 'Water network plus'!H$76</f>
        <v>0</v>
      </c>
      <c r="I11" s="219">
        <f xml:space="preserve"> 'Water network plus'!I$76</f>
        <v>0</v>
      </c>
      <c r="J11" s="219">
        <f xml:space="preserve"> 'Water network plus'!J$76</f>
        <v>0</v>
      </c>
      <c r="K11" s="219">
        <f xml:space="preserve"> 'Water network plus'!K$76</f>
        <v>0</v>
      </c>
      <c r="L11" s="219">
        <f xml:space="preserve"> 'Water network plus'!L$76</f>
        <v>0</v>
      </c>
      <c r="M11" s="219">
        <f xml:space="preserve"> 'Water network plus'!M$76</f>
        <v>0</v>
      </c>
      <c r="N11" s="219">
        <f xml:space="preserve"> 'Water network plus'!N$76</f>
        <v>0</v>
      </c>
      <c r="O11" s="219">
        <f xml:space="preserve"> 'Water network plus'!O$76</f>
        <v>0</v>
      </c>
      <c r="P11" s="348">
        <f xml:space="preserve"> 'Water network plus'!P$76</f>
        <v>1.1099999999999999</v>
      </c>
      <c r="Q11" s="348">
        <f xml:space="preserve"> 'Water network plus'!Q$76</f>
        <v>-0.01</v>
      </c>
      <c r="R11" s="348">
        <f xml:space="preserve"> 'Water network plus'!R$76</f>
        <v>0.21</v>
      </c>
      <c r="S11" s="348">
        <f xml:space="preserve"> 'Water network plus'!S$76</f>
        <v>0.13</v>
      </c>
      <c r="T11" s="219">
        <f xml:space="preserve"> 'Water network plus'!T$76</f>
        <v>0</v>
      </c>
    </row>
    <row r="12" spans="1:20" x14ac:dyDescent="0.35">
      <c r="C12" s="201"/>
      <c r="E12" s="281" t="str">
        <f xml:space="preserve"> 'Wastewater network plus'!E$76</f>
        <v>Revised K - Wastewater network plus</v>
      </c>
      <c r="F12" s="219">
        <f xml:space="preserve"> 'Wastewater network plus'!F$76</f>
        <v>0</v>
      </c>
      <c r="G12" s="281" t="str">
        <f xml:space="preserve"> 'Wastewater network plus'!G$76</f>
        <v>Number</v>
      </c>
      <c r="H12" s="219">
        <f xml:space="preserve"> 'Wastewater network plus'!H$76</f>
        <v>0</v>
      </c>
      <c r="I12" s="219">
        <f xml:space="preserve"> 'Wastewater network plus'!I$76</f>
        <v>0</v>
      </c>
      <c r="J12" s="219">
        <f xml:space="preserve"> 'Wastewater network plus'!J$76</f>
        <v>0</v>
      </c>
      <c r="K12" s="219">
        <f xml:space="preserve"> 'Wastewater network plus'!K$76</f>
        <v>0</v>
      </c>
      <c r="L12" s="219">
        <f xml:space="preserve"> 'Wastewater network plus'!L$76</f>
        <v>0</v>
      </c>
      <c r="M12" s="219">
        <f xml:space="preserve"> 'Wastewater network plus'!M$76</f>
        <v>0</v>
      </c>
      <c r="N12" s="219">
        <f xml:space="preserve"> 'Wastewater network plus'!N$76</f>
        <v>0</v>
      </c>
      <c r="O12" s="219">
        <f xml:space="preserve"> 'Wastewater network plus'!O$76</f>
        <v>0</v>
      </c>
      <c r="P12" s="348">
        <f xml:space="preserve"> 'Wastewater network plus'!P$76</f>
        <v>0.49</v>
      </c>
      <c r="Q12" s="348">
        <f xml:space="preserve"> 'Wastewater network plus'!Q$76</f>
        <v>0.55000000000000004</v>
      </c>
      <c r="R12" s="348">
        <f xml:space="preserve"> 'Wastewater network plus'!R$76</f>
        <v>0.13</v>
      </c>
      <c r="S12" s="348">
        <f xml:space="preserve"> 'Wastewater network plus'!S$76</f>
        <v>0.16</v>
      </c>
      <c r="T12" s="219">
        <f xml:space="preserve"> 'Wastewater network plus'!T$76</f>
        <v>0</v>
      </c>
    </row>
    <row r="13" spans="1:20" x14ac:dyDescent="0.35">
      <c r="C13" s="202"/>
      <c r="D13" s="203"/>
      <c r="E13" s="281" t="str">
        <f xml:space="preserve"> 'Dummy control'!E$76</f>
        <v>Revised K - Dummy control</v>
      </c>
      <c r="F13" s="219">
        <f xml:space="preserve"> 'Dummy control'!F$76</f>
        <v>0</v>
      </c>
      <c r="G13" s="281" t="str">
        <f xml:space="preserve"> 'Dummy control'!G$76</f>
        <v>Number</v>
      </c>
      <c r="H13" s="219">
        <f xml:space="preserve"> 'Dummy control'!H$76</f>
        <v>0</v>
      </c>
      <c r="I13" s="219">
        <f xml:space="preserve"> 'Dummy control'!I$76</f>
        <v>0</v>
      </c>
      <c r="J13" s="219">
        <f xml:space="preserve"> 'Dummy control'!J$76</f>
        <v>0</v>
      </c>
      <c r="K13" s="219">
        <f xml:space="preserve"> 'Dummy control'!K$76</f>
        <v>0</v>
      </c>
      <c r="L13" s="219">
        <f xml:space="preserve"> 'Dummy control'!L$76</f>
        <v>0</v>
      </c>
      <c r="M13" s="219">
        <f xml:space="preserve"> 'Dummy control'!M$76</f>
        <v>0</v>
      </c>
      <c r="N13" s="219">
        <f xml:space="preserve"> 'Dummy control'!N$76</f>
        <v>0</v>
      </c>
      <c r="O13" s="219">
        <f xml:space="preserve"> 'Dummy control'!O$76</f>
        <v>0</v>
      </c>
      <c r="P13" s="348">
        <f xml:space="preserve"> 'Dummy control'!P$76</f>
        <v>0</v>
      </c>
      <c r="Q13" s="348">
        <f xml:space="preserve"> 'Dummy control'!Q$76</f>
        <v>0</v>
      </c>
      <c r="R13" s="348">
        <f xml:space="preserve"> 'Dummy control'!R$76</f>
        <v>0</v>
      </c>
      <c r="S13" s="348">
        <f xml:space="preserve"> 'Dummy control'!S$76</f>
        <v>0</v>
      </c>
      <c r="T13" s="219">
        <f xml:space="preserve"> 'Dummy control'!T$76</f>
        <v>0</v>
      </c>
    </row>
    <row r="14" spans="1:20" x14ac:dyDescent="0.35">
      <c r="C14" s="202"/>
      <c r="D14" s="203"/>
      <c r="F14" s="219"/>
      <c r="H14" s="219"/>
      <c r="I14" s="219"/>
      <c r="P14" s="349"/>
      <c r="Q14" s="349"/>
      <c r="R14" s="349"/>
      <c r="S14" s="349"/>
    </row>
    <row r="15" spans="1:20" x14ac:dyDescent="0.35">
      <c r="C15" s="120" t="s">
        <v>82</v>
      </c>
      <c r="D15" s="203"/>
      <c r="F15" s="219"/>
      <c r="H15" s="219"/>
      <c r="I15" s="219"/>
      <c r="P15" s="349"/>
      <c r="Q15" s="349"/>
      <c r="R15" s="349"/>
      <c r="S15" s="349"/>
    </row>
    <row r="16" spans="1:20" x14ac:dyDescent="0.35">
      <c r="C16" s="201"/>
      <c r="E16" s="282" t="str">
        <f xml:space="preserve"> 'Bioresources (sludge)'!E$58</f>
        <v>Revised total revenue (URt)</v>
      </c>
      <c r="F16" s="219">
        <f xml:space="preserve"> 'Bioresources (sludge)'!F$58</f>
        <v>0</v>
      </c>
      <c r="G16" s="282" t="str">
        <f xml:space="preserve"> 'Bioresources (sludge)'!G$58</f>
        <v>£m (2017-18 Nov CPIH prices)</v>
      </c>
      <c r="H16" s="219">
        <f xml:space="preserve"> 'Bioresources (sludge)'!H$58</f>
        <v>0</v>
      </c>
      <c r="I16" s="219">
        <f xml:space="preserve"> 'Bioresources (sludge)'!I$58</f>
        <v>0</v>
      </c>
      <c r="J16" s="283">
        <f xml:space="preserve"> 'Bioresources (sludge)'!J$58</f>
        <v>0</v>
      </c>
      <c r="K16" s="283">
        <f xml:space="preserve"> 'Bioresources (sludge)'!K$58</f>
        <v>0</v>
      </c>
      <c r="L16" s="283">
        <f xml:space="preserve"> 'Bioresources (sludge)'!L$58</f>
        <v>0</v>
      </c>
      <c r="M16" s="283">
        <f xml:space="preserve"> 'Bioresources (sludge)'!M$58</f>
        <v>0</v>
      </c>
      <c r="N16" s="283">
        <f xml:space="preserve"> 'Bioresources (sludge)'!N$58</f>
        <v>0</v>
      </c>
      <c r="O16" s="283">
        <f xml:space="preserve"> 'Bioresources (sludge)'!O$58</f>
        <v>0</v>
      </c>
      <c r="P16" s="350">
        <f xml:space="preserve"> 'Bioresources (sludge)'!P$58</f>
        <v>30.982457462417532</v>
      </c>
      <c r="Q16" s="350">
        <f xml:space="preserve"> 'Bioresources (sludge)'!Q$58</f>
        <v>31.187467802943388</v>
      </c>
      <c r="R16" s="350">
        <f xml:space="preserve"> 'Bioresources (sludge)'!R$58</f>
        <v>31.55778121804061</v>
      </c>
      <c r="S16" s="350">
        <f xml:space="preserve"> 'Bioresources (sludge)'!S$58</f>
        <v>32.144758193019889</v>
      </c>
      <c r="T16" s="283">
        <f xml:space="preserve"> 'Bioresources (sludge)'!T$58</f>
        <v>0</v>
      </c>
    </row>
    <row r="17" spans="1:20" x14ac:dyDescent="0.35">
      <c r="C17" s="201"/>
      <c r="F17" s="219"/>
      <c r="H17" s="219"/>
      <c r="I17" s="219"/>
      <c r="P17" s="349"/>
      <c r="Q17" s="349"/>
      <c r="R17" s="349"/>
      <c r="S17" s="349"/>
    </row>
    <row r="18" spans="1:20" x14ac:dyDescent="0.35">
      <c r="C18" s="202" t="s">
        <v>78</v>
      </c>
      <c r="F18" s="219"/>
      <c r="H18" s="219"/>
      <c r="I18" s="219"/>
      <c r="P18" s="349"/>
      <c r="Q18" s="349"/>
      <c r="R18" s="349"/>
      <c r="S18" s="349"/>
    </row>
    <row r="19" spans="1:20" x14ac:dyDescent="0.35">
      <c r="C19" s="202"/>
      <c r="E19" s="219" t="str">
        <f xml:space="preserve"> 'Residential retail'!E$53</f>
        <v>Revised total revenue (TRt)</v>
      </c>
      <c r="F19" s="219">
        <f xml:space="preserve"> 'Residential retail'!F$53</f>
        <v>0</v>
      </c>
      <c r="G19" s="219" t="str">
        <f xml:space="preserve"> 'Residential retail'!G$53</f>
        <v>£m (nominal)</v>
      </c>
      <c r="H19" s="219">
        <f xml:space="preserve"> 'Residential retail'!H$53</f>
        <v>0</v>
      </c>
      <c r="I19" s="219">
        <f xml:space="preserve"> 'Residential retail'!I$53</f>
        <v>0</v>
      </c>
      <c r="J19" s="320">
        <f xml:space="preserve"> 'Residential retail'!J$53</f>
        <v>0</v>
      </c>
      <c r="K19" s="320">
        <f xml:space="preserve"> 'Residential retail'!K$53</f>
        <v>0</v>
      </c>
      <c r="L19" s="320">
        <f xml:space="preserve"> 'Residential retail'!L$53</f>
        <v>0</v>
      </c>
      <c r="M19" s="320">
        <f xml:space="preserve"> 'Residential retail'!M$53</f>
        <v>0</v>
      </c>
      <c r="N19" s="320">
        <f xml:space="preserve"> 'Residential retail'!N$53</f>
        <v>0</v>
      </c>
      <c r="O19" s="320">
        <f xml:space="preserve"> 'Residential retail'!O$53</f>
        <v>0</v>
      </c>
      <c r="P19" s="348">
        <f xml:space="preserve"> 'Residential retail'!P$53</f>
        <v>31.902510731770601</v>
      </c>
      <c r="Q19" s="348">
        <f xml:space="preserve"> 'Residential retail'!Q$53</f>
        <v>32.716490318083103</v>
      </c>
      <c r="R19" s="348">
        <f xml:space="preserve"> 'Residential retail'!R$53</f>
        <v>33.448142797569197</v>
      </c>
      <c r="S19" s="348">
        <f xml:space="preserve"> 'Residential retail'!S$53</f>
        <v>34.196410189452202</v>
      </c>
      <c r="T19" s="320">
        <f xml:space="preserve"> 'Residential retail'!T$53</f>
        <v>0</v>
      </c>
    </row>
    <row r="20" spans="1:20" x14ac:dyDescent="0.35">
      <c r="C20" s="202"/>
      <c r="F20" s="219"/>
      <c r="H20" s="219"/>
      <c r="I20" s="219"/>
    </row>
    <row r="21" spans="1:20" x14ac:dyDescent="0.35">
      <c r="C21" s="202" t="s">
        <v>80</v>
      </c>
      <c r="F21" s="219"/>
      <c r="H21" s="219"/>
      <c r="I21" s="219"/>
      <c r="J21" s="129"/>
      <c r="K21" s="129"/>
      <c r="L21" s="129"/>
      <c r="M21" s="129"/>
      <c r="N21" s="129"/>
      <c r="O21" s="129"/>
      <c r="P21" s="129"/>
      <c r="Q21" s="129"/>
      <c r="R21" s="129"/>
      <c r="S21" s="129"/>
      <c r="T21" s="129"/>
    </row>
    <row r="22" spans="1:20" x14ac:dyDescent="0.35">
      <c r="C22" s="110"/>
      <c r="E22" s="281" t="str">
        <f xml:space="preserve"> 'Business retail'!E$95</f>
        <v>Customer type 1 - revised allowed average retail cost component (rct)</v>
      </c>
      <c r="F22" s="219">
        <f xml:space="preserve"> 'Business retail'!F$95</f>
        <v>0</v>
      </c>
      <c r="G22" s="281" t="str">
        <f xml:space="preserve"> 'Business retail'!G$95</f>
        <v>£ (nominal)</v>
      </c>
      <c r="H22" s="219">
        <f xml:space="preserve"> 'Business retail'!H$95</f>
        <v>0</v>
      </c>
      <c r="I22" s="219">
        <f xml:space="preserve"> 'Business retail'!I$95</f>
        <v>0</v>
      </c>
      <c r="J22" s="283">
        <f xml:space="preserve"> 'Business retail'!J$95</f>
        <v>0</v>
      </c>
      <c r="K22" s="283">
        <f xml:space="preserve"> 'Business retail'!K$95</f>
        <v>0</v>
      </c>
      <c r="L22" s="283">
        <f xml:space="preserve"> 'Business retail'!L$95</f>
        <v>0</v>
      </c>
      <c r="M22" s="283">
        <f xml:space="preserve"> 'Business retail'!M$95</f>
        <v>0</v>
      </c>
      <c r="N22" s="283">
        <f xml:space="preserve"> 'Business retail'!N$95</f>
        <v>0</v>
      </c>
      <c r="O22" s="283">
        <f xml:space="preserve"> 'Business retail'!O$95</f>
        <v>0</v>
      </c>
      <c r="P22" s="283">
        <f xml:space="preserve"> 'Business retail'!P$95</f>
        <v>0</v>
      </c>
      <c r="Q22" s="283">
        <f xml:space="preserve"> 'Business retail'!Q$95</f>
        <v>0</v>
      </c>
      <c r="R22" s="283">
        <f xml:space="preserve"> 'Business retail'!R$95</f>
        <v>0</v>
      </c>
      <c r="S22" s="283">
        <f xml:space="preserve"> 'Business retail'!S$95</f>
        <v>0</v>
      </c>
      <c r="T22" s="283">
        <f xml:space="preserve"> 'Business retail'!T$95</f>
        <v>0</v>
      </c>
    </row>
    <row r="23" spans="1:20" x14ac:dyDescent="0.35">
      <c r="C23" s="110"/>
      <c r="E23" s="281" t="str">
        <f xml:space="preserve"> 'Business retail'!E$96</f>
        <v>Customer type 2 - revised allowed average retail cost component (rct)</v>
      </c>
      <c r="F23" s="219">
        <f xml:space="preserve"> 'Business retail'!F$96</f>
        <v>0</v>
      </c>
      <c r="G23" s="281" t="str">
        <f xml:space="preserve"> 'Business retail'!G$96</f>
        <v>£ (nominal)</v>
      </c>
      <c r="H23" s="219">
        <f xml:space="preserve"> 'Business retail'!H$96</f>
        <v>0</v>
      </c>
      <c r="I23" s="219">
        <f xml:space="preserve"> 'Business retail'!I$96</f>
        <v>0</v>
      </c>
      <c r="J23" s="283">
        <f xml:space="preserve"> 'Business retail'!J$96</f>
        <v>0</v>
      </c>
      <c r="K23" s="283">
        <f xml:space="preserve"> 'Business retail'!K$96</f>
        <v>0</v>
      </c>
      <c r="L23" s="283">
        <f xml:space="preserve"> 'Business retail'!L$96</f>
        <v>0</v>
      </c>
      <c r="M23" s="283">
        <f xml:space="preserve"> 'Business retail'!M$96</f>
        <v>0</v>
      </c>
      <c r="N23" s="283">
        <f xml:space="preserve"> 'Business retail'!N$96</f>
        <v>0</v>
      </c>
      <c r="O23" s="283">
        <f xml:space="preserve"> 'Business retail'!O$96</f>
        <v>0</v>
      </c>
      <c r="P23" s="283">
        <f xml:space="preserve"> 'Business retail'!P$96</f>
        <v>0</v>
      </c>
      <c r="Q23" s="283">
        <f xml:space="preserve"> 'Business retail'!Q$96</f>
        <v>0</v>
      </c>
      <c r="R23" s="283">
        <f xml:space="preserve"> 'Business retail'!R$96</f>
        <v>0</v>
      </c>
      <c r="S23" s="283">
        <f xml:space="preserve"> 'Business retail'!S$96</f>
        <v>0</v>
      </c>
      <c r="T23" s="283">
        <f xml:space="preserve"> 'Business retail'!T$96</f>
        <v>0</v>
      </c>
    </row>
    <row r="24" spans="1:20" x14ac:dyDescent="0.35">
      <c r="C24" s="110"/>
      <c r="E24" s="281" t="str">
        <f xml:space="preserve"> 'Business retail'!E$97</f>
        <v>Customer type 3 - revised allowed average retail cost component (rct)</v>
      </c>
      <c r="F24" s="219">
        <f xml:space="preserve"> 'Business retail'!F$97</f>
        <v>0</v>
      </c>
      <c r="G24" s="281" t="str">
        <f xml:space="preserve"> 'Business retail'!G$97</f>
        <v>£ (nominal)</v>
      </c>
      <c r="H24" s="219">
        <f xml:space="preserve"> 'Business retail'!H$97</f>
        <v>0</v>
      </c>
      <c r="I24" s="219">
        <f xml:space="preserve"> 'Business retail'!I$97</f>
        <v>0</v>
      </c>
      <c r="J24" s="283">
        <f xml:space="preserve"> 'Business retail'!J$97</f>
        <v>0</v>
      </c>
      <c r="K24" s="283">
        <f xml:space="preserve"> 'Business retail'!K$97</f>
        <v>0</v>
      </c>
      <c r="L24" s="283">
        <f xml:space="preserve"> 'Business retail'!L$97</f>
        <v>0</v>
      </c>
      <c r="M24" s="283">
        <f xml:space="preserve"> 'Business retail'!M$97</f>
        <v>0</v>
      </c>
      <c r="N24" s="283">
        <f xml:space="preserve"> 'Business retail'!N$97</f>
        <v>0</v>
      </c>
      <c r="O24" s="283">
        <f xml:space="preserve"> 'Business retail'!O$97</f>
        <v>0</v>
      </c>
      <c r="P24" s="283">
        <f xml:space="preserve"> 'Business retail'!P$97</f>
        <v>0</v>
      </c>
      <c r="Q24" s="283">
        <f xml:space="preserve"> 'Business retail'!Q$97</f>
        <v>0</v>
      </c>
      <c r="R24" s="283">
        <f xml:space="preserve"> 'Business retail'!R$97</f>
        <v>0</v>
      </c>
      <c r="S24" s="283">
        <f xml:space="preserve"> 'Business retail'!S$97</f>
        <v>0</v>
      </c>
      <c r="T24" s="283">
        <f xml:space="preserve"> 'Business retail'!T$97</f>
        <v>0</v>
      </c>
    </row>
    <row r="25" spans="1:20" x14ac:dyDescent="0.35">
      <c r="C25" s="110"/>
      <c r="E25" s="281" t="str">
        <f xml:space="preserve"> 'Business retail'!E$98</f>
        <v>Customer type 4 - revised allowed average retail cost component (rct)</v>
      </c>
      <c r="F25" s="219">
        <f xml:space="preserve"> 'Business retail'!F$98</f>
        <v>0</v>
      </c>
      <c r="G25" s="281" t="str">
        <f xml:space="preserve"> 'Business retail'!G$98</f>
        <v>£ (nominal)</v>
      </c>
      <c r="H25" s="219">
        <f xml:space="preserve"> 'Business retail'!H$98</f>
        <v>0</v>
      </c>
      <c r="I25" s="219">
        <f xml:space="preserve"> 'Business retail'!I$98</f>
        <v>0</v>
      </c>
      <c r="J25" s="283">
        <f xml:space="preserve"> 'Business retail'!J$98</f>
        <v>0</v>
      </c>
      <c r="K25" s="283">
        <f xml:space="preserve"> 'Business retail'!K$98</f>
        <v>0</v>
      </c>
      <c r="L25" s="283">
        <f xml:space="preserve"> 'Business retail'!L$98</f>
        <v>0</v>
      </c>
      <c r="M25" s="283">
        <f xml:space="preserve"> 'Business retail'!M$98</f>
        <v>0</v>
      </c>
      <c r="N25" s="283">
        <f xml:space="preserve"> 'Business retail'!N$98</f>
        <v>0</v>
      </c>
      <c r="O25" s="283">
        <f xml:space="preserve"> 'Business retail'!O$98</f>
        <v>0</v>
      </c>
      <c r="P25" s="283">
        <f xml:space="preserve"> 'Business retail'!P$98</f>
        <v>0</v>
      </c>
      <c r="Q25" s="283">
        <f xml:space="preserve"> 'Business retail'!Q$98</f>
        <v>0</v>
      </c>
      <c r="R25" s="283">
        <f xml:space="preserve"> 'Business retail'!R$98</f>
        <v>0</v>
      </c>
      <c r="S25" s="283">
        <f xml:space="preserve"> 'Business retail'!S$98</f>
        <v>0</v>
      </c>
      <c r="T25" s="283">
        <f xml:space="preserve"> 'Business retail'!T$98</f>
        <v>0</v>
      </c>
    </row>
    <row r="26" spans="1:20" x14ac:dyDescent="0.35">
      <c r="C26" s="110"/>
      <c r="E26" s="281" t="str">
        <f xml:space="preserve"> 'Business retail'!E$99</f>
        <v>Customer type 5 - revised allowed average retail cost component (rct)</v>
      </c>
      <c r="F26" s="219">
        <f xml:space="preserve"> 'Business retail'!F$99</f>
        <v>0</v>
      </c>
      <c r="G26" s="281" t="str">
        <f xml:space="preserve"> 'Business retail'!G$99</f>
        <v>£ (nominal)</v>
      </c>
      <c r="H26" s="219">
        <f xml:space="preserve"> 'Business retail'!H$99</f>
        <v>0</v>
      </c>
      <c r="I26" s="219">
        <f xml:space="preserve"> 'Business retail'!I$99</f>
        <v>0</v>
      </c>
      <c r="J26" s="283">
        <f xml:space="preserve"> 'Business retail'!J$99</f>
        <v>0</v>
      </c>
      <c r="K26" s="283">
        <f xml:space="preserve"> 'Business retail'!K$99</f>
        <v>0</v>
      </c>
      <c r="L26" s="283">
        <f xml:space="preserve"> 'Business retail'!L$99</f>
        <v>0</v>
      </c>
      <c r="M26" s="283">
        <f xml:space="preserve"> 'Business retail'!M$99</f>
        <v>0</v>
      </c>
      <c r="N26" s="283">
        <f xml:space="preserve"> 'Business retail'!N$99</f>
        <v>0</v>
      </c>
      <c r="O26" s="283">
        <f xml:space="preserve"> 'Business retail'!O$99</f>
        <v>0</v>
      </c>
      <c r="P26" s="283">
        <f xml:space="preserve"> 'Business retail'!P$99</f>
        <v>0</v>
      </c>
      <c r="Q26" s="283">
        <f xml:space="preserve"> 'Business retail'!Q$99</f>
        <v>0</v>
      </c>
      <c r="R26" s="283">
        <f xml:space="preserve"> 'Business retail'!R$99</f>
        <v>0</v>
      </c>
      <c r="S26" s="283">
        <f xml:space="preserve"> 'Business retail'!S$99</f>
        <v>0</v>
      </c>
      <c r="T26" s="283">
        <f xml:space="preserve"> 'Business retail'!T$99</f>
        <v>0</v>
      </c>
    </row>
    <row r="27" spans="1:20" x14ac:dyDescent="0.35">
      <c r="C27" s="201"/>
    </row>
    <row r="28" spans="1:20" s="9" customFormat="1" x14ac:dyDescent="0.35">
      <c r="A28" s="83" t="s">
        <v>315</v>
      </c>
      <c r="B28" s="204"/>
      <c r="C28" s="164"/>
      <c r="D28" s="164"/>
      <c r="E28" s="164"/>
      <c r="F28" s="86"/>
      <c r="G28" s="86"/>
      <c r="H28" s="87"/>
      <c r="I28" s="88"/>
      <c r="J28" s="87"/>
      <c r="K28" s="87"/>
      <c r="L28" s="87"/>
      <c r="M28" s="87"/>
      <c r="N28" s="87"/>
      <c r="O28" s="87"/>
      <c r="P28" s="87"/>
      <c r="Q28" s="87"/>
      <c r="R28" s="87"/>
      <c r="S28" s="87"/>
      <c r="T28" s="87"/>
    </row>
    <row r="29" spans="1:20" x14ac:dyDescent="0.35">
      <c r="C29" s="201"/>
    </row>
    <row r="30" spans="1:20" x14ac:dyDescent="0.35">
      <c r="C30" s="201"/>
      <c r="E30" s="219" t="str">
        <f xml:space="preserve"> 'Abatements and deferrals'!E$100</f>
        <v>Water resources</v>
      </c>
      <c r="F30" s="320">
        <f xml:space="preserve"> 'Abatements and deferrals'!F$100</f>
        <v>0</v>
      </c>
      <c r="G30" s="219" t="str">
        <f xml:space="preserve"> 'Abatements and deferrals'!G$100</f>
        <v>£m (2017-18 FYA CPIH prices)</v>
      </c>
      <c r="H30" s="320">
        <f xml:space="preserve"> 'Abatements and deferrals'!H$100</f>
        <v>0</v>
      </c>
      <c r="I30" s="219">
        <f xml:space="preserve"> 'Abatements and deferrals'!I$100</f>
        <v>0</v>
      </c>
    </row>
    <row r="31" spans="1:20" x14ac:dyDescent="0.35">
      <c r="C31" s="201"/>
      <c r="E31" s="219" t="str">
        <f xml:space="preserve"> 'Abatements and deferrals'!E$101</f>
        <v>Water network plus</v>
      </c>
      <c r="F31" s="320">
        <f xml:space="preserve"> 'Abatements and deferrals'!F$101</f>
        <v>0</v>
      </c>
      <c r="G31" s="219" t="str">
        <f xml:space="preserve"> 'Abatements and deferrals'!G$101</f>
        <v>£m (2017-18 FYA CPIH prices)</v>
      </c>
      <c r="H31" s="320">
        <f xml:space="preserve"> 'Abatements and deferrals'!H$101</f>
        <v>0</v>
      </c>
      <c r="I31" s="219">
        <f xml:space="preserve"> 'Abatements and deferrals'!I$101</f>
        <v>0</v>
      </c>
    </row>
    <row r="32" spans="1:20" x14ac:dyDescent="0.35">
      <c r="C32" s="201"/>
      <c r="E32" s="219" t="str">
        <f xml:space="preserve"> 'Abatements and deferrals'!E$102</f>
        <v>Wastewater network plus</v>
      </c>
      <c r="F32" s="320">
        <f xml:space="preserve"> 'Abatements and deferrals'!F$102</f>
        <v>0</v>
      </c>
      <c r="G32" s="219" t="str">
        <f xml:space="preserve"> 'Abatements and deferrals'!G$102</f>
        <v>£m (2017-18 FYA CPIH prices)</v>
      </c>
      <c r="H32" s="320">
        <f xml:space="preserve"> 'Abatements and deferrals'!H$102</f>
        <v>0</v>
      </c>
      <c r="I32" s="219">
        <f xml:space="preserve"> 'Abatements and deferrals'!I$102</f>
        <v>0</v>
      </c>
    </row>
    <row r="33" spans="1:20" x14ac:dyDescent="0.35">
      <c r="C33" s="201"/>
      <c r="E33" s="219" t="str">
        <f xml:space="preserve"> 'Abatements and deferrals'!E$103</f>
        <v>Bioresources (sludge)</v>
      </c>
      <c r="F33" s="320">
        <f xml:space="preserve"> 'Abatements and deferrals'!F$103</f>
        <v>0</v>
      </c>
      <c r="G33" s="219" t="str">
        <f xml:space="preserve"> 'Abatements and deferrals'!G$103</f>
        <v>£m (2017-18 FYA CPIH prices)</v>
      </c>
      <c r="H33" s="320">
        <f xml:space="preserve"> 'Abatements and deferrals'!H$103</f>
        <v>0</v>
      </c>
      <c r="I33" s="219">
        <f xml:space="preserve"> 'Abatements and deferrals'!I$103</f>
        <v>0</v>
      </c>
    </row>
    <row r="34" spans="1:20" x14ac:dyDescent="0.35">
      <c r="C34" s="201"/>
      <c r="E34" s="219" t="str">
        <f xml:space="preserve"> 'Abatements and deferrals'!E$104</f>
        <v>Residential retail</v>
      </c>
      <c r="F34" s="320">
        <f xml:space="preserve"> 'Abatements and deferrals'!F$104</f>
        <v>0</v>
      </c>
      <c r="G34" s="219" t="str">
        <f xml:space="preserve"> 'Abatements and deferrals'!G$104</f>
        <v>£m (2017-18 FYA CPIH prices)</v>
      </c>
      <c r="H34" s="320">
        <f xml:space="preserve"> 'Abatements and deferrals'!H$104</f>
        <v>0</v>
      </c>
      <c r="I34" s="219">
        <f xml:space="preserve"> 'Abatements and deferrals'!I$104</f>
        <v>0</v>
      </c>
    </row>
    <row r="35" spans="1:20" x14ac:dyDescent="0.35">
      <c r="C35" s="201"/>
      <c r="E35" s="219" t="str">
        <f xml:space="preserve"> 'Abatements and deferrals'!E$105</f>
        <v>Business retail</v>
      </c>
      <c r="F35" s="320">
        <f xml:space="preserve"> 'Abatements and deferrals'!F$105</f>
        <v>0</v>
      </c>
      <c r="G35" s="219" t="str">
        <f xml:space="preserve"> 'Abatements and deferrals'!G$105</f>
        <v>£m (2017-18 FYA CPIH prices)</v>
      </c>
      <c r="H35" s="320">
        <f xml:space="preserve"> 'Abatements and deferrals'!H$105</f>
        <v>0</v>
      </c>
      <c r="I35" s="219">
        <f xml:space="preserve"> 'Abatements and deferrals'!I$105</f>
        <v>0</v>
      </c>
    </row>
    <row r="36" spans="1:20" x14ac:dyDescent="0.35">
      <c r="C36" s="201"/>
      <c r="E36" s="219" t="str">
        <f xml:space="preserve"> 'Abatements and deferrals'!E$106</f>
        <v>Dummy control</v>
      </c>
      <c r="F36" s="320">
        <f xml:space="preserve"> 'Abatements and deferrals'!F$106</f>
        <v>0</v>
      </c>
      <c r="G36" s="219" t="str">
        <f xml:space="preserve"> 'Abatements and deferrals'!G$106</f>
        <v>£m (2017-18 FYA CPIH prices)</v>
      </c>
      <c r="H36" s="320">
        <f xml:space="preserve"> 'Abatements and deferrals'!H$106</f>
        <v>0</v>
      </c>
      <c r="I36" s="219">
        <f xml:space="preserve"> 'Abatements and deferrals'!I$106</f>
        <v>0</v>
      </c>
    </row>
    <row r="37" spans="1:20" x14ac:dyDescent="0.35"/>
    <row r="38" spans="1:20" x14ac:dyDescent="0.35">
      <c r="A38" s="130" t="s">
        <v>127</v>
      </c>
      <c r="B38" s="176"/>
      <c r="C38" s="177"/>
      <c r="D38" s="178"/>
      <c r="E38" s="179"/>
      <c r="F38" s="179"/>
      <c r="G38" s="179"/>
      <c r="H38" s="3"/>
      <c r="I38" s="3"/>
      <c r="J38" s="3"/>
      <c r="K38" s="3"/>
      <c r="L38" s="3"/>
      <c r="M38" s="3"/>
      <c r="N38" s="3"/>
      <c r="O38" s="3"/>
      <c r="P38" s="3"/>
      <c r="Q38" s="3"/>
      <c r="R38" s="3"/>
      <c r="S38" s="3"/>
      <c r="T38" s="3"/>
    </row>
    <row r="39" spans="1:20" x14ac:dyDescent="0.35"/>
  </sheetData>
  <conditionalFormatting sqref="H30:I36">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0:F36">
    <cfRule type="cellIs" dxfId="1" priority="3" operator="equal">
      <formula>0</formula>
    </cfRule>
  </conditionalFormatting>
  <conditionalFormatting sqref="F10:F12">
    <cfRule type="cellIs" dxfId="0" priority="1" operator="equal">
      <formula>0</formula>
    </cfRule>
  </conditionalFormatting>
  <printOptions headings="1"/>
  <pageMargins left="0.7" right="0.7" top="0.75" bottom="0.75" header="0.3" footer="0.3"/>
  <pageSetup paperSize="9" scale="51"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4"/>
  <sheetViews>
    <sheetView zoomScale="85" zoomScaleNormal="85" workbookViewId="0"/>
  </sheetViews>
  <sheetFormatPr defaultColWidth="9" defaultRowHeight="13.5" x14ac:dyDescent="0.35"/>
  <cols>
    <col min="1" max="1" width="9" style="347"/>
    <col min="2" max="2" width="31.3125" style="347" bestFit="1" customWidth="1"/>
    <col min="3" max="3" width="24.6875" style="347" bestFit="1" customWidth="1"/>
    <col min="4" max="4" width="2.375" style="347" bestFit="1" customWidth="1"/>
    <col min="5" max="5" width="16.3125" style="347" bestFit="1" customWidth="1"/>
    <col min="6" max="6" width="8.625" style="347" bestFit="1" customWidth="1"/>
    <col min="7" max="10" width="9.625" style="347" bestFit="1" customWidth="1"/>
    <col min="11" max="16384" width="9" style="347"/>
  </cols>
  <sheetData>
    <row r="1" spans="1:10" x14ac:dyDescent="0.35">
      <c r="A1" s="346"/>
      <c r="B1" s="346"/>
      <c r="C1" s="346" t="s">
        <v>395</v>
      </c>
      <c r="D1" s="346"/>
      <c r="E1" s="346"/>
      <c r="F1" s="346"/>
      <c r="G1" s="346"/>
      <c r="H1" s="346"/>
      <c r="I1" s="346"/>
      <c r="J1" s="346"/>
    </row>
    <row r="2" spans="1:10" x14ac:dyDescent="0.35">
      <c r="A2" s="346" t="s">
        <v>202</v>
      </c>
      <c r="B2" s="346" t="s">
        <v>16</v>
      </c>
      <c r="C2" s="346" t="s">
        <v>316</v>
      </c>
      <c r="D2" s="346" t="s">
        <v>87</v>
      </c>
      <c r="E2" s="346" t="s">
        <v>317</v>
      </c>
      <c r="F2" t="s">
        <v>209</v>
      </c>
      <c r="G2" t="s">
        <v>213</v>
      </c>
      <c r="H2" t="s">
        <v>216</v>
      </c>
      <c r="I2" t="s">
        <v>219</v>
      </c>
      <c r="J2" t="s">
        <v>222</v>
      </c>
    </row>
    <row r="3" spans="1:10" x14ac:dyDescent="0.35">
      <c r="A3" s="346"/>
      <c r="B3" s="346"/>
      <c r="C3" s="346"/>
      <c r="D3" s="346"/>
      <c r="E3" s="346"/>
      <c r="F3" s="346"/>
      <c r="G3" s="346"/>
      <c r="H3" s="346"/>
      <c r="I3" s="346"/>
      <c r="J3" s="346"/>
    </row>
    <row r="4" spans="1:10" x14ac:dyDescent="0.35">
      <c r="A4" s="346"/>
      <c r="B4" s="346" t="s">
        <v>405</v>
      </c>
      <c r="C4" s="367" t="s">
        <v>417</v>
      </c>
      <c r="D4" s="371" t="s">
        <v>374</v>
      </c>
      <c r="E4" s="346" t="s">
        <v>318</v>
      </c>
      <c r="F4" s="372">
        <f>Outputs!O10</f>
        <v>0</v>
      </c>
      <c r="G4" s="372">
        <f ca="1">Outputs!P10</f>
        <v>3.95</v>
      </c>
      <c r="H4" s="372">
        <f ca="1">Outputs!Q10</f>
        <v>0.4</v>
      </c>
      <c r="I4" s="372">
        <f>Outputs!R10</f>
        <v>0.5</v>
      </c>
      <c r="J4" s="372">
        <f>Outputs!S10</f>
        <v>0.44</v>
      </c>
    </row>
    <row r="5" spans="1:10" x14ac:dyDescent="0.35">
      <c r="A5" s="346"/>
      <c r="B5" s="346" t="s">
        <v>406</v>
      </c>
      <c r="C5" s="367" t="s">
        <v>418</v>
      </c>
      <c r="D5" s="371" t="s">
        <v>374</v>
      </c>
      <c r="E5" s="346" t="s">
        <v>318</v>
      </c>
      <c r="F5" s="372">
        <f>Outputs!O11</f>
        <v>0</v>
      </c>
      <c r="G5" s="372">
        <f>Outputs!P11</f>
        <v>1.1099999999999999</v>
      </c>
      <c r="H5" s="372">
        <f>Outputs!Q11</f>
        <v>-0.01</v>
      </c>
      <c r="I5" s="372">
        <f>Outputs!R11</f>
        <v>0.21</v>
      </c>
      <c r="J5" s="372">
        <f>Outputs!S11</f>
        <v>0.13</v>
      </c>
    </row>
    <row r="6" spans="1:10" x14ac:dyDescent="0.35">
      <c r="A6" s="346"/>
      <c r="B6" s="346" t="s">
        <v>407</v>
      </c>
      <c r="C6" s="367" t="s">
        <v>419</v>
      </c>
      <c r="D6" s="371" t="s">
        <v>374</v>
      </c>
      <c r="E6" s="346" t="s">
        <v>318</v>
      </c>
      <c r="F6" s="372">
        <f>Outputs!O12</f>
        <v>0</v>
      </c>
      <c r="G6" s="372">
        <f>Outputs!P12</f>
        <v>0.49</v>
      </c>
      <c r="H6" s="372">
        <f>Outputs!Q12</f>
        <v>0.55000000000000004</v>
      </c>
      <c r="I6" s="372">
        <f>Outputs!R12</f>
        <v>0.13</v>
      </c>
      <c r="J6" s="372">
        <f>Outputs!S12</f>
        <v>0.16</v>
      </c>
    </row>
    <row r="7" spans="1:10" x14ac:dyDescent="0.35">
      <c r="A7" s="346"/>
      <c r="B7" s="346" t="s">
        <v>408</v>
      </c>
      <c r="C7" s="367" t="s">
        <v>420</v>
      </c>
      <c r="D7" s="371" t="s">
        <v>374</v>
      </c>
      <c r="E7" s="346" t="s">
        <v>318</v>
      </c>
      <c r="F7" s="372">
        <f>Outputs!O13</f>
        <v>0</v>
      </c>
      <c r="G7" s="372">
        <f>Outputs!P13</f>
        <v>0</v>
      </c>
      <c r="H7" s="372">
        <f>Outputs!Q13</f>
        <v>0</v>
      </c>
      <c r="I7" s="372">
        <f>Outputs!R13</f>
        <v>0</v>
      </c>
      <c r="J7" s="372">
        <f>Outputs!S13</f>
        <v>0</v>
      </c>
    </row>
    <row r="8" spans="1:10" x14ac:dyDescent="0.35">
      <c r="A8" s="346"/>
      <c r="B8" s="346" t="s">
        <v>409</v>
      </c>
      <c r="C8" s="368" t="s">
        <v>421</v>
      </c>
      <c r="D8" t="s">
        <v>320</v>
      </c>
      <c r="E8" s="346" t="s">
        <v>318</v>
      </c>
      <c r="F8" s="373">
        <f>Outputs!O16</f>
        <v>0</v>
      </c>
      <c r="G8" s="373">
        <f>Outputs!P16</f>
        <v>30.982457462417532</v>
      </c>
      <c r="H8" s="373">
        <f>Outputs!Q16</f>
        <v>31.187467802943388</v>
      </c>
      <c r="I8" s="373">
        <f>Outputs!R16</f>
        <v>31.55778121804061</v>
      </c>
      <c r="J8" s="373">
        <f>Outputs!S16</f>
        <v>32.144758193019889</v>
      </c>
    </row>
    <row r="9" spans="1:10" x14ac:dyDescent="0.35">
      <c r="A9" s="346"/>
      <c r="B9" s="370" t="s">
        <v>428</v>
      </c>
      <c r="C9" s="368" t="s">
        <v>422</v>
      </c>
      <c r="D9" t="s">
        <v>320</v>
      </c>
      <c r="E9" s="346" t="s">
        <v>318</v>
      </c>
      <c r="F9" s="373">
        <f>Outputs!O19</f>
        <v>0</v>
      </c>
      <c r="G9" s="373">
        <f>Outputs!P19</f>
        <v>31.902510731770601</v>
      </c>
      <c r="H9" s="373">
        <f>Outputs!Q19</f>
        <v>32.716490318083103</v>
      </c>
      <c r="I9" s="373">
        <f>Outputs!R19</f>
        <v>33.448142797569197</v>
      </c>
      <c r="J9" s="373">
        <f>Outputs!S19</f>
        <v>34.196410189452202</v>
      </c>
    </row>
    <row r="10" spans="1:10" x14ac:dyDescent="0.35">
      <c r="A10" s="346"/>
      <c r="B10" s="370" t="s">
        <v>429</v>
      </c>
      <c r="C10" s="369" t="s">
        <v>423</v>
      </c>
      <c r="D10" t="s">
        <v>320</v>
      </c>
      <c r="E10" s="346" t="s">
        <v>318</v>
      </c>
      <c r="F10" s="373">
        <f>Outputs!O22</f>
        <v>0</v>
      </c>
      <c r="G10" s="373">
        <f>Outputs!P22</f>
        <v>0</v>
      </c>
      <c r="H10" s="373">
        <f>Outputs!Q22</f>
        <v>0</v>
      </c>
      <c r="I10" s="373">
        <f>Outputs!R22</f>
        <v>0</v>
      </c>
      <c r="J10" s="373">
        <f>Outputs!S22</f>
        <v>0</v>
      </c>
    </row>
    <row r="11" spans="1:10" x14ac:dyDescent="0.35">
      <c r="A11" s="346"/>
      <c r="B11" s="370" t="s">
        <v>430</v>
      </c>
      <c r="C11" s="369" t="s">
        <v>424</v>
      </c>
      <c r="D11" t="s">
        <v>320</v>
      </c>
      <c r="E11" s="346" t="s">
        <v>318</v>
      </c>
      <c r="F11" s="373">
        <f>Outputs!O23</f>
        <v>0</v>
      </c>
      <c r="G11" s="373">
        <f>Outputs!P23</f>
        <v>0</v>
      </c>
      <c r="H11" s="373">
        <f>Outputs!Q23</f>
        <v>0</v>
      </c>
      <c r="I11" s="373">
        <f>Outputs!R23</f>
        <v>0</v>
      </c>
      <c r="J11" s="373">
        <f>Outputs!S23</f>
        <v>0</v>
      </c>
    </row>
    <row r="12" spans="1:10" x14ac:dyDescent="0.35">
      <c r="A12" s="346"/>
      <c r="B12" s="370" t="s">
        <v>431</v>
      </c>
      <c r="C12" s="369" t="s">
        <v>425</v>
      </c>
      <c r="D12" t="s">
        <v>320</v>
      </c>
      <c r="E12" s="346" t="s">
        <v>318</v>
      </c>
      <c r="F12" s="373">
        <f>Outputs!O24</f>
        <v>0</v>
      </c>
      <c r="G12" s="373">
        <f>Outputs!P24</f>
        <v>0</v>
      </c>
      <c r="H12" s="373">
        <f>Outputs!Q24</f>
        <v>0</v>
      </c>
      <c r="I12" s="373">
        <f>Outputs!R24</f>
        <v>0</v>
      </c>
      <c r="J12" s="373">
        <f>Outputs!S24</f>
        <v>0</v>
      </c>
    </row>
    <row r="13" spans="1:10" x14ac:dyDescent="0.35">
      <c r="B13" s="370" t="s">
        <v>432</v>
      </c>
      <c r="C13" s="369" t="s">
        <v>426</v>
      </c>
      <c r="D13" t="s">
        <v>320</v>
      </c>
      <c r="E13" s="346" t="s">
        <v>318</v>
      </c>
      <c r="F13" s="373">
        <f>Outputs!O25</f>
        <v>0</v>
      </c>
      <c r="G13" s="373">
        <f>Outputs!P25</f>
        <v>0</v>
      </c>
      <c r="H13" s="373">
        <f>Outputs!Q25</f>
        <v>0</v>
      </c>
      <c r="I13" s="373">
        <f>Outputs!R25</f>
        <v>0</v>
      </c>
      <c r="J13" s="373">
        <f>Outputs!S25</f>
        <v>0</v>
      </c>
    </row>
    <row r="14" spans="1:10" x14ac:dyDescent="0.35">
      <c r="B14" s="370" t="s">
        <v>433</v>
      </c>
      <c r="C14" s="369" t="s">
        <v>427</v>
      </c>
      <c r="D14" t="s">
        <v>320</v>
      </c>
      <c r="E14" s="346" t="s">
        <v>318</v>
      </c>
      <c r="F14" s="373">
        <f>Outputs!O26</f>
        <v>0</v>
      </c>
      <c r="G14" s="373">
        <f>Outputs!P26</f>
        <v>0</v>
      </c>
      <c r="H14" s="373">
        <f>Outputs!Q26</f>
        <v>0</v>
      </c>
      <c r="I14" s="373">
        <f>Outputs!R26</f>
        <v>0</v>
      </c>
      <c r="J14" s="373">
        <f>Outputs!S26</f>
        <v>0</v>
      </c>
    </row>
    <row r="15" spans="1:10" x14ac:dyDescent="0.35">
      <c r="B15" s="370" t="s">
        <v>435</v>
      </c>
      <c r="C15" s="368" t="s">
        <v>410</v>
      </c>
      <c r="D15" t="s">
        <v>320</v>
      </c>
      <c r="E15" s="346" t="s">
        <v>318</v>
      </c>
      <c r="F15" s="374">
        <f>Outputs!O30</f>
        <v>0</v>
      </c>
      <c r="G15" s="374">
        <f>Outputs!P30</f>
        <v>0</v>
      </c>
      <c r="H15" s="374">
        <f>Outputs!Q30</f>
        <v>0</v>
      </c>
      <c r="I15" s="374">
        <f>Outputs!R30</f>
        <v>0</v>
      </c>
      <c r="J15" s="374">
        <f>Outputs!S30</f>
        <v>0</v>
      </c>
    </row>
    <row r="16" spans="1:10" x14ac:dyDescent="0.35">
      <c r="B16" s="370" t="s">
        <v>436</v>
      </c>
      <c r="C16" s="368" t="s">
        <v>411</v>
      </c>
      <c r="D16" t="s">
        <v>320</v>
      </c>
      <c r="E16" s="346" t="s">
        <v>318</v>
      </c>
      <c r="F16" s="374">
        <f>Outputs!O31</f>
        <v>0</v>
      </c>
      <c r="G16" s="374">
        <f>Outputs!P31</f>
        <v>0</v>
      </c>
      <c r="H16" s="374">
        <f>Outputs!Q31</f>
        <v>0</v>
      </c>
      <c r="I16" s="374">
        <f>Outputs!R31</f>
        <v>0</v>
      </c>
      <c r="J16" s="374">
        <f>Outputs!S31</f>
        <v>0</v>
      </c>
    </row>
    <row r="17" spans="2:10" x14ac:dyDescent="0.35">
      <c r="B17" s="370" t="s">
        <v>437</v>
      </c>
      <c r="C17" s="368" t="s">
        <v>412</v>
      </c>
      <c r="D17" t="s">
        <v>320</v>
      </c>
      <c r="E17" s="346" t="s">
        <v>318</v>
      </c>
      <c r="F17" s="374">
        <f>Outputs!O32</f>
        <v>0</v>
      </c>
      <c r="G17" s="374">
        <f>Outputs!P32</f>
        <v>0</v>
      </c>
      <c r="H17" s="374">
        <f>Outputs!Q32</f>
        <v>0</v>
      </c>
      <c r="I17" s="374">
        <f>Outputs!R32</f>
        <v>0</v>
      </c>
      <c r="J17" s="374">
        <f>Outputs!S32</f>
        <v>0</v>
      </c>
    </row>
    <row r="18" spans="2:10" x14ac:dyDescent="0.35">
      <c r="B18" s="370" t="s">
        <v>438</v>
      </c>
      <c r="C18" s="368" t="s">
        <v>413</v>
      </c>
      <c r="D18" t="s">
        <v>320</v>
      </c>
      <c r="E18" s="346" t="s">
        <v>318</v>
      </c>
      <c r="F18" s="374">
        <f>Outputs!O33</f>
        <v>0</v>
      </c>
      <c r="G18" s="374">
        <f>Outputs!P33</f>
        <v>0</v>
      </c>
      <c r="H18" s="374">
        <f>Outputs!Q33</f>
        <v>0</v>
      </c>
      <c r="I18" s="374">
        <f>Outputs!R33</f>
        <v>0</v>
      </c>
      <c r="J18" s="374">
        <f>Outputs!S33</f>
        <v>0</v>
      </c>
    </row>
    <row r="19" spans="2:10" x14ac:dyDescent="0.35">
      <c r="B19" s="370" t="s">
        <v>439</v>
      </c>
      <c r="C19" s="368" t="s">
        <v>414</v>
      </c>
      <c r="D19" t="s">
        <v>320</v>
      </c>
      <c r="E19" s="346" t="s">
        <v>318</v>
      </c>
      <c r="F19" s="374">
        <f>Outputs!O34</f>
        <v>0</v>
      </c>
      <c r="G19" s="374">
        <f>Outputs!P34</f>
        <v>0</v>
      </c>
      <c r="H19" s="374">
        <f>Outputs!Q34</f>
        <v>0</v>
      </c>
      <c r="I19" s="374">
        <f>Outputs!R34</f>
        <v>0</v>
      </c>
      <c r="J19" s="374">
        <f>Outputs!S34</f>
        <v>0</v>
      </c>
    </row>
    <row r="20" spans="2:10" x14ac:dyDescent="0.35">
      <c r="B20" s="370" t="s">
        <v>440</v>
      </c>
      <c r="C20" s="368" t="s">
        <v>415</v>
      </c>
      <c r="D20" t="s">
        <v>320</v>
      </c>
      <c r="E20" s="346" t="s">
        <v>318</v>
      </c>
      <c r="F20" s="374">
        <f>Outputs!O35</f>
        <v>0</v>
      </c>
      <c r="G20" s="374">
        <f>Outputs!P35</f>
        <v>0</v>
      </c>
      <c r="H20" s="374">
        <f>Outputs!Q35</f>
        <v>0</v>
      </c>
      <c r="I20" s="374">
        <f>Outputs!R35</f>
        <v>0</v>
      </c>
      <c r="J20" s="374">
        <f>Outputs!S35</f>
        <v>0</v>
      </c>
    </row>
    <row r="21" spans="2:10" x14ac:dyDescent="0.35">
      <c r="B21" s="370" t="s">
        <v>441</v>
      </c>
      <c r="C21" s="368" t="s">
        <v>416</v>
      </c>
      <c r="D21" t="s">
        <v>320</v>
      </c>
      <c r="E21" s="346" t="s">
        <v>318</v>
      </c>
      <c r="F21" s="374">
        <f>Outputs!O36</f>
        <v>0</v>
      </c>
      <c r="G21" s="374">
        <f>Outputs!P36</f>
        <v>0</v>
      </c>
      <c r="H21" s="374">
        <f>Outputs!Q36</f>
        <v>0</v>
      </c>
      <c r="I21" s="374">
        <f>Outputs!R36</f>
        <v>0</v>
      </c>
      <c r="J21" s="374">
        <f>Outputs!S36</f>
        <v>0</v>
      </c>
    </row>
    <row r="22" spans="2:10" x14ac:dyDescent="0.35">
      <c r="B22" s="370" t="s">
        <v>442</v>
      </c>
      <c r="C22" s="368" t="s">
        <v>434</v>
      </c>
      <c r="D22" t="s">
        <v>320</v>
      </c>
      <c r="E22" s="346" t="s">
        <v>318</v>
      </c>
      <c r="F22" s="374">
        <f>SUM(Outputs!O30:O36)</f>
        <v>0</v>
      </c>
      <c r="G22" s="374">
        <f>SUM(Outputs!P30:P36)</f>
        <v>0</v>
      </c>
      <c r="H22" s="374">
        <f>SUM(Outputs!Q30:Q36)</f>
        <v>0</v>
      </c>
      <c r="I22" s="374">
        <f>SUM(Outputs!R30:R36)</f>
        <v>0</v>
      </c>
      <c r="J22" s="374">
        <f>SUM(Outputs!S30:S36)</f>
        <v>0</v>
      </c>
    </row>
    <row r="23" spans="2:10" ht="14.25" x14ac:dyDescent="0.35">
      <c r="B23" s="375" t="s">
        <v>443</v>
      </c>
      <c r="C23" s="375" t="s">
        <v>444</v>
      </c>
      <c r="D23" s="375" t="s">
        <v>252</v>
      </c>
      <c r="E23" s="375" t="s">
        <v>318</v>
      </c>
      <c r="F23" s="376" t="str">
        <f ca="1">CONCATENATE("[…]", TEXT(NOW(),"dd/mm/yyy hh:mm:ss"))</f>
        <v>[…]17/09/2020 18:15:12</v>
      </c>
      <c r="G23" s="376" t="str">
        <f t="shared" ref="G23:J23" ca="1" si="0">CONCATENATE("[…]", TEXT(NOW(),"dd/mm/yyy hh:mm:ss"))</f>
        <v>[…]17/09/2020 18:15:12</v>
      </c>
      <c r="H23" s="376" t="str">
        <f t="shared" ca="1" si="0"/>
        <v>[…]17/09/2020 18:15:12</v>
      </c>
      <c r="I23" s="376" t="str">
        <f t="shared" ca="1" si="0"/>
        <v>[…]17/09/2020 18:15:12</v>
      </c>
      <c r="J23" s="376" t="str">
        <f t="shared" ca="1" si="0"/>
        <v>[…]17/09/2020 18:15:12</v>
      </c>
    </row>
    <row r="24" spans="2:10" x14ac:dyDescent="0.35">
      <c r="B24" s="375" t="s">
        <v>445</v>
      </c>
      <c r="C24" s="375" t="s">
        <v>446</v>
      </c>
      <c r="D24" s="375" t="s">
        <v>252</v>
      </c>
      <c r="E24" s="375" t="s">
        <v>318</v>
      </c>
      <c r="F24" s="377" t="str">
        <f ca="1">MID(CELL("filename",A1),SEARCH("[",CELL("filename",A1))+1,SEARCH(".",CELL("filename",A1))-1-SEARCH("[",CELL("filename",A1)))</f>
        <v>In-period adjustment model_WSX_BYRun1</v>
      </c>
      <c r="G24" s="377" t="str">
        <f t="shared" ref="G24:J24" ca="1" si="1">MID(CELL("filename",B1),SEARCH("[",CELL("filename",B1))+1,SEARCH(".",CELL("filename",B1))-1-SEARCH("[",CELL("filename",B1)))</f>
        <v>In-period adjustment model_WSX_BYRun1</v>
      </c>
      <c r="H24" s="377" t="str">
        <f t="shared" ca="1" si="1"/>
        <v>In-period adjustment model_WSX_BYRun1</v>
      </c>
      <c r="I24" s="377" t="str">
        <f t="shared" ca="1" si="1"/>
        <v>In-period adjustment model_WSX_BYRun1</v>
      </c>
      <c r="J24" s="377" t="str">
        <f t="shared" ca="1" si="1"/>
        <v>In-period adjustment model_WSX_BYRun1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DCD8"/>
  </sheetPr>
  <dimension ref="A1:K39"/>
  <sheetViews>
    <sheetView zoomScaleNormal="100" workbookViewId="0">
      <pane ySplit="1" topLeftCell="A2" activePane="bottomLeft" state="frozen"/>
      <selection pane="bottomLeft"/>
    </sheetView>
  </sheetViews>
  <sheetFormatPr defaultColWidth="9.125" defaultRowHeight="12.75" x14ac:dyDescent="0.35"/>
  <cols>
    <col min="1" max="4" width="2.375" style="303" customWidth="1"/>
    <col min="5" max="5" width="40.875" style="303" customWidth="1"/>
    <col min="6" max="6" width="2.375" style="303" customWidth="1"/>
    <col min="7" max="7" width="32.125" style="303" customWidth="1"/>
    <col min="8" max="8" width="2.375" style="303" customWidth="1"/>
    <col min="9" max="9" width="37.5" style="303" customWidth="1"/>
    <col min="10" max="10" width="2.375" style="303" customWidth="1"/>
    <col min="11" max="11" width="22.1875" style="303" customWidth="1"/>
    <col min="12" max="16384" width="9.125" style="303"/>
  </cols>
  <sheetData>
    <row r="1" spans="1:11" ht="31.9" x14ac:dyDescent="1.05">
      <c r="A1" s="299" t="str">
        <f ca="1" xml:space="preserve"> RIGHT(CELL("filename", $A$1), LEN(CELL("filename", $A$1)) - SEARCH("]", CELL("filename", $A$1)))</f>
        <v>Style guide</v>
      </c>
      <c r="B1" s="299"/>
      <c r="C1" s="299"/>
      <c r="D1" s="299"/>
      <c r="E1" s="299"/>
      <c r="F1" s="299"/>
      <c r="G1" s="299"/>
      <c r="H1" s="299"/>
      <c r="I1" s="299"/>
      <c r="J1" s="299"/>
      <c r="K1" s="299"/>
    </row>
    <row r="3" spans="1:11" ht="14.65" x14ac:dyDescent="0.5">
      <c r="A3" s="324" t="s">
        <v>27</v>
      </c>
      <c r="I3" s="304"/>
      <c r="K3" s="304"/>
    </row>
    <row r="5" spans="1:11" ht="13.5" x14ac:dyDescent="0.45">
      <c r="B5" s="325" t="s">
        <v>28</v>
      </c>
    </row>
    <row r="6" spans="1:11" x14ac:dyDescent="0.35">
      <c r="E6" s="326" t="s">
        <v>29</v>
      </c>
      <c r="G6" s="303" t="s">
        <v>30</v>
      </c>
    </row>
    <row r="8" spans="1:11" x14ac:dyDescent="0.35">
      <c r="E8" s="327" t="s">
        <v>31</v>
      </c>
      <c r="G8" s="303" t="s">
        <v>32</v>
      </c>
    </row>
    <row r="10" spans="1:11" x14ac:dyDescent="0.35">
      <c r="E10" s="328" t="s">
        <v>33</v>
      </c>
      <c r="G10" s="303" t="s">
        <v>34</v>
      </c>
    </row>
    <row r="12" spans="1:11" x14ac:dyDescent="0.35">
      <c r="E12" s="303" t="s">
        <v>35</v>
      </c>
    </row>
    <row r="13" spans="1:11" x14ac:dyDescent="0.35">
      <c r="E13" s="303" t="s">
        <v>36</v>
      </c>
    </row>
    <row r="15" spans="1:11" x14ac:dyDescent="0.35">
      <c r="E15" s="329" t="s">
        <v>37</v>
      </c>
      <c r="G15" s="303" t="s">
        <v>38</v>
      </c>
    </row>
    <row r="17" spans="1:7" ht="13.5" x14ac:dyDescent="0.45">
      <c r="B17" s="325" t="s">
        <v>39</v>
      </c>
    </row>
    <row r="18" spans="1:7" x14ac:dyDescent="0.35">
      <c r="E18" s="300" t="s">
        <v>40</v>
      </c>
      <c r="G18" s="303" t="s">
        <v>41</v>
      </c>
    </row>
    <row r="20" spans="1:7" x14ac:dyDescent="0.35">
      <c r="E20" s="301" t="s">
        <v>42</v>
      </c>
      <c r="G20" s="303" t="s">
        <v>43</v>
      </c>
    </row>
    <row r="22" spans="1:7" ht="13.5" x14ac:dyDescent="0.45">
      <c r="B22" s="325" t="s">
        <v>44</v>
      </c>
    </row>
    <row r="23" spans="1:7" ht="13.5" x14ac:dyDescent="0.45">
      <c r="E23" s="290" t="s">
        <v>45</v>
      </c>
      <c r="G23" s="303" t="s">
        <v>46</v>
      </c>
    </row>
    <row r="24" spans="1:7" x14ac:dyDescent="0.35">
      <c r="E24" s="285"/>
    </row>
    <row r="25" spans="1:7" ht="13.5" x14ac:dyDescent="0.45">
      <c r="E25" s="289" t="s">
        <v>47</v>
      </c>
      <c r="G25" s="303" t="s">
        <v>48</v>
      </c>
    </row>
    <row r="28" spans="1:7" ht="14.65" x14ac:dyDescent="0.5">
      <c r="A28" s="304" t="s">
        <v>49</v>
      </c>
      <c r="E28" s="330"/>
    </row>
    <row r="30" spans="1:7" x14ac:dyDescent="0.35">
      <c r="E30" s="291"/>
      <c r="G30" s="303" t="s">
        <v>50</v>
      </c>
    </row>
    <row r="32" spans="1:7" x14ac:dyDescent="0.35">
      <c r="E32" s="302"/>
      <c r="G32" s="303" t="s">
        <v>51</v>
      </c>
    </row>
    <row r="34" spans="1:11" x14ac:dyDescent="0.35">
      <c r="E34" s="292"/>
      <c r="G34" s="303" t="s">
        <v>52</v>
      </c>
    </row>
    <row r="36" spans="1:11" x14ac:dyDescent="0.35">
      <c r="E36" s="293"/>
      <c r="G36" s="303" t="s">
        <v>53</v>
      </c>
    </row>
    <row r="39" spans="1:11" ht="13.5" x14ac:dyDescent="0.45">
      <c r="A39" s="289" t="s">
        <v>26</v>
      </c>
      <c r="B39" s="289"/>
      <c r="C39" s="289"/>
      <c r="D39" s="289"/>
      <c r="E39" s="289"/>
      <c r="F39" s="289"/>
      <c r="G39" s="289"/>
      <c r="H39" s="289"/>
      <c r="I39" s="289"/>
      <c r="J39" s="289"/>
      <c r="K39" s="289"/>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L163"/>
  <sheetViews>
    <sheetView zoomScaleNormal="100" workbookViewId="0"/>
  </sheetViews>
  <sheetFormatPr defaultColWidth="0" defaultRowHeight="12.5" customHeight="1" zeroHeight="1" x14ac:dyDescent="0.35"/>
  <cols>
    <col min="1" max="1" width="2.375" style="294" customWidth="1"/>
    <col min="2" max="2" width="33.875" style="294" bestFit="1" customWidth="1"/>
    <col min="3" max="3" width="3.1875" style="294" customWidth="1"/>
    <col min="4" max="4" width="33.875" style="294" bestFit="1" customWidth="1"/>
    <col min="5" max="5" width="3.1875" style="294" customWidth="1"/>
    <col min="6" max="6" width="51" style="294" customWidth="1"/>
    <col min="7" max="7" width="2.875" style="294" customWidth="1"/>
    <col min="8" max="8" width="51" style="294" customWidth="1"/>
    <col min="9" max="9" width="2.875" style="294" customWidth="1"/>
    <col min="10" max="10" width="37.625" style="294" customWidth="1"/>
    <col min="11" max="11" width="25.875" style="294" customWidth="1"/>
    <col min="12" max="12" width="58.625" style="294" hidden="1" customWidth="1"/>
    <col min="13" max="16384" width="8.375" style="294" hidden="1"/>
  </cols>
  <sheetData>
    <row r="1" spans="1:11" s="303" customFormat="1" ht="31.9" x14ac:dyDescent="1.05">
      <c r="A1" s="299" t="str">
        <f ca="1" xml:space="preserve"> RIGHT(CELL("filename", $A$1), LEN(CELL("filename", $A$1)) - SEARCH("]", CELL("filename", $A$1)))</f>
        <v>ToC</v>
      </c>
      <c r="B1" s="299"/>
      <c r="C1" s="299"/>
      <c r="D1" s="299"/>
      <c r="E1" s="299"/>
      <c r="F1" s="299"/>
      <c r="G1" s="299"/>
      <c r="H1" s="299"/>
      <c r="I1" s="299"/>
      <c r="J1" s="299"/>
      <c r="K1" s="299"/>
    </row>
    <row r="2" spans="1:11" s="331" customFormat="1" ht="12.75" x14ac:dyDescent="0.35"/>
    <row r="3" spans="1:11" s="331" customFormat="1" ht="14.65" x14ac:dyDescent="0.5">
      <c r="B3" s="324" t="s">
        <v>54</v>
      </c>
      <c r="D3" s="324" t="s">
        <v>55</v>
      </c>
      <c r="F3" s="324" t="s">
        <v>56</v>
      </c>
      <c r="H3" s="324" t="s">
        <v>57</v>
      </c>
    </row>
    <row r="4" spans="1:11" s="331" customFormat="1" ht="12.75" x14ac:dyDescent="0.35"/>
    <row r="5" spans="1:11" s="331" customFormat="1" ht="12.75" x14ac:dyDescent="0.35">
      <c r="B5" s="338" t="s">
        <v>58</v>
      </c>
      <c r="D5" s="333" t="s">
        <v>41</v>
      </c>
      <c r="E5" s="294"/>
      <c r="F5" s="297" t="s">
        <v>59</v>
      </c>
      <c r="H5" s="298" t="s">
        <v>53</v>
      </c>
      <c r="J5" s="337"/>
    </row>
    <row r="6" spans="1:11" s="331" customFormat="1" ht="12.75" x14ac:dyDescent="0.35">
      <c r="B6" s="331" t="s">
        <v>60</v>
      </c>
      <c r="D6" s="331" t="s">
        <v>61</v>
      </c>
      <c r="F6" s="331" t="s">
        <v>62</v>
      </c>
      <c r="H6" s="331" t="s">
        <v>63</v>
      </c>
      <c r="J6" s="335"/>
    </row>
    <row r="7" spans="1:11" s="331" customFormat="1" ht="12.75" x14ac:dyDescent="0.35">
      <c r="J7" s="335"/>
    </row>
    <row r="8" spans="1:11" s="331" customFormat="1" ht="12.75" x14ac:dyDescent="0.35">
      <c r="B8" s="338" t="s">
        <v>64</v>
      </c>
      <c r="E8" s="294"/>
      <c r="F8" s="297" t="s">
        <v>65</v>
      </c>
      <c r="H8" s="335"/>
      <c r="J8" s="337"/>
    </row>
    <row r="9" spans="1:11" s="331" customFormat="1" ht="12.75" x14ac:dyDescent="0.35">
      <c r="B9" s="331" t="s">
        <v>66</v>
      </c>
      <c r="F9" s="331" t="s">
        <v>67</v>
      </c>
      <c r="H9" s="335"/>
    </row>
    <row r="10" spans="1:11" s="331" customFormat="1" ht="12.75" x14ac:dyDescent="0.35">
      <c r="H10" s="335"/>
    </row>
    <row r="11" spans="1:11" s="331" customFormat="1" ht="12.75" x14ac:dyDescent="0.35">
      <c r="B11" s="332" t="s">
        <v>68</v>
      </c>
      <c r="E11" s="294"/>
      <c r="F11" s="297" t="s">
        <v>69</v>
      </c>
      <c r="H11" s="335"/>
    </row>
    <row r="12" spans="1:11" s="331" customFormat="1" ht="12.75" x14ac:dyDescent="0.35">
      <c r="B12" s="331" t="s">
        <v>70</v>
      </c>
      <c r="F12" s="334" t="s">
        <v>71</v>
      </c>
      <c r="H12" s="335"/>
    </row>
    <row r="13" spans="1:11" s="331" customFormat="1" ht="12.75" x14ac:dyDescent="0.35">
      <c r="F13" s="336"/>
      <c r="H13" s="335"/>
    </row>
    <row r="14" spans="1:11" s="331" customFormat="1" ht="12.75" x14ac:dyDescent="0.35">
      <c r="F14" s="297" t="s">
        <v>72</v>
      </c>
      <c r="H14" s="335"/>
    </row>
    <row r="15" spans="1:11" s="331" customFormat="1" ht="12.75" x14ac:dyDescent="0.35">
      <c r="F15" s="334" t="s">
        <v>73</v>
      </c>
      <c r="H15" s="335"/>
    </row>
    <row r="16" spans="1:11" s="331" customFormat="1" ht="12.75" x14ac:dyDescent="0.35">
      <c r="F16" s="334"/>
    </row>
    <row r="17" spans="1:11" s="331" customFormat="1" ht="12.75" x14ac:dyDescent="0.35">
      <c r="F17" s="297" t="s">
        <v>74</v>
      </c>
    </row>
    <row r="18" spans="1:11" ht="12.75" x14ac:dyDescent="0.35">
      <c r="A18" s="331"/>
      <c r="B18" s="331"/>
      <c r="C18" s="331"/>
      <c r="D18" s="331"/>
      <c r="E18" s="331"/>
      <c r="F18" s="334" t="s">
        <v>75</v>
      </c>
      <c r="G18" s="331"/>
      <c r="H18" s="331"/>
      <c r="I18" s="331"/>
      <c r="J18" s="331"/>
      <c r="K18" s="331"/>
    </row>
    <row r="19" spans="1:11" ht="12.75" x14ac:dyDescent="0.35">
      <c r="A19" s="331"/>
      <c r="B19" s="331"/>
      <c r="C19" s="331"/>
      <c r="D19" s="331"/>
      <c r="E19" s="331"/>
      <c r="F19" s="334"/>
      <c r="G19" s="331"/>
      <c r="H19" s="331"/>
      <c r="I19" s="331"/>
      <c r="J19" s="331"/>
      <c r="K19" s="331"/>
    </row>
    <row r="20" spans="1:11" ht="12.75" x14ac:dyDescent="0.35">
      <c r="A20" s="331"/>
      <c r="B20" s="331"/>
      <c r="C20" s="331"/>
      <c r="D20" s="331"/>
      <c r="E20" s="331"/>
      <c r="F20" s="297" t="s">
        <v>76</v>
      </c>
      <c r="G20" s="331"/>
      <c r="H20" s="331"/>
      <c r="I20" s="331"/>
      <c r="J20" s="331"/>
      <c r="K20" s="331"/>
    </row>
    <row r="21" spans="1:11" ht="12.75" x14ac:dyDescent="0.35">
      <c r="A21" s="331"/>
      <c r="B21" s="331"/>
      <c r="C21" s="331"/>
      <c r="D21" s="331"/>
      <c r="E21" s="331"/>
      <c r="F21" s="334" t="s">
        <v>77</v>
      </c>
      <c r="G21" s="331"/>
      <c r="H21" s="331"/>
      <c r="I21" s="331"/>
      <c r="J21" s="331"/>
      <c r="K21" s="331"/>
    </row>
    <row r="22" spans="1:11" ht="12.75" x14ac:dyDescent="0.35">
      <c r="A22" s="331"/>
      <c r="B22" s="331"/>
      <c r="C22" s="331"/>
      <c r="D22" s="331"/>
      <c r="E22" s="331"/>
      <c r="F22" s="334"/>
      <c r="G22" s="331"/>
      <c r="H22" s="331"/>
      <c r="I22" s="331"/>
      <c r="J22" s="331"/>
      <c r="K22" s="331"/>
    </row>
    <row r="23" spans="1:11" ht="12.75" x14ac:dyDescent="0.35">
      <c r="A23" s="331"/>
      <c r="B23" s="331"/>
      <c r="C23" s="331"/>
      <c r="D23" s="331"/>
      <c r="E23" s="331"/>
      <c r="F23" s="297" t="s">
        <v>78</v>
      </c>
      <c r="G23" s="331"/>
      <c r="H23" s="331"/>
      <c r="I23" s="331"/>
      <c r="J23" s="331"/>
      <c r="K23" s="331"/>
    </row>
    <row r="24" spans="1:11" ht="12.75" x14ac:dyDescent="0.35">
      <c r="A24" s="331"/>
      <c r="B24" s="331"/>
      <c r="C24" s="331"/>
      <c r="D24" s="331"/>
      <c r="E24" s="331"/>
      <c r="F24" s="334" t="s">
        <v>79</v>
      </c>
      <c r="G24" s="331"/>
      <c r="H24" s="331"/>
      <c r="I24" s="331"/>
      <c r="J24" s="331"/>
      <c r="K24" s="331"/>
    </row>
    <row r="25" spans="1:11" ht="12.75" x14ac:dyDescent="0.35">
      <c r="A25" s="331"/>
      <c r="B25" s="331"/>
      <c r="C25" s="331"/>
      <c r="D25" s="331"/>
      <c r="E25" s="331"/>
      <c r="F25" s="334"/>
      <c r="G25" s="331"/>
      <c r="H25" s="331"/>
      <c r="I25" s="331"/>
      <c r="J25" s="331"/>
      <c r="K25" s="331"/>
    </row>
    <row r="26" spans="1:11" ht="12.75" x14ac:dyDescent="0.35">
      <c r="A26" s="331"/>
      <c r="B26" s="331"/>
      <c r="C26" s="331"/>
      <c r="D26" s="331"/>
      <c r="E26" s="331"/>
      <c r="F26" s="297" t="s">
        <v>80</v>
      </c>
      <c r="G26" s="331"/>
      <c r="H26" s="331"/>
      <c r="I26" s="331"/>
      <c r="J26" s="331"/>
      <c r="K26" s="331"/>
    </row>
    <row r="27" spans="1:11" s="331" customFormat="1" ht="12.75" x14ac:dyDescent="0.35">
      <c r="F27" s="334" t="s">
        <v>81</v>
      </c>
    </row>
    <row r="28" spans="1:11" s="331" customFormat="1" ht="12.75" x14ac:dyDescent="0.35">
      <c r="F28" s="334"/>
    </row>
    <row r="29" spans="1:11" s="331" customFormat="1" ht="12.75" x14ac:dyDescent="0.35">
      <c r="F29" s="297" t="s">
        <v>82</v>
      </c>
    </row>
    <row r="30" spans="1:11" s="331" customFormat="1" ht="12.75" x14ac:dyDescent="0.35">
      <c r="F30" s="334" t="s">
        <v>83</v>
      </c>
    </row>
    <row r="31" spans="1:11" s="331" customFormat="1" ht="12.75" x14ac:dyDescent="0.35">
      <c r="F31" s="334"/>
    </row>
    <row r="32" spans="1:11" s="331" customFormat="1" ht="12.75" x14ac:dyDescent="0.35">
      <c r="F32" s="297" t="s">
        <v>84</v>
      </c>
    </row>
    <row r="33" spans="1:11" s="331" customFormat="1" ht="12.75" x14ac:dyDescent="0.35">
      <c r="F33" s="334" t="s">
        <v>85</v>
      </c>
    </row>
    <row r="34" spans="1:11" s="331" customFormat="1" ht="12.75" x14ac:dyDescent="0.35">
      <c r="F34" s="334"/>
    </row>
    <row r="35" spans="1:11" s="331" customFormat="1" ht="12.75" x14ac:dyDescent="0.35">
      <c r="F35" s="334"/>
    </row>
    <row r="36" spans="1:11" s="331" customFormat="1" ht="12.75" x14ac:dyDescent="0.35">
      <c r="F36" s="334"/>
    </row>
    <row r="37" spans="1:11" s="331" customFormat="1" ht="12.75" x14ac:dyDescent="0.35">
      <c r="F37" s="334"/>
    </row>
    <row r="38" spans="1:11" s="331" customFormat="1" ht="12.75" x14ac:dyDescent="0.35">
      <c r="F38" s="334"/>
    </row>
    <row r="39" spans="1:11" s="331" customFormat="1" ht="12.75" x14ac:dyDescent="0.35">
      <c r="F39" s="334"/>
    </row>
    <row r="40" spans="1:11" s="331" customFormat="1" ht="12.75" x14ac:dyDescent="0.35"/>
    <row r="41" spans="1:11" s="303" customFormat="1" ht="13.5" x14ac:dyDescent="0.45">
      <c r="A41" s="289" t="s">
        <v>26</v>
      </c>
      <c r="B41" s="289"/>
      <c r="C41" s="289"/>
      <c r="D41" s="289"/>
      <c r="E41" s="289"/>
      <c r="F41" s="289"/>
      <c r="G41" s="289"/>
      <c r="H41" s="289"/>
      <c r="I41" s="289"/>
      <c r="J41" s="289"/>
      <c r="K41" s="289"/>
    </row>
    <row r="42" spans="1:11" s="331" customFormat="1" ht="12.75" x14ac:dyDescent="0.35"/>
    <row r="43" spans="1:11" s="331" customFormat="1" ht="12.75" x14ac:dyDescent="0.35"/>
    <row r="44" spans="1:11" s="331" customFormat="1" ht="12.75" x14ac:dyDescent="0.35"/>
    <row r="45" spans="1:11" s="331" customFormat="1" ht="12.75" x14ac:dyDescent="0.35"/>
    <row r="46" spans="1:11" s="331" customFormat="1" ht="12.75" x14ac:dyDescent="0.35"/>
    <row r="47" spans="1:11" s="331" customFormat="1" ht="12.75" x14ac:dyDescent="0.35"/>
    <row r="48" spans="1:11" s="331" customFormat="1" ht="12.75" x14ac:dyDescent="0.35"/>
    <row r="49" s="331" customFormat="1" ht="12.75" x14ac:dyDescent="0.35"/>
    <row r="50" s="331" customFormat="1" ht="12.75" x14ac:dyDescent="0.35"/>
    <row r="51" s="331" customFormat="1" ht="12.75" x14ac:dyDescent="0.35"/>
    <row r="52" s="331" customFormat="1" ht="12.75" x14ac:dyDescent="0.35"/>
    <row r="53" s="331" customFormat="1" ht="12.75" x14ac:dyDescent="0.35"/>
    <row r="54" s="331" customFormat="1" ht="12.75" x14ac:dyDescent="0.35"/>
    <row r="55" s="331" customFormat="1" ht="12.75" x14ac:dyDescent="0.35"/>
    <row r="56" s="331" customFormat="1" ht="12.75" x14ac:dyDescent="0.35"/>
    <row r="57" s="331" customFormat="1" ht="12.75" x14ac:dyDescent="0.35"/>
    <row r="58" s="331" customFormat="1" ht="12.75" x14ac:dyDescent="0.35"/>
    <row r="59" s="331" customFormat="1" ht="12.75" x14ac:dyDescent="0.35"/>
    <row r="60" s="331" customFormat="1" ht="12.75" x14ac:dyDescent="0.35"/>
    <row r="61" s="331" customFormat="1" ht="12.75" x14ac:dyDescent="0.35"/>
    <row r="62" s="331" customFormat="1" ht="12.75" x14ac:dyDescent="0.35"/>
    <row r="63" s="331" customFormat="1" ht="12.75" x14ac:dyDescent="0.35"/>
    <row r="64" s="331" customFormat="1" ht="12.75" x14ac:dyDescent="0.35"/>
    <row r="65" s="331" customFormat="1" ht="12.75" x14ac:dyDescent="0.35"/>
    <row r="66" s="331" customFormat="1" ht="12.75" x14ac:dyDescent="0.35"/>
    <row r="67" s="331" customFormat="1" ht="12.75" x14ac:dyDescent="0.35"/>
    <row r="68" s="331" customFormat="1" ht="12.75" x14ac:dyDescent="0.35"/>
    <row r="69" s="331" customFormat="1" ht="12.75" x14ac:dyDescent="0.35"/>
    <row r="70" s="331" customFormat="1" ht="12.75" x14ac:dyDescent="0.35"/>
    <row r="71" s="331" customFormat="1" ht="12.75" x14ac:dyDescent="0.35"/>
    <row r="72" s="331" customFormat="1" ht="12.75" x14ac:dyDescent="0.35"/>
    <row r="73" s="331" customFormat="1" ht="12.75" x14ac:dyDescent="0.35"/>
    <row r="74" s="331" customFormat="1" ht="12.75" x14ac:dyDescent="0.35"/>
    <row r="75" s="331" customFormat="1" ht="12.75" x14ac:dyDescent="0.35"/>
    <row r="76" s="331" customFormat="1" ht="12.75" x14ac:dyDescent="0.35"/>
    <row r="77" s="331" customFormat="1" ht="12.75" x14ac:dyDescent="0.35"/>
    <row r="78" s="331" customFormat="1" ht="12.75" x14ac:dyDescent="0.35"/>
    <row r="79" s="331" customFormat="1" ht="12.75" x14ac:dyDescent="0.35"/>
    <row r="80" s="331" customFormat="1" ht="12.75" x14ac:dyDescent="0.35"/>
    <row r="81" s="331" customFormat="1" ht="12.75" x14ac:dyDescent="0.35"/>
    <row r="82" s="331" customFormat="1" ht="12.75" x14ac:dyDescent="0.35"/>
    <row r="83" s="331" customFormat="1" ht="12.75" x14ac:dyDescent="0.35"/>
    <row r="84" s="331" customFormat="1" ht="12.75" x14ac:dyDescent="0.35"/>
    <row r="85" s="331" customFormat="1" ht="12.75" x14ac:dyDescent="0.35"/>
    <row r="86" s="331" customFormat="1" ht="12.75" x14ac:dyDescent="0.35"/>
    <row r="87" s="331" customFormat="1" ht="12.75" x14ac:dyDescent="0.35"/>
    <row r="88" s="331" customFormat="1" ht="12.75" x14ac:dyDescent="0.35"/>
    <row r="89" s="331" customFormat="1" ht="12.75" x14ac:dyDescent="0.35"/>
    <row r="90" s="331" customFormat="1" ht="12.75" x14ac:dyDescent="0.35"/>
    <row r="91" s="331" customFormat="1" ht="12.75" x14ac:dyDescent="0.35"/>
    <row r="92" s="331" customFormat="1" ht="12.75" x14ac:dyDescent="0.35"/>
    <row r="93" s="331" customFormat="1" ht="12.75" x14ac:dyDescent="0.35"/>
    <row r="94" s="331" customFormat="1" ht="12.75" x14ac:dyDescent="0.35"/>
    <row r="95" s="331" customFormat="1" ht="12.75" x14ac:dyDescent="0.35"/>
    <row r="96" s="331" customFormat="1" ht="12.75" x14ac:dyDescent="0.35"/>
    <row r="97" s="331" customFormat="1" ht="12.75" x14ac:dyDescent="0.35"/>
    <row r="98" s="331" customFormat="1" ht="12.75" x14ac:dyDescent="0.35"/>
    <row r="99" s="331" customFormat="1" ht="12.75" x14ac:dyDescent="0.35"/>
    <row r="100" s="331" customFormat="1" ht="12.75" x14ac:dyDescent="0.35"/>
    <row r="101" s="331" customFormat="1" ht="12.75" x14ac:dyDescent="0.35"/>
    <row r="102" s="331" customFormat="1" ht="12.75" x14ac:dyDescent="0.35"/>
    <row r="103" s="331" customFormat="1" ht="12.75" x14ac:dyDescent="0.35"/>
    <row r="104" s="331" customFormat="1" ht="12.75" x14ac:dyDescent="0.35"/>
    <row r="105" s="331" customFormat="1" ht="12.75" x14ac:dyDescent="0.35"/>
    <row r="106" s="331" customFormat="1" ht="12.75" x14ac:dyDescent="0.35"/>
    <row r="107" s="331" customFormat="1" ht="12.75" x14ac:dyDescent="0.35"/>
    <row r="108" s="331" customFormat="1" ht="12.75" x14ac:dyDescent="0.35"/>
    <row r="109" s="331" customFormat="1" ht="12.75" x14ac:dyDescent="0.35"/>
    <row r="110" s="331" customFormat="1" ht="12.75" x14ac:dyDescent="0.35"/>
    <row r="111" s="331" customFormat="1" ht="12.75" x14ac:dyDescent="0.35"/>
    <row r="112" s="331" customFormat="1" ht="12.75" x14ac:dyDescent="0.35"/>
    <row r="113" s="331" customFormat="1" ht="12.75" x14ac:dyDescent="0.35"/>
    <row r="114" s="331" customFormat="1" ht="12.75" x14ac:dyDescent="0.35"/>
    <row r="115" s="331" customFormat="1" ht="12.75" x14ac:dyDescent="0.35"/>
    <row r="116" s="331" customFormat="1" ht="12.75" x14ac:dyDescent="0.35"/>
    <row r="117" s="331" customFormat="1" ht="12.75" x14ac:dyDescent="0.35"/>
    <row r="118" s="331" customFormat="1" ht="12.75" x14ac:dyDescent="0.35"/>
    <row r="119" s="331" customFormat="1" ht="12.75" x14ac:dyDescent="0.35"/>
    <row r="120" s="331" customFormat="1" ht="12.75" x14ac:dyDescent="0.35"/>
    <row r="121" s="331" customFormat="1" ht="12.75" x14ac:dyDescent="0.35"/>
    <row r="122" s="331" customFormat="1" ht="12.75" x14ac:dyDescent="0.35"/>
    <row r="123" s="331" customFormat="1" ht="12.75" x14ac:dyDescent="0.35"/>
    <row r="124" s="331" customFormat="1" ht="12.75" x14ac:dyDescent="0.35"/>
    <row r="125" s="331" customFormat="1" ht="12.75" x14ac:dyDescent="0.35"/>
    <row r="126" s="331" customFormat="1" ht="12.75" x14ac:dyDescent="0.35"/>
    <row r="127" s="331" customFormat="1" ht="12.75" x14ac:dyDescent="0.35"/>
    <row r="128" s="331" customFormat="1" ht="12.75" x14ac:dyDescent="0.35"/>
    <row r="129" s="331" customFormat="1" ht="12.75" x14ac:dyDescent="0.35"/>
    <row r="130" s="331" customFormat="1" ht="12.75" x14ac:dyDescent="0.35"/>
    <row r="131" s="331" customFormat="1" ht="12.75" x14ac:dyDescent="0.35"/>
    <row r="132" s="331" customFormat="1" ht="12.75" x14ac:dyDescent="0.35"/>
    <row r="133" s="331" customFormat="1" ht="12.75" x14ac:dyDescent="0.35"/>
    <row r="134" s="331" customFormat="1" ht="12.75" x14ac:dyDescent="0.35"/>
    <row r="135" s="331" customFormat="1" ht="12.75" x14ac:dyDescent="0.35"/>
    <row r="136" s="331" customFormat="1" ht="12.75" x14ac:dyDescent="0.35"/>
    <row r="137" s="331" customFormat="1" ht="12.75" x14ac:dyDescent="0.35"/>
    <row r="138" s="331" customFormat="1" ht="12.75" x14ac:dyDescent="0.35"/>
    <row r="139" s="331" customFormat="1" ht="12.75" x14ac:dyDescent="0.35"/>
    <row r="140" s="331" customFormat="1" ht="12.75" x14ac:dyDescent="0.35"/>
    <row r="141" s="331" customFormat="1" ht="12.75" x14ac:dyDescent="0.35"/>
    <row r="142" s="331" customFormat="1" ht="12.75" x14ac:dyDescent="0.35"/>
    <row r="143" s="331" customFormat="1" ht="12.75" x14ac:dyDescent="0.35"/>
    <row r="144" s="331" customFormat="1" ht="12.75" x14ac:dyDescent="0.35"/>
    <row r="145" s="331" customFormat="1" ht="12.75" x14ac:dyDescent="0.35"/>
    <row r="146" s="331" customFormat="1" ht="12.75" x14ac:dyDescent="0.35"/>
    <row r="147" s="331" customFormat="1" ht="12.75" x14ac:dyDescent="0.35"/>
    <row r="148" s="331" customFormat="1" ht="12.75" x14ac:dyDescent="0.35"/>
    <row r="149" s="331" customFormat="1" ht="12.75" x14ac:dyDescent="0.35"/>
    <row r="150" s="331" customFormat="1" ht="12.75" x14ac:dyDescent="0.35"/>
    <row r="151" s="331" customFormat="1" ht="12.75" x14ac:dyDescent="0.35"/>
    <row r="152" s="331" customFormat="1" ht="12.75" x14ac:dyDescent="0.35"/>
    <row r="153" s="331" customFormat="1" ht="12.75" x14ac:dyDescent="0.35"/>
    <row r="154" s="331" customFormat="1" ht="12.75" x14ac:dyDescent="0.35"/>
    <row r="155" s="331" customFormat="1" ht="12.75" x14ac:dyDescent="0.35"/>
    <row r="156" s="331" customFormat="1" ht="12.75" x14ac:dyDescent="0.35"/>
    <row r="157" s="331" customFormat="1" ht="12.75" x14ac:dyDescent="0.35"/>
    <row r="158" s="331" customFormat="1" ht="12.75" x14ac:dyDescent="0.35"/>
    <row r="159" s="331" customFormat="1" ht="12.75" x14ac:dyDescent="0.35"/>
    <row r="160" s="331" customFormat="1" ht="12.75" x14ac:dyDescent="0.35"/>
    <row r="161" s="331" customFormat="1" ht="12.75" x14ac:dyDescent="0.35"/>
    <row r="162" s="331" customFormat="1" ht="12.75" x14ac:dyDescent="0.35"/>
    <row r="163" s="331" customFormat="1" ht="12.75" x14ac:dyDescent="0.35"/>
  </sheetData>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zoomScale="85" zoomScaleNormal="85" workbookViewId="0"/>
  </sheetViews>
  <sheetFormatPr defaultRowHeight="13.5" x14ac:dyDescent="0.35"/>
  <cols>
    <col min="1" max="1" width="6.1875" bestFit="1" customWidth="1"/>
    <col min="2" max="2" width="18.3125" bestFit="1" customWidth="1"/>
    <col min="3" max="3" width="74.6875" bestFit="1" customWidth="1"/>
    <col min="4" max="4" width="4.5" customWidth="1"/>
    <col min="5" max="5" width="17.375" bestFit="1" customWidth="1"/>
    <col min="6" max="6" width="6.875" bestFit="1" customWidth="1"/>
    <col min="7" max="7" width="7" bestFit="1" customWidth="1"/>
    <col min="8" max="8" width="9.125" bestFit="1" customWidth="1"/>
    <col min="9" max="13" width="7.625" bestFit="1" customWidth="1"/>
    <col min="14" max="14" width="9.125" bestFit="1" customWidth="1"/>
  </cols>
  <sheetData>
    <row r="1" spans="1:14" x14ac:dyDescent="0.35">
      <c r="C1" t="s">
        <v>396</v>
      </c>
    </row>
    <row r="2" spans="1:14" x14ac:dyDescent="0.35">
      <c r="A2" t="s">
        <v>202</v>
      </c>
      <c r="B2" t="s">
        <v>16</v>
      </c>
      <c r="C2" t="s">
        <v>316</v>
      </c>
      <c r="D2" t="s">
        <v>87</v>
      </c>
      <c r="E2" t="s">
        <v>317</v>
      </c>
      <c r="F2" t="s">
        <v>250</v>
      </c>
      <c r="G2" t="s">
        <v>386</v>
      </c>
      <c r="H2" t="s">
        <v>205</v>
      </c>
      <c r="I2" t="s">
        <v>209</v>
      </c>
      <c r="J2" t="s">
        <v>213</v>
      </c>
      <c r="K2" t="s">
        <v>216</v>
      </c>
      <c r="L2" t="s">
        <v>219</v>
      </c>
      <c r="M2" t="s">
        <v>222</v>
      </c>
      <c r="N2" t="s">
        <v>337</v>
      </c>
    </row>
    <row r="4" spans="1:14" x14ac:dyDescent="0.35">
      <c r="F4" t="s">
        <v>318</v>
      </c>
      <c r="G4" t="s">
        <v>318</v>
      </c>
      <c r="H4" t="s">
        <v>318</v>
      </c>
      <c r="I4" t="s">
        <v>318</v>
      </c>
      <c r="J4" t="s">
        <v>318</v>
      </c>
      <c r="K4" t="s">
        <v>318</v>
      </c>
      <c r="L4" t="s">
        <v>318</v>
      </c>
      <c r="M4" t="s">
        <v>318</v>
      </c>
      <c r="N4" t="s">
        <v>318</v>
      </c>
    </row>
    <row r="5" spans="1:14" x14ac:dyDescent="0.35">
      <c r="F5" t="s">
        <v>394</v>
      </c>
      <c r="G5" t="s">
        <v>394</v>
      </c>
      <c r="H5" t="s">
        <v>394</v>
      </c>
      <c r="I5" t="s">
        <v>394</v>
      </c>
      <c r="J5" t="s">
        <v>394</v>
      </c>
      <c r="K5" t="s">
        <v>394</v>
      </c>
      <c r="L5" t="s">
        <v>394</v>
      </c>
      <c r="M5" t="s">
        <v>394</v>
      </c>
      <c r="N5" t="s">
        <v>394</v>
      </c>
    </row>
    <row r="6" spans="1:14" x14ac:dyDescent="0.35">
      <c r="F6" t="s">
        <v>319</v>
      </c>
      <c r="G6" t="s">
        <v>319</v>
      </c>
      <c r="H6" t="s">
        <v>319</v>
      </c>
      <c r="I6" t="s">
        <v>319</v>
      </c>
      <c r="J6" t="s">
        <v>319</v>
      </c>
      <c r="K6" t="s">
        <v>319</v>
      </c>
      <c r="L6" t="s">
        <v>319</v>
      </c>
      <c r="M6" t="s">
        <v>319</v>
      </c>
      <c r="N6" t="s">
        <v>319</v>
      </c>
    </row>
    <row r="7" spans="1:14" x14ac:dyDescent="0.35">
      <c r="A7" t="s">
        <v>232</v>
      </c>
      <c r="B7" t="s">
        <v>321</v>
      </c>
      <c r="C7" t="s">
        <v>340</v>
      </c>
      <c r="D7" t="s">
        <v>320</v>
      </c>
      <c r="E7" t="s">
        <v>318</v>
      </c>
      <c r="F7" s="342"/>
      <c r="G7" s="342">
        <v>0</v>
      </c>
      <c r="H7" s="342">
        <v>0</v>
      </c>
      <c r="I7" s="342">
        <v>17.597396740229499</v>
      </c>
      <c r="J7" s="342">
        <v>18.275127600800701</v>
      </c>
      <c r="K7" s="342">
        <v>18.333042921602001</v>
      </c>
      <c r="L7" s="342">
        <v>18.4200163762827</v>
      </c>
      <c r="M7" s="342">
        <v>18.498431489550001</v>
      </c>
      <c r="N7" s="342">
        <v>91.124015128465004</v>
      </c>
    </row>
    <row r="8" spans="1:14" x14ac:dyDescent="0.35">
      <c r="A8" t="s">
        <v>232</v>
      </c>
      <c r="B8" t="s">
        <v>322</v>
      </c>
      <c r="C8" t="s">
        <v>341</v>
      </c>
      <c r="D8" t="s">
        <v>331</v>
      </c>
      <c r="E8" t="s">
        <v>318</v>
      </c>
      <c r="F8" s="343"/>
      <c r="G8" s="343">
        <v>0</v>
      </c>
      <c r="H8" s="343">
        <v>0</v>
      </c>
      <c r="I8" s="343">
        <v>0</v>
      </c>
      <c r="J8" s="343">
        <v>3.95E-2</v>
      </c>
      <c r="K8" s="343">
        <v>4.0000000000000001E-3</v>
      </c>
      <c r="L8" s="343">
        <v>5.0000000000000001E-3</v>
      </c>
      <c r="M8" s="343">
        <v>4.4000000000000003E-3</v>
      </c>
      <c r="N8" s="343"/>
    </row>
    <row r="9" spans="1:14" x14ac:dyDescent="0.35">
      <c r="A9" t="s">
        <v>232</v>
      </c>
      <c r="B9" t="s">
        <v>332</v>
      </c>
      <c r="C9" t="s">
        <v>342</v>
      </c>
      <c r="D9" t="s">
        <v>320</v>
      </c>
      <c r="E9" t="s">
        <v>318</v>
      </c>
      <c r="F9" s="342"/>
      <c r="G9" s="342">
        <v>0</v>
      </c>
      <c r="H9" s="342">
        <v>0</v>
      </c>
      <c r="I9" s="342">
        <v>145.185139681284</v>
      </c>
      <c r="J9" s="342">
        <v>146.266150074937</v>
      </c>
      <c r="K9" s="342">
        <v>146.60193156469299</v>
      </c>
      <c r="L9" s="342">
        <v>146.889993005901</v>
      </c>
      <c r="M9" s="342">
        <v>147.06408007838201</v>
      </c>
      <c r="N9" s="342">
        <v>732.00729440519694</v>
      </c>
    </row>
    <row r="10" spans="1:14" x14ac:dyDescent="0.35">
      <c r="A10" t="s">
        <v>232</v>
      </c>
      <c r="B10" t="s">
        <v>333</v>
      </c>
      <c r="C10" t="s">
        <v>343</v>
      </c>
      <c r="D10" t="s">
        <v>331</v>
      </c>
      <c r="E10" t="s">
        <v>318</v>
      </c>
      <c r="F10" s="343"/>
      <c r="G10" s="343">
        <v>0</v>
      </c>
      <c r="H10" s="343">
        <v>0</v>
      </c>
      <c r="I10" s="343">
        <v>0</v>
      </c>
      <c r="J10" s="343">
        <v>7.7999999999999901E-3</v>
      </c>
      <c r="K10" s="343">
        <v>3.0999999999999999E-3</v>
      </c>
      <c r="L10" s="343">
        <v>2.0999999999999999E-3</v>
      </c>
      <c r="M10" s="343">
        <v>1.2999999999999999E-3</v>
      </c>
      <c r="N10" s="343"/>
    </row>
    <row r="11" spans="1:14" x14ac:dyDescent="0.35">
      <c r="A11" t="s">
        <v>232</v>
      </c>
      <c r="B11" t="s">
        <v>344</v>
      </c>
      <c r="C11" t="s">
        <v>345</v>
      </c>
      <c r="D11" t="s">
        <v>320</v>
      </c>
      <c r="E11" t="s">
        <v>318</v>
      </c>
      <c r="F11" s="342"/>
      <c r="G11" s="342">
        <v>0</v>
      </c>
      <c r="H11" s="342">
        <v>0</v>
      </c>
      <c r="I11" s="342">
        <v>162.78253642151299</v>
      </c>
      <c r="J11" s="342">
        <v>164.541277675738</v>
      </c>
      <c r="K11" s="342">
        <v>164.934974486295</v>
      </c>
      <c r="L11" s="342">
        <v>165.31000938218301</v>
      </c>
      <c r="M11" s="342">
        <v>165.56251156793201</v>
      </c>
      <c r="N11" s="342">
        <v>823.13130953366203</v>
      </c>
    </row>
    <row r="12" spans="1:14" x14ac:dyDescent="0.35">
      <c r="A12" t="s">
        <v>232</v>
      </c>
      <c r="B12" t="s">
        <v>346</v>
      </c>
      <c r="C12" t="s">
        <v>347</v>
      </c>
      <c r="D12" t="s">
        <v>331</v>
      </c>
      <c r="E12" t="s">
        <v>318</v>
      </c>
      <c r="F12" s="343"/>
      <c r="G12" s="343">
        <v>0</v>
      </c>
      <c r="H12" s="343">
        <v>0</v>
      </c>
      <c r="I12" s="343">
        <v>0</v>
      </c>
      <c r="J12" s="343">
        <v>1.1199999999999899E-2</v>
      </c>
      <c r="K12" s="343">
        <v>3.2000000000000002E-3</v>
      </c>
      <c r="L12" s="343">
        <v>2.3999999999999998E-3</v>
      </c>
      <c r="M12" s="343">
        <v>1.6000000000000001E-3</v>
      </c>
      <c r="N12" s="343"/>
    </row>
    <row r="13" spans="1:14" x14ac:dyDescent="0.35">
      <c r="A13" t="s">
        <v>232</v>
      </c>
      <c r="B13" t="s">
        <v>334</v>
      </c>
      <c r="C13" t="s">
        <v>348</v>
      </c>
      <c r="D13" t="s">
        <v>320</v>
      </c>
      <c r="E13" t="s">
        <v>318</v>
      </c>
      <c r="F13" s="342"/>
      <c r="G13" s="342">
        <v>0</v>
      </c>
      <c r="H13" s="342">
        <v>0</v>
      </c>
      <c r="I13" s="342">
        <v>251.539170127831</v>
      </c>
      <c r="J13" s="342">
        <v>253.357727382478</v>
      </c>
      <c r="K13" s="342">
        <v>253.85476686799799</v>
      </c>
      <c r="L13" s="342">
        <v>254.14247774045299</v>
      </c>
      <c r="M13" s="342">
        <v>254.54277206564399</v>
      </c>
      <c r="N13" s="342">
        <v>1267.4369141843999</v>
      </c>
    </row>
    <row r="14" spans="1:14" x14ac:dyDescent="0.35">
      <c r="A14" t="s">
        <v>232</v>
      </c>
      <c r="B14" t="s">
        <v>335</v>
      </c>
      <c r="C14" t="s">
        <v>349</v>
      </c>
      <c r="D14" t="s">
        <v>331</v>
      </c>
      <c r="E14" t="s">
        <v>318</v>
      </c>
      <c r="F14" s="343"/>
      <c r="G14" s="343">
        <v>0</v>
      </c>
      <c r="H14" s="343">
        <v>0</v>
      </c>
      <c r="I14" s="343">
        <v>0</v>
      </c>
      <c r="J14" s="343">
        <v>7.4999999999999997E-3</v>
      </c>
      <c r="K14" s="343">
        <v>2.79999999999999E-3</v>
      </c>
      <c r="L14" s="343">
        <v>1.2999999999999999E-3</v>
      </c>
      <c r="M14" s="343">
        <v>1.6000000000000001E-3</v>
      </c>
      <c r="N14" s="343"/>
    </row>
    <row r="15" spans="1:14" x14ac:dyDescent="0.35">
      <c r="A15" t="s">
        <v>232</v>
      </c>
      <c r="B15" t="s">
        <v>336</v>
      </c>
      <c r="C15" t="s">
        <v>350</v>
      </c>
      <c r="D15" t="s">
        <v>351</v>
      </c>
      <c r="E15" t="s">
        <v>318</v>
      </c>
      <c r="F15" s="344">
        <v>74.87</v>
      </c>
      <c r="G15" s="344">
        <v>70.055000000000007</v>
      </c>
      <c r="H15" s="344">
        <v>74.053073851398494</v>
      </c>
      <c r="I15" s="394">
        <v>71.144999999999996</v>
      </c>
      <c r="J15" s="394">
        <v>71.784999999999997</v>
      </c>
      <c r="K15" s="394">
        <v>72.260000000000005</v>
      </c>
      <c r="L15" s="394">
        <v>73.117999999999995</v>
      </c>
      <c r="M15" s="394">
        <v>74.477999999999994</v>
      </c>
      <c r="N15" s="344"/>
    </row>
    <row r="16" spans="1:14" x14ac:dyDescent="0.35">
      <c r="A16" t="s">
        <v>232</v>
      </c>
      <c r="B16" t="s">
        <v>338</v>
      </c>
      <c r="C16" t="s">
        <v>352</v>
      </c>
      <c r="D16" t="s">
        <v>320</v>
      </c>
      <c r="E16" t="s">
        <v>318</v>
      </c>
      <c r="F16" s="342"/>
      <c r="G16" s="342">
        <v>0</v>
      </c>
      <c r="H16" s="342">
        <v>0</v>
      </c>
      <c r="I16" s="342">
        <v>30.3219109136177</v>
      </c>
      <c r="J16" s="342">
        <v>31.467070937250298</v>
      </c>
      <c r="K16" s="342">
        <v>31.533787194849499</v>
      </c>
      <c r="L16" s="342">
        <v>31.611168769415599</v>
      </c>
      <c r="M16" s="342">
        <v>31.644759864892102</v>
      </c>
      <c r="N16" s="342">
        <v>156.57869768002499</v>
      </c>
    </row>
    <row r="17" spans="1:14" x14ac:dyDescent="0.35">
      <c r="A17" t="s">
        <v>232</v>
      </c>
      <c r="B17" t="s">
        <v>339</v>
      </c>
      <c r="C17" t="s">
        <v>353</v>
      </c>
      <c r="D17" t="s">
        <v>320</v>
      </c>
      <c r="E17" t="s">
        <v>318</v>
      </c>
      <c r="F17" s="342"/>
      <c r="G17" s="342"/>
      <c r="H17" s="342"/>
      <c r="I17" s="342">
        <v>34.837907904727203</v>
      </c>
      <c r="J17" s="342">
        <v>31.902510731770601</v>
      </c>
      <c r="K17" s="342">
        <v>32.716490318083103</v>
      </c>
      <c r="L17" s="342">
        <v>33.448142797569197</v>
      </c>
      <c r="M17" s="342">
        <v>34.196410189452202</v>
      </c>
      <c r="N17" s="342">
        <v>167.101461941602</v>
      </c>
    </row>
    <row r="18" spans="1:14" x14ac:dyDescent="0.35">
      <c r="A18" t="s">
        <v>232</v>
      </c>
      <c r="B18" t="s">
        <v>355</v>
      </c>
      <c r="C18" t="s">
        <v>358</v>
      </c>
      <c r="D18" t="s">
        <v>320</v>
      </c>
      <c r="E18" t="s">
        <v>318</v>
      </c>
      <c r="F18" s="342"/>
      <c r="G18" s="342">
        <v>0</v>
      </c>
      <c r="H18" s="342">
        <v>0</v>
      </c>
      <c r="I18" s="342">
        <v>17.597396740229499</v>
      </c>
      <c r="J18" s="342">
        <v>18.275127600800701</v>
      </c>
      <c r="K18" s="342">
        <v>18.333042921602001</v>
      </c>
      <c r="L18" s="342">
        <v>18.4200163762827</v>
      </c>
      <c r="M18" s="342">
        <v>18.498431489550001</v>
      </c>
      <c r="N18" s="342">
        <v>91.124015128465004</v>
      </c>
    </row>
    <row r="19" spans="1:14" x14ac:dyDescent="0.35">
      <c r="A19" t="s">
        <v>232</v>
      </c>
      <c r="B19" t="s">
        <v>356</v>
      </c>
      <c r="C19" t="s">
        <v>359</v>
      </c>
      <c r="D19" t="s">
        <v>320</v>
      </c>
      <c r="E19" t="s">
        <v>318</v>
      </c>
      <c r="F19" s="342"/>
      <c r="G19" s="342">
        <v>0</v>
      </c>
      <c r="H19" s="342">
        <v>0</v>
      </c>
      <c r="I19" s="342">
        <v>143.78513968128399</v>
      </c>
      <c r="J19" s="342">
        <v>144.866150074937</v>
      </c>
      <c r="K19" s="342">
        <v>145.20193156469301</v>
      </c>
      <c r="L19" s="342">
        <v>145.489993005901</v>
      </c>
      <c r="M19" s="342">
        <v>145.664080078382</v>
      </c>
      <c r="N19" s="342">
        <v>725.00729440519694</v>
      </c>
    </row>
    <row r="20" spans="1:14" x14ac:dyDescent="0.35">
      <c r="A20" t="s">
        <v>232</v>
      </c>
      <c r="B20" t="s">
        <v>357</v>
      </c>
      <c r="C20" t="s">
        <v>360</v>
      </c>
      <c r="D20" t="s">
        <v>320</v>
      </c>
      <c r="E20" t="s">
        <v>318</v>
      </c>
      <c r="F20" s="342"/>
      <c r="G20" s="342">
        <v>0</v>
      </c>
      <c r="H20" s="342">
        <v>0</v>
      </c>
      <c r="I20" s="342">
        <v>251.43917012783101</v>
      </c>
      <c r="J20" s="342">
        <v>253.25772738247801</v>
      </c>
      <c r="K20" s="342">
        <v>253.754766867998</v>
      </c>
      <c r="L20" s="342">
        <v>254.04247774045299</v>
      </c>
      <c r="M20" s="342">
        <v>254.44277206564399</v>
      </c>
      <c r="N20" s="342">
        <v>1266.9369141843999</v>
      </c>
    </row>
    <row r="21" spans="1:14" x14ac:dyDescent="0.35">
      <c r="A21" t="s">
        <v>232</v>
      </c>
      <c r="B21" t="s">
        <v>362</v>
      </c>
      <c r="C21" t="s">
        <v>373</v>
      </c>
      <c r="D21" t="s">
        <v>374</v>
      </c>
      <c r="E21" t="s">
        <v>318</v>
      </c>
      <c r="F21" s="344">
        <v>103.2</v>
      </c>
      <c r="G21" s="344">
        <v>105.5</v>
      </c>
      <c r="H21" s="344">
        <v>107.6</v>
      </c>
      <c r="I21" s="344">
        <v>109.703354739972</v>
      </c>
      <c r="J21" s="344">
        <v>111.897421834771</v>
      </c>
      <c r="K21" s="344">
        <v>114.172657229451</v>
      </c>
      <c r="L21" s="344">
        <v>116.57028303126999</v>
      </c>
      <c r="M21" s="344">
        <v>119.01825897492699</v>
      </c>
      <c r="N21" s="344"/>
    </row>
    <row r="22" spans="1:14" x14ac:dyDescent="0.35">
      <c r="A22" t="s">
        <v>232</v>
      </c>
      <c r="B22" t="s">
        <v>363</v>
      </c>
      <c r="C22" t="s">
        <v>375</v>
      </c>
      <c r="D22" t="s">
        <v>374</v>
      </c>
      <c r="E22" t="s">
        <v>318</v>
      </c>
      <c r="F22" s="344">
        <v>103.5</v>
      </c>
      <c r="G22" s="344">
        <v>105.9</v>
      </c>
      <c r="H22" s="344">
        <v>107.9</v>
      </c>
      <c r="I22" s="344">
        <v>109.884538749418</v>
      </c>
      <c r="J22" s="344">
        <v>112.082229524407</v>
      </c>
      <c r="K22" s="344">
        <v>114.370561696745</v>
      </c>
      <c r="L22" s="344">
        <v>116.772343492377</v>
      </c>
      <c r="M22" s="344">
        <v>119.22456270571701</v>
      </c>
      <c r="N22" s="344"/>
    </row>
    <row r="23" spans="1:14" x14ac:dyDescent="0.35">
      <c r="A23" t="s">
        <v>232</v>
      </c>
      <c r="B23" t="s">
        <v>364</v>
      </c>
      <c r="C23" t="s">
        <v>376</v>
      </c>
      <c r="D23" t="s">
        <v>374</v>
      </c>
      <c r="E23" t="s">
        <v>318</v>
      </c>
      <c r="F23" s="344">
        <v>103.5</v>
      </c>
      <c r="G23" s="344">
        <v>105.9</v>
      </c>
      <c r="H23" s="344">
        <v>107.9</v>
      </c>
      <c r="I23" s="344">
        <v>110.066021998987</v>
      </c>
      <c r="J23" s="344">
        <v>112.26734243896701</v>
      </c>
      <c r="K23" s="344">
        <v>114.568809207453</v>
      </c>
      <c r="L23" s="344">
        <v>116.97475420081</v>
      </c>
      <c r="M23" s="344">
        <v>119.431224039027</v>
      </c>
      <c r="N23" s="344"/>
    </row>
    <row r="24" spans="1:14" x14ac:dyDescent="0.35">
      <c r="A24" t="s">
        <v>232</v>
      </c>
      <c r="B24" t="s">
        <v>365</v>
      </c>
      <c r="C24" t="s">
        <v>377</v>
      </c>
      <c r="D24" t="s">
        <v>374</v>
      </c>
      <c r="E24" t="s">
        <v>318</v>
      </c>
      <c r="F24" s="344">
        <v>103.5</v>
      </c>
      <c r="G24" s="344">
        <v>105.9</v>
      </c>
      <c r="H24" s="344">
        <v>108</v>
      </c>
      <c r="I24" s="344">
        <v>110.24780498289699</v>
      </c>
      <c r="J24" s="344">
        <v>112.452761082555</v>
      </c>
      <c r="K24" s="344">
        <v>114.7674003562</v>
      </c>
      <c r="L24" s="344">
        <v>117.17751576368001</v>
      </c>
      <c r="M24" s="344">
        <v>119.638243594717</v>
      </c>
      <c r="N24" s="344"/>
    </row>
    <row r="25" spans="1:14" x14ac:dyDescent="0.35">
      <c r="A25" t="s">
        <v>232</v>
      </c>
      <c r="B25" t="s">
        <v>366</v>
      </c>
      <c r="C25" t="s">
        <v>378</v>
      </c>
      <c r="D25" t="s">
        <v>374</v>
      </c>
      <c r="E25" t="s">
        <v>318</v>
      </c>
      <c r="F25" s="344">
        <v>104</v>
      </c>
      <c r="G25" s="344">
        <v>106.5</v>
      </c>
      <c r="H25" s="344">
        <v>108.3</v>
      </c>
      <c r="I25" s="344">
        <v>110.429888196185</v>
      </c>
      <c r="J25" s="344">
        <v>112.638485960108</v>
      </c>
      <c r="K25" s="344">
        <v>114.96633573864</v>
      </c>
      <c r="L25" s="344">
        <v>117.380628789151</v>
      </c>
      <c r="M25" s="344">
        <v>119.845621993724</v>
      </c>
      <c r="N25" s="344"/>
    </row>
    <row r="26" spans="1:14" x14ac:dyDescent="0.35">
      <c r="A26" t="s">
        <v>232</v>
      </c>
      <c r="B26" t="s">
        <v>367</v>
      </c>
      <c r="C26" t="s">
        <v>379</v>
      </c>
      <c r="D26" t="s">
        <v>374</v>
      </c>
      <c r="E26" t="s">
        <v>318</v>
      </c>
      <c r="F26" s="344">
        <v>104.3</v>
      </c>
      <c r="G26" s="344">
        <v>106.6</v>
      </c>
      <c r="H26" s="344">
        <v>108.469999617629</v>
      </c>
      <c r="I26" s="344">
        <v>110.61227213470301</v>
      </c>
      <c r="J26" s="344">
        <v>112.824517577397</v>
      </c>
      <c r="K26" s="344">
        <v>115.16561595146101</v>
      </c>
      <c r="L26" s="344">
        <v>117.58409388644201</v>
      </c>
      <c r="M26" s="344">
        <v>120.05335985805699</v>
      </c>
      <c r="N26" s="344"/>
    </row>
    <row r="27" spans="1:14" x14ac:dyDescent="0.35">
      <c r="A27" t="s">
        <v>232</v>
      </c>
      <c r="B27" t="s">
        <v>368</v>
      </c>
      <c r="C27" t="s">
        <v>380</v>
      </c>
      <c r="D27" t="s">
        <v>374</v>
      </c>
      <c r="E27" t="s">
        <v>318</v>
      </c>
      <c r="F27" s="344">
        <v>104.4</v>
      </c>
      <c r="G27" s="344">
        <v>106.7</v>
      </c>
      <c r="H27" s="344">
        <v>108.64026608539599</v>
      </c>
      <c r="I27" s="344">
        <v>110.794957295123</v>
      </c>
      <c r="J27" s="344">
        <v>113.01085644102599</v>
      </c>
      <c r="K27" s="344">
        <v>115.365241592385</v>
      </c>
      <c r="L27" s="344">
        <v>117.78791166582501</v>
      </c>
      <c r="M27" s="344">
        <v>120.261457810807</v>
      </c>
      <c r="N27" s="344"/>
    </row>
    <row r="28" spans="1:14" x14ac:dyDescent="0.35">
      <c r="A28" t="s">
        <v>232</v>
      </c>
      <c r="B28" t="s">
        <v>361</v>
      </c>
      <c r="C28" t="s">
        <v>381</v>
      </c>
      <c r="D28" t="s">
        <v>374</v>
      </c>
      <c r="E28" t="s">
        <v>318</v>
      </c>
      <c r="F28" s="344">
        <v>104.7</v>
      </c>
      <c r="G28" s="344">
        <v>106.9</v>
      </c>
      <c r="H28" s="344">
        <v>108.81079982217901</v>
      </c>
      <c r="I28" s="344">
        <v>110.977944174939</v>
      </c>
      <c r="J28" s="344">
        <v>113.197503058438</v>
      </c>
      <c r="K28" s="344">
        <v>115.565213260169</v>
      </c>
      <c r="L28" s="344">
        <v>117.992082738633</v>
      </c>
      <c r="M28" s="344">
        <v>120.46991647614399</v>
      </c>
      <c r="N28" s="344"/>
    </row>
    <row r="29" spans="1:14" x14ac:dyDescent="0.35">
      <c r="A29" t="s">
        <v>232</v>
      </c>
      <c r="B29" t="s">
        <v>369</v>
      </c>
      <c r="C29" t="s">
        <v>382</v>
      </c>
      <c r="D29" t="s">
        <v>374</v>
      </c>
      <c r="E29" t="s">
        <v>318</v>
      </c>
      <c r="F29" s="344">
        <v>105</v>
      </c>
      <c r="G29" s="344">
        <v>107.1</v>
      </c>
      <c r="H29" s="344">
        <v>108.981601247513</v>
      </c>
      <c r="I29" s="344">
        <v>111.161233272464</v>
      </c>
      <c r="J29" s="344">
        <v>113.384457937913</v>
      </c>
      <c r="K29" s="344">
        <v>115.765531554609</v>
      </c>
      <c r="L29" s="344">
        <v>118.196607717256</v>
      </c>
      <c r="M29" s="344">
        <v>120.678736479319</v>
      </c>
      <c r="N29" s="344"/>
    </row>
    <row r="30" spans="1:14" x14ac:dyDescent="0.35">
      <c r="A30" t="s">
        <v>232</v>
      </c>
      <c r="B30" t="s">
        <v>370</v>
      </c>
      <c r="C30" t="s">
        <v>383</v>
      </c>
      <c r="D30" t="s">
        <v>374</v>
      </c>
      <c r="E30" t="s">
        <v>318</v>
      </c>
      <c r="F30" s="344">
        <v>104.5</v>
      </c>
      <c r="G30" s="344">
        <v>106.4</v>
      </c>
      <c r="H30" s="344">
        <v>109.161593222387</v>
      </c>
      <c r="I30" s="344">
        <v>111.344825086835</v>
      </c>
      <c r="J30" s="344">
        <v>113.580996157239</v>
      </c>
      <c r="K30" s="344">
        <v>115.96619707654099</v>
      </c>
      <c r="L30" s="344">
        <v>118.40148721514799</v>
      </c>
      <c r="M30" s="344">
        <v>120.887918446667</v>
      </c>
      <c r="N30" s="344"/>
    </row>
    <row r="31" spans="1:14" x14ac:dyDescent="0.35">
      <c r="A31" t="s">
        <v>232</v>
      </c>
      <c r="B31" t="s">
        <v>371</v>
      </c>
      <c r="C31" t="s">
        <v>384</v>
      </c>
      <c r="D31" t="s">
        <v>374</v>
      </c>
      <c r="E31" t="s">
        <v>318</v>
      </c>
      <c r="F31" s="344">
        <v>104.9</v>
      </c>
      <c r="G31" s="344">
        <v>106.8</v>
      </c>
      <c r="H31" s="344">
        <v>109.341882468641</v>
      </c>
      <c r="I31" s="344">
        <v>111.52872011801399</v>
      </c>
      <c r="J31" s="344">
        <v>113.77787505175399</v>
      </c>
      <c r="K31" s="344">
        <v>116.167210427841</v>
      </c>
      <c r="L31" s="344">
        <v>118.606721846825</v>
      </c>
      <c r="M31" s="344">
        <v>121.097463005609</v>
      </c>
      <c r="N31" s="344"/>
    </row>
    <row r="32" spans="1:14" x14ac:dyDescent="0.35">
      <c r="A32" t="s">
        <v>232</v>
      </c>
      <c r="B32" t="s">
        <v>372</v>
      </c>
      <c r="C32" t="s">
        <v>385</v>
      </c>
      <c r="D32" t="s">
        <v>374</v>
      </c>
      <c r="E32" t="s">
        <v>318</v>
      </c>
      <c r="F32" s="344">
        <v>105.1</v>
      </c>
      <c r="G32" s="344">
        <v>107</v>
      </c>
      <c r="H32" s="344">
        <v>109.52246947724301</v>
      </c>
      <c r="I32" s="344">
        <v>111.712918866788</v>
      </c>
      <c r="J32" s="344">
        <v>113.97509521197701</v>
      </c>
      <c r="K32" s="344">
        <v>116.368572211429</v>
      </c>
      <c r="L32" s="344">
        <v>118.812312227869</v>
      </c>
      <c r="M32" s="344">
        <v>121.307370784654</v>
      </c>
      <c r="N32" s="344"/>
    </row>
    <row r="33" spans="1:14" x14ac:dyDescent="0.35">
      <c r="A33" t="s">
        <v>232</v>
      </c>
      <c r="B33" t="s">
        <v>361</v>
      </c>
      <c r="C33" t="s">
        <v>381</v>
      </c>
      <c r="D33" t="s">
        <v>374</v>
      </c>
      <c r="E33" t="s">
        <v>318</v>
      </c>
      <c r="F33" s="344">
        <v>104.7</v>
      </c>
      <c r="G33" s="344">
        <v>106.9</v>
      </c>
      <c r="H33" s="344">
        <v>108.81079982217901</v>
      </c>
      <c r="I33" s="344">
        <v>110.977944174939</v>
      </c>
      <c r="J33" s="344">
        <v>113.197503058438</v>
      </c>
      <c r="K33" s="344">
        <v>115.565213260169</v>
      </c>
      <c r="L33" s="344">
        <v>117.992082738633</v>
      </c>
      <c r="M33" s="344">
        <v>120.46991647614399</v>
      </c>
      <c r="N33" s="344"/>
    </row>
    <row r="34" spans="1:14" x14ac:dyDescent="0.35">
      <c r="A34" t="s">
        <v>232</v>
      </c>
      <c r="B34" t="s">
        <v>323</v>
      </c>
      <c r="C34" t="s">
        <v>354</v>
      </c>
      <c r="D34" t="s">
        <v>320</v>
      </c>
      <c r="E34" t="s">
        <v>318</v>
      </c>
      <c r="F34" s="345"/>
      <c r="G34" s="345"/>
      <c r="H34" s="345">
        <v>0</v>
      </c>
      <c r="I34" s="345"/>
      <c r="J34" s="345"/>
      <c r="K34" s="345"/>
      <c r="L34" s="345"/>
      <c r="M34" s="345"/>
      <c r="N34" s="345"/>
    </row>
    <row r="35" spans="1:14" x14ac:dyDescent="0.35">
      <c r="A35" t="s">
        <v>232</v>
      </c>
      <c r="B35" t="s">
        <v>324</v>
      </c>
      <c r="C35" t="s">
        <v>387</v>
      </c>
      <c r="D35" t="s">
        <v>320</v>
      </c>
      <c r="E35" t="s">
        <v>318</v>
      </c>
      <c r="F35" s="345"/>
      <c r="G35" s="345"/>
      <c r="H35" s="345">
        <v>0.38169311195248201</v>
      </c>
      <c r="I35" s="345"/>
      <c r="J35" s="345"/>
      <c r="K35" s="345"/>
      <c r="L35" s="345"/>
      <c r="M35" s="345"/>
      <c r="N35" s="345"/>
    </row>
    <row r="36" spans="1:14" x14ac:dyDescent="0.35">
      <c r="A36" t="s">
        <v>232</v>
      </c>
      <c r="B36" t="s">
        <v>325</v>
      </c>
      <c r="C36" t="s">
        <v>388</v>
      </c>
      <c r="D36" t="s">
        <v>320</v>
      </c>
      <c r="E36" t="s">
        <v>318</v>
      </c>
      <c r="F36" s="345"/>
      <c r="G36" s="345"/>
      <c r="H36" s="345">
        <v>-0.54396432671520401</v>
      </c>
      <c r="I36" s="345"/>
      <c r="J36" s="345"/>
      <c r="K36" s="345"/>
      <c r="L36" s="345"/>
      <c r="M36" s="345"/>
      <c r="N36" s="345"/>
    </row>
    <row r="37" spans="1:14" x14ac:dyDescent="0.35">
      <c r="A37" t="s">
        <v>232</v>
      </c>
      <c r="B37" t="s">
        <v>326</v>
      </c>
      <c r="C37" t="s">
        <v>389</v>
      </c>
      <c r="D37" t="s">
        <v>320</v>
      </c>
      <c r="E37" t="s">
        <v>318</v>
      </c>
      <c r="F37" s="345"/>
      <c r="G37" s="345"/>
      <c r="H37" s="345">
        <v>0</v>
      </c>
      <c r="I37" s="345"/>
      <c r="J37" s="345"/>
      <c r="K37" s="345"/>
      <c r="L37" s="345"/>
      <c r="M37" s="345"/>
      <c r="N37" s="345"/>
    </row>
    <row r="38" spans="1:14" x14ac:dyDescent="0.35">
      <c r="A38" t="s">
        <v>232</v>
      </c>
      <c r="B38" t="s">
        <v>327</v>
      </c>
      <c r="C38" t="s">
        <v>390</v>
      </c>
      <c r="D38" t="s">
        <v>320</v>
      </c>
      <c r="E38" t="s">
        <v>318</v>
      </c>
      <c r="F38" s="345"/>
      <c r="G38" s="345"/>
      <c r="H38" s="345">
        <v>0</v>
      </c>
      <c r="I38" s="345"/>
      <c r="J38" s="345"/>
      <c r="K38" s="345"/>
      <c r="L38" s="345"/>
      <c r="M38" s="345"/>
      <c r="N38" s="345"/>
    </row>
    <row r="39" spans="1:14" x14ac:dyDescent="0.35">
      <c r="A39" t="s">
        <v>232</v>
      </c>
      <c r="B39" t="s">
        <v>328</v>
      </c>
      <c r="C39" t="s">
        <v>391</v>
      </c>
      <c r="D39" t="s">
        <v>320</v>
      </c>
      <c r="E39" t="s">
        <v>318</v>
      </c>
      <c r="F39" s="345"/>
      <c r="G39" s="345"/>
      <c r="H39" s="345">
        <v>0</v>
      </c>
      <c r="I39" s="345"/>
      <c r="J39" s="345"/>
      <c r="K39" s="345"/>
      <c r="L39" s="345"/>
      <c r="M39" s="345"/>
      <c r="N39" s="345"/>
    </row>
    <row r="40" spans="1:14" x14ac:dyDescent="0.35">
      <c r="A40" t="s">
        <v>232</v>
      </c>
      <c r="B40" t="s">
        <v>329</v>
      </c>
      <c r="C40" t="s">
        <v>392</v>
      </c>
      <c r="D40" t="s">
        <v>320</v>
      </c>
      <c r="E40" t="s">
        <v>318</v>
      </c>
      <c r="F40" s="345"/>
      <c r="G40" s="345"/>
      <c r="H40" s="345">
        <v>0</v>
      </c>
      <c r="I40" s="345"/>
      <c r="J40" s="345"/>
      <c r="K40" s="345"/>
      <c r="L40" s="345"/>
      <c r="M40" s="345"/>
      <c r="N40" s="345"/>
    </row>
    <row r="41" spans="1:14" x14ac:dyDescent="0.35">
      <c r="A41" t="s">
        <v>232</v>
      </c>
      <c r="B41" t="s">
        <v>330</v>
      </c>
      <c r="C41" t="s">
        <v>393</v>
      </c>
      <c r="D41" t="s">
        <v>320</v>
      </c>
      <c r="E41" t="s">
        <v>318</v>
      </c>
      <c r="F41" s="345"/>
      <c r="G41" s="345"/>
      <c r="H41" s="345">
        <v>-0.16227121476272099</v>
      </c>
      <c r="I41" s="345"/>
      <c r="J41" s="345"/>
      <c r="K41" s="345"/>
      <c r="L41" s="345"/>
      <c r="M41" s="345"/>
      <c r="N41" s="345"/>
    </row>
    <row r="42" spans="1:14" x14ac:dyDescent="0.35">
      <c r="A42" t="s">
        <v>232</v>
      </c>
      <c r="B42" t="s">
        <v>397</v>
      </c>
      <c r="C42" t="s">
        <v>398</v>
      </c>
      <c r="D42" t="s">
        <v>320</v>
      </c>
      <c r="E42" t="s">
        <v>318</v>
      </c>
      <c r="F42" s="342"/>
      <c r="G42" s="342">
        <v>0</v>
      </c>
      <c r="H42" s="342">
        <v>0</v>
      </c>
      <c r="I42" s="342">
        <v>30.3219109136177</v>
      </c>
      <c r="J42" s="342">
        <v>31.467070937250298</v>
      </c>
      <c r="K42" s="342">
        <v>31.533787194849499</v>
      </c>
      <c r="L42" s="342">
        <v>31.611168769415599</v>
      </c>
      <c r="M42" s="342">
        <v>31.644759864892102</v>
      </c>
      <c r="N42" s="342">
        <v>156.57869768002499</v>
      </c>
    </row>
    <row r="43" spans="1:14" x14ac:dyDescent="0.35">
      <c r="A43" t="s">
        <v>232</v>
      </c>
      <c r="B43" t="s">
        <v>399</v>
      </c>
      <c r="C43" t="s">
        <v>400</v>
      </c>
      <c r="D43" t="s">
        <v>320</v>
      </c>
      <c r="E43" t="s">
        <v>318</v>
      </c>
      <c r="F43" s="342"/>
      <c r="G43" s="342">
        <v>28.928259795110002</v>
      </c>
      <c r="H43" s="342">
        <v>30.5792100349686</v>
      </c>
      <c r="I43" s="342">
        <v>30.737337453045601</v>
      </c>
      <c r="J43" s="342">
        <v>30.991147330523599</v>
      </c>
      <c r="K43" s="342">
        <v>31.190498157154099</v>
      </c>
      <c r="L43" s="342">
        <v>31.534280176647599</v>
      </c>
      <c r="M43" s="342">
        <v>32.140249822046002</v>
      </c>
      <c r="N43" s="342">
        <v>156.593512939417</v>
      </c>
    </row>
    <row r="44" spans="1:14" x14ac:dyDescent="0.35">
      <c r="A44" t="s">
        <v>232</v>
      </c>
      <c r="B44" t="s">
        <v>401</v>
      </c>
      <c r="C44" t="s">
        <v>402</v>
      </c>
      <c r="D44" t="s">
        <v>320</v>
      </c>
      <c r="E44" t="s">
        <v>318</v>
      </c>
      <c r="F44" s="342"/>
      <c r="G44" s="342">
        <v>0</v>
      </c>
      <c r="H44" s="342">
        <v>0</v>
      </c>
      <c r="I44" s="342">
        <v>0</v>
      </c>
      <c r="J44" s="342">
        <v>0</v>
      </c>
      <c r="K44" s="342">
        <v>0</v>
      </c>
      <c r="L44" s="342">
        <v>0</v>
      </c>
      <c r="M44" s="342">
        <v>0</v>
      </c>
      <c r="N44" s="342">
        <v>0</v>
      </c>
    </row>
    <row r="45" spans="1:14" x14ac:dyDescent="0.35">
      <c r="A45" t="s">
        <v>232</v>
      </c>
      <c r="B45" t="s">
        <v>403</v>
      </c>
      <c r="C45" t="s">
        <v>404</v>
      </c>
      <c r="D45" t="s">
        <v>331</v>
      </c>
      <c r="E45" t="s">
        <v>318</v>
      </c>
      <c r="F45" s="343"/>
      <c r="G45" s="343">
        <v>0</v>
      </c>
      <c r="H45" s="343">
        <v>0</v>
      </c>
      <c r="I45" s="343">
        <v>0</v>
      </c>
      <c r="J45" s="343">
        <v>0</v>
      </c>
      <c r="K45" s="343">
        <v>0</v>
      </c>
      <c r="L45" s="343">
        <v>0</v>
      </c>
      <c r="M45" s="343">
        <v>0</v>
      </c>
      <c r="N45" s="3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0"/>
  <sheetViews>
    <sheetView zoomScale="85" zoomScaleNormal="85"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39" customWidth="1"/>
    <col min="5" max="5" width="87.625" style="139" customWidth="1"/>
    <col min="6" max="6" width="15.625" style="6" customWidth="1"/>
    <col min="7" max="7" width="15.625" style="139" customWidth="1"/>
    <col min="8" max="8" width="15.625" style="6" customWidth="1"/>
    <col min="9" max="9" width="2.625" style="6" customWidth="1"/>
    <col min="10" max="20" width="9.625" style="6" customWidth="1"/>
    <col min="21" max="16384" width="9.625" style="6" hidden="1"/>
  </cols>
  <sheetData>
    <row r="1" spans="1:20" s="105" customFormat="1" ht="29.25" x14ac:dyDescent="0.35">
      <c r="A1" s="205" t="str">
        <f ca="1" xml:space="preserve"> RIGHT(CELL("filename", $A$1), LEN(CELL("filename", $A$1)) - SEARCH("]", CELL("filename", $A$1)))</f>
        <v>Inputs</v>
      </c>
      <c r="B1" s="205"/>
      <c r="C1" s="205"/>
      <c r="D1" s="205"/>
      <c r="E1" s="205"/>
      <c r="F1" s="205"/>
      <c r="G1" s="205"/>
      <c r="H1" s="146" t="str">
        <f>Inputs!F9</f>
        <v>Wessex Water</v>
      </c>
      <c r="I1" s="145"/>
      <c r="J1" s="145"/>
      <c r="K1" s="145"/>
      <c r="L1" s="145"/>
      <c r="M1" s="145"/>
      <c r="N1" s="145"/>
      <c r="O1" s="145"/>
      <c r="P1" s="145"/>
      <c r="Q1" s="145"/>
      <c r="R1" s="145"/>
      <c r="S1" s="145"/>
      <c r="T1" s="145"/>
    </row>
    <row r="2" spans="1:20" s="4" customFormat="1" x14ac:dyDescent="0.3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3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ht="13.15" x14ac:dyDescent="0.35">
      <c r="A4" s="23"/>
      <c r="B4" s="125"/>
      <c r="C4" s="193"/>
      <c r="D4" s="126"/>
      <c r="E4" s="207"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ht="13.15" x14ac:dyDescent="0.35">
      <c r="A5" s="139"/>
      <c r="B5" s="139"/>
      <c r="C5" s="139"/>
      <c r="D5" s="139"/>
      <c r="E5" s="156" t="str">
        <f>Time!E$10</f>
        <v>Model column counter</v>
      </c>
      <c r="F5" s="206" t="s">
        <v>86</v>
      </c>
      <c r="G5" s="206" t="s">
        <v>87</v>
      </c>
      <c r="H5" s="5" t="s">
        <v>88</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ht="13.15" x14ac:dyDescent="0.35">
      <c r="A6" s="139"/>
      <c r="B6" s="139"/>
      <c r="C6" s="139"/>
      <c r="D6" s="139"/>
      <c r="E6" s="156"/>
      <c r="F6" s="206"/>
      <c r="G6" s="206"/>
      <c r="H6" s="5"/>
      <c r="I6" s="6"/>
      <c r="J6" s="27"/>
      <c r="K6" s="27"/>
      <c r="L6" s="27"/>
      <c r="M6" s="27"/>
      <c r="N6" s="27"/>
      <c r="O6" s="27"/>
      <c r="P6" s="27"/>
      <c r="Q6" s="27"/>
      <c r="R6" s="27"/>
      <c r="S6" s="27"/>
      <c r="T6" s="27"/>
    </row>
    <row r="7" spans="1:20" s="245" customFormat="1" ht="13.15" x14ac:dyDescent="0.35">
      <c r="A7" s="246" t="s">
        <v>41</v>
      </c>
      <c r="B7" s="247"/>
      <c r="C7" s="248"/>
      <c r="D7" s="248"/>
      <c r="E7" s="248"/>
      <c r="F7" s="248"/>
      <c r="G7" s="248"/>
      <c r="H7" s="248"/>
      <c r="I7" s="248"/>
      <c r="J7" s="248"/>
      <c r="K7" s="248"/>
      <c r="L7" s="248"/>
      <c r="M7" s="248"/>
      <c r="N7" s="248"/>
      <c r="O7" s="248"/>
      <c r="P7" s="248"/>
      <c r="Q7" s="248"/>
      <c r="R7" s="248"/>
      <c r="S7" s="248"/>
      <c r="T7" s="248"/>
    </row>
    <row r="8" spans="1:20" s="245" customFormat="1" x14ac:dyDescent="0.35">
      <c r="A8" s="249"/>
      <c r="B8" s="249"/>
      <c r="C8" s="249"/>
      <c r="D8" s="249"/>
      <c r="E8" s="249"/>
      <c r="F8" s="249"/>
      <c r="G8" s="249"/>
      <c r="H8" s="249"/>
      <c r="I8" s="250"/>
      <c r="J8" s="213"/>
      <c r="K8" s="213"/>
      <c r="L8" s="213"/>
      <c r="M8" s="213"/>
      <c r="N8" s="213"/>
      <c r="O8" s="213"/>
      <c r="P8" s="213"/>
      <c r="Q8" s="213"/>
      <c r="R8" s="213"/>
      <c r="S8" s="213"/>
      <c r="T8" s="249"/>
    </row>
    <row r="9" spans="1:20" s="245" customFormat="1" ht="13.15" x14ac:dyDescent="0.35">
      <c r="A9" s="249"/>
      <c r="B9" s="249"/>
      <c r="C9" s="249"/>
      <c r="D9" s="249"/>
      <c r="E9" s="249" t="s">
        <v>201</v>
      </c>
      <c r="F9" s="220" t="s">
        <v>231</v>
      </c>
      <c r="G9" s="249"/>
      <c r="H9" s="249"/>
      <c r="I9" s="251"/>
      <c r="J9" s="249"/>
      <c r="K9" s="249"/>
      <c r="L9" s="249"/>
      <c r="M9" s="249"/>
      <c r="N9" s="249"/>
      <c r="O9" s="249"/>
      <c r="P9" s="249"/>
      <c r="Q9" s="249"/>
      <c r="R9" s="249"/>
      <c r="S9" s="249"/>
      <c r="T9" s="249"/>
    </row>
    <row r="10" spans="1:20" s="245" customFormat="1" ht="13.15" x14ac:dyDescent="0.35">
      <c r="A10" s="249"/>
      <c r="B10" s="249"/>
      <c r="C10" s="249"/>
      <c r="D10" s="249"/>
      <c r="E10" s="249" t="s">
        <v>247</v>
      </c>
      <c r="F10" s="252" t="str">
        <f>INDEX(Validation!C4:C21, MATCH(F9, Validation!B4:B21, 0))</f>
        <v>WSX</v>
      </c>
      <c r="G10" s="249"/>
      <c r="H10" s="249"/>
      <c r="I10" s="251"/>
      <c r="J10" s="249"/>
      <c r="K10" s="249"/>
      <c r="L10" s="249"/>
      <c r="M10" s="249"/>
      <c r="N10" s="249"/>
      <c r="O10" s="249"/>
      <c r="P10" s="249"/>
      <c r="Q10" s="249"/>
      <c r="R10" s="249"/>
      <c r="S10" s="249"/>
      <c r="T10" s="249"/>
    </row>
    <row r="11" spans="1:20" s="245" customFormat="1" ht="13.15" x14ac:dyDescent="0.35">
      <c r="A11" s="249"/>
      <c r="B11" s="249"/>
      <c r="C11" s="249"/>
      <c r="D11" s="249"/>
      <c r="E11" s="249"/>
      <c r="F11" s="249"/>
      <c r="G11" s="249"/>
      <c r="H11" s="249"/>
      <c r="I11" s="251"/>
      <c r="J11" s="249"/>
      <c r="K11" s="249"/>
      <c r="L11" s="249"/>
      <c r="M11" s="249"/>
      <c r="N11" s="249"/>
      <c r="O11" s="249"/>
      <c r="P11" s="249"/>
      <c r="Q11" s="249"/>
      <c r="R11" s="249"/>
      <c r="S11" s="249"/>
      <c r="T11" s="249"/>
    </row>
    <row r="12" spans="1:20" s="245" customFormat="1" x14ac:dyDescent="0.35">
      <c r="A12" s="249"/>
      <c r="B12" s="249"/>
      <c r="C12" s="249"/>
      <c r="D12" s="249"/>
      <c r="E12" s="249" t="s">
        <v>200</v>
      </c>
      <c r="F12" s="220" t="s">
        <v>205</v>
      </c>
      <c r="G12" s="249" t="s">
        <v>248</v>
      </c>
      <c r="H12" s="253"/>
      <c r="I12" s="249"/>
      <c r="J12" s="249"/>
      <c r="K12" s="249"/>
      <c r="L12" s="249"/>
      <c r="M12" s="249"/>
      <c r="N12" s="249"/>
      <c r="O12" s="249"/>
      <c r="P12" s="249"/>
      <c r="Q12" s="249"/>
      <c r="R12" s="249"/>
      <c r="S12" s="249"/>
      <c r="T12" s="249"/>
    </row>
    <row r="13" spans="1:20" s="245" customFormat="1" ht="13.15" x14ac:dyDescent="0.35">
      <c r="A13" s="249"/>
      <c r="B13" s="249"/>
      <c r="C13" s="249"/>
      <c r="D13" s="249"/>
      <c r="E13" s="249"/>
      <c r="F13" s="249"/>
      <c r="G13" s="251"/>
      <c r="H13" s="251"/>
      <c r="I13" s="249"/>
      <c r="J13" s="249"/>
      <c r="K13" s="249"/>
      <c r="L13" s="249"/>
      <c r="M13" s="249"/>
      <c r="N13" s="249"/>
      <c r="O13" s="249"/>
      <c r="P13" s="249"/>
      <c r="Q13" s="249"/>
      <c r="R13" s="249"/>
      <c r="S13" s="249"/>
      <c r="T13" s="249"/>
    </row>
    <row r="14" spans="1:20" s="245" customFormat="1" ht="13.15" x14ac:dyDescent="0.35">
      <c r="A14" s="249"/>
      <c r="B14" s="249"/>
      <c r="C14" s="249"/>
      <c r="D14" s="249"/>
      <c r="E14" s="249" t="s">
        <v>249</v>
      </c>
      <c r="F14" s="252" t="s">
        <v>250</v>
      </c>
      <c r="G14" s="249" t="s">
        <v>248</v>
      </c>
      <c r="H14" s="251"/>
      <c r="I14" s="249"/>
      <c r="J14" s="249"/>
      <c r="K14" s="249"/>
      <c r="L14" s="249"/>
      <c r="M14" s="249"/>
      <c r="N14" s="249"/>
      <c r="O14" s="249"/>
      <c r="P14" s="249"/>
      <c r="Q14" s="249"/>
      <c r="R14" s="249"/>
      <c r="S14" s="249"/>
      <c r="T14" s="249"/>
    </row>
    <row r="15" spans="1:20" s="245" customFormat="1" ht="13.15" x14ac:dyDescent="0.35">
      <c r="A15" s="249"/>
      <c r="B15" s="249"/>
      <c r="C15" s="249"/>
      <c r="D15" s="249"/>
      <c r="E15" s="249" t="s">
        <v>251</v>
      </c>
      <c r="F15" s="252" t="str">
        <f>"£m ("&amp;F14&amp;" FYA CPIH prices)"</f>
        <v>£m (2017-18 FYA CPIH prices)</v>
      </c>
      <c r="G15" s="249" t="s">
        <v>252</v>
      </c>
      <c r="H15" s="251"/>
      <c r="I15" s="249"/>
      <c r="J15" s="249"/>
      <c r="K15" s="249"/>
      <c r="L15" s="249"/>
      <c r="M15" s="249"/>
      <c r="N15" s="249"/>
      <c r="O15" s="249"/>
      <c r="P15" s="249"/>
      <c r="Q15" s="249"/>
      <c r="R15" s="249"/>
      <c r="S15" s="249"/>
      <c r="T15" s="249"/>
    </row>
    <row r="16" spans="1:20" s="245" customFormat="1" ht="13.15" x14ac:dyDescent="0.35">
      <c r="A16" s="249"/>
      <c r="B16" s="249"/>
      <c r="C16" s="249"/>
      <c r="D16" s="249"/>
      <c r="E16" s="249" t="s">
        <v>253</v>
      </c>
      <c r="F16" s="252" t="str">
        <f>"£m ("&amp;F14&amp;" Nov CPIH prices)"</f>
        <v>£m (2017-18 Nov CPIH prices)</v>
      </c>
      <c r="G16" s="249" t="s">
        <v>252</v>
      </c>
      <c r="H16" s="251"/>
      <c r="I16" s="249"/>
      <c r="J16" s="249"/>
      <c r="K16" s="249"/>
      <c r="L16" s="249"/>
      <c r="M16" s="249"/>
      <c r="N16" s="249"/>
      <c r="O16" s="249"/>
      <c r="P16" s="249"/>
      <c r="Q16" s="249"/>
      <c r="R16" s="249"/>
      <c r="S16" s="249"/>
      <c r="T16" s="249"/>
    </row>
    <row r="17" spans="1:20" s="245" customFormat="1" x14ac:dyDescent="0.35">
      <c r="A17" s="249"/>
      <c r="B17" s="249"/>
      <c r="C17" s="249"/>
      <c r="D17" s="249"/>
      <c r="E17" s="249"/>
      <c r="F17" s="249"/>
      <c r="G17" s="249"/>
      <c r="H17" s="249"/>
      <c r="I17" s="249"/>
      <c r="J17" s="249"/>
      <c r="K17" s="249"/>
      <c r="L17" s="249"/>
      <c r="M17" s="249"/>
      <c r="N17" s="249"/>
      <c r="O17" s="249"/>
      <c r="P17" s="249"/>
      <c r="Q17" s="249"/>
      <c r="R17" s="249"/>
      <c r="S17" s="249"/>
      <c r="T17" s="249"/>
    </row>
    <row r="18" spans="1:20" s="245" customFormat="1" ht="13.15" x14ac:dyDescent="0.35">
      <c r="A18" s="249"/>
      <c r="B18" s="249"/>
      <c r="C18" s="254" t="s">
        <v>150</v>
      </c>
      <c r="D18" s="249"/>
      <c r="E18" s="249"/>
      <c r="F18" s="249"/>
      <c r="G18" s="249"/>
      <c r="H18" s="249"/>
      <c r="I18" s="249"/>
      <c r="J18" s="213"/>
      <c r="K18" s="213"/>
      <c r="L18" s="213"/>
      <c r="M18" s="213"/>
      <c r="N18" s="213"/>
      <c r="O18" s="213"/>
      <c r="P18" s="213"/>
      <c r="Q18" s="213"/>
      <c r="R18" s="213"/>
      <c r="S18" s="213"/>
      <c r="T18" s="249"/>
    </row>
    <row r="19" spans="1:20" s="245" customFormat="1" x14ac:dyDescent="0.35">
      <c r="A19" s="249"/>
      <c r="B19" s="249"/>
      <c r="C19" s="249"/>
      <c r="D19" s="249"/>
      <c r="E19" s="249"/>
      <c r="F19" s="249"/>
      <c r="G19" s="249"/>
      <c r="H19" s="249"/>
      <c r="I19" s="249"/>
      <c r="J19" s="213"/>
      <c r="K19" s="213"/>
      <c r="L19" s="213"/>
      <c r="M19" s="213"/>
      <c r="N19" s="213"/>
      <c r="O19" s="213"/>
      <c r="P19" s="213"/>
      <c r="Q19" s="213"/>
      <c r="R19" s="213"/>
      <c r="S19" s="213"/>
      <c r="T19" s="249"/>
    </row>
    <row r="20" spans="1:20" s="245" customFormat="1" x14ac:dyDescent="0.35">
      <c r="A20" s="249"/>
      <c r="B20" s="249"/>
      <c r="C20" s="249"/>
      <c r="D20" s="255" t="s">
        <v>254</v>
      </c>
      <c r="E20" s="249"/>
      <c r="F20" s="249"/>
      <c r="G20" s="249"/>
      <c r="H20" s="249"/>
      <c r="I20" s="249"/>
      <c r="J20" s="213"/>
      <c r="K20" s="213"/>
      <c r="L20" s="213"/>
      <c r="M20" s="213"/>
      <c r="N20" s="213"/>
      <c r="O20" s="213"/>
      <c r="P20" s="213"/>
      <c r="Q20" s="213"/>
      <c r="R20" s="213"/>
      <c r="S20" s="213"/>
      <c r="T20" s="249"/>
    </row>
    <row r="21" spans="1:20" s="245" customFormat="1" x14ac:dyDescent="0.35">
      <c r="A21" s="249"/>
      <c r="B21" s="249"/>
      <c r="C21" s="249"/>
      <c r="D21" s="249"/>
      <c r="E21" s="213" t="s">
        <v>72</v>
      </c>
      <c r="F21" s="341">
        <f>F_Inputs!H34</f>
        <v>0</v>
      </c>
      <c r="G21" s="249" t="str">
        <f t="shared" ref="G21:G27" si="0">$F$15</f>
        <v>£m (2017-18 FYA CPIH prices)</v>
      </c>
      <c r="H21" s="249"/>
      <c r="I21" s="249"/>
      <c r="J21" s="213"/>
      <c r="K21" s="213"/>
      <c r="L21" s="213"/>
      <c r="M21" s="213"/>
      <c r="N21" s="213"/>
      <c r="O21" s="213"/>
      <c r="P21" s="213"/>
      <c r="Q21" s="213"/>
      <c r="R21" s="213"/>
      <c r="S21" s="213"/>
      <c r="T21" s="249"/>
    </row>
    <row r="22" spans="1:20" s="245" customFormat="1" x14ac:dyDescent="0.35">
      <c r="A22" s="249"/>
      <c r="B22" s="249"/>
      <c r="C22" s="249"/>
      <c r="D22" s="249"/>
      <c r="E22" s="213" t="s">
        <v>74</v>
      </c>
      <c r="F22" s="341">
        <f>F_Inputs!H35</f>
        <v>0.38169311195248201</v>
      </c>
      <c r="G22" s="249" t="str">
        <f t="shared" si="0"/>
        <v>£m (2017-18 FYA CPIH prices)</v>
      </c>
      <c r="H22" s="249"/>
      <c r="I22" s="249"/>
      <c r="J22" s="213"/>
      <c r="K22" s="213"/>
      <c r="L22" s="213"/>
      <c r="M22" s="213"/>
      <c r="N22" s="213"/>
      <c r="O22" s="213"/>
      <c r="P22" s="213"/>
      <c r="Q22" s="213"/>
      <c r="R22" s="213"/>
      <c r="S22" s="213"/>
      <c r="T22" s="249"/>
    </row>
    <row r="23" spans="1:20" s="245" customFormat="1" x14ac:dyDescent="0.35">
      <c r="A23" s="249"/>
      <c r="B23" s="249"/>
      <c r="C23" s="249"/>
      <c r="D23" s="249"/>
      <c r="E23" s="213" t="s">
        <v>76</v>
      </c>
      <c r="F23" s="341">
        <f>F_Inputs!H36</f>
        <v>-0.54396432671520401</v>
      </c>
      <c r="G23" s="249" t="str">
        <f t="shared" si="0"/>
        <v>£m (2017-18 FYA CPIH prices)</v>
      </c>
      <c r="H23" s="249"/>
      <c r="I23" s="249"/>
      <c r="J23" s="249"/>
      <c r="K23" s="249"/>
      <c r="L23" s="249"/>
      <c r="M23" s="249"/>
      <c r="N23" s="249"/>
      <c r="O23" s="249"/>
      <c r="P23" s="249"/>
      <c r="Q23" s="249"/>
      <c r="R23" s="249"/>
      <c r="S23" s="249"/>
      <c r="T23" s="249"/>
    </row>
    <row r="24" spans="1:20" s="245" customFormat="1" x14ac:dyDescent="0.35">
      <c r="A24" s="249"/>
      <c r="B24" s="249"/>
      <c r="C24" s="249"/>
      <c r="D24" s="249"/>
      <c r="E24" s="213" t="s">
        <v>82</v>
      </c>
      <c r="F24" s="341">
        <f>F_Inputs!H37</f>
        <v>0</v>
      </c>
      <c r="G24" s="249" t="str">
        <f t="shared" si="0"/>
        <v>£m (2017-18 FYA CPIH prices)</v>
      </c>
      <c r="H24" s="249"/>
      <c r="I24" s="249"/>
      <c r="J24" s="249"/>
      <c r="K24" s="249"/>
      <c r="L24" s="249"/>
      <c r="M24" s="249"/>
      <c r="N24" s="249"/>
      <c r="O24" s="249"/>
      <c r="P24" s="249"/>
      <c r="Q24" s="249"/>
      <c r="R24" s="249"/>
      <c r="S24" s="249"/>
      <c r="T24" s="249"/>
    </row>
    <row r="25" spans="1:20" s="245" customFormat="1" x14ac:dyDescent="0.35">
      <c r="A25" s="249"/>
      <c r="B25" s="249"/>
      <c r="C25" s="249"/>
      <c r="D25" s="249"/>
      <c r="E25" s="213" t="s">
        <v>78</v>
      </c>
      <c r="F25" s="341">
        <f>F_Inputs!H38</f>
        <v>0</v>
      </c>
      <c r="G25" s="249" t="str">
        <f t="shared" si="0"/>
        <v>£m (2017-18 FYA CPIH prices)</v>
      </c>
      <c r="H25" s="249"/>
      <c r="I25" s="249"/>
      <c r="J25" s="249"/>
      <c r="K25" s="249"/>
      <c r="L25" s="249"/>
      <c r="M25" s="249"/>
      <c r="N25" s="249"/>
      <c r="O25" s="249"/>
      <c r="P25" s="249"/>
      <c r="Q25" s="249"/>
      <c r="R25" s="249"/>
      <c r="S25" s="249"/>
      <c r="T25" s="249"/>
    </row>
    <row r="26" spans="1:20" s="245" customFormat="1" x14ac:dyDescent="0.35">
      <c r="A26" s="249"/>
      <c r="B26" s="249"/>
      <c r="C26" s="249"/>
      <c r="D26" s="249"/>
      <c r="E26" s="213" t="s">
        <v>80</v>
      </c>
      <c r="F26" s="341">
        <f>F_Inputs!H39</f>
        <v>0</v>
      </c>
      <c r="G26" s="249" t="str">
        <f t="shared" si="0"/>
        <v>£m (2017-18 FYA CPIH prices)</v>
      </c>
      <c r="H26" s="249"/>
      <c r="I26" s="249"/>
      <c r="J26" s="249"/>
      <c r="K26" s="249"/>
      <c r="L26" s="249"/>
      <c r="M26" s="249"/>
      <c r="N26" s="249"/>
      <c r="O26" s="249"/>
      <c r="P26" s="249"/>
      <c r="Q26" s="249"/>
      <c r="R26" s="249"/>
      <c r="S26" s="249"/>
      <c r="T26" s="249"/>
    </row>
    <row r="27" spans="1:20" s="245" customFormat="1" x14ac:dyDescent="0.35">
      <c r="A27" s="249"/>
      <c r="B27" s="249"/>
      <c r="C27" s="249"/>
      <c r="D27" s="249"/>
      <c r="E27" s="213" t="s">
        <v>84</v>
      </c>
      <c r="F27" s="341">
        <f>F_Inputs!H40</f>
        <v>0</v>
      </c>
      <c r="G27" s="249" t="str">
        <f t="shared" si="0"/>
        <v>£m (2017-18 FYA CPIH prices)</v>
      </c>
      <c r="H27" s="249"/>
      <c r="I27" s="249"/>
      <c r="J27" s="249"/>
      <c r="K27" s="249"/>
      <c r="L27" s="249"/>
      <c r="M27" s="249"/>
      <c r="N27" s="249"/>
      <c r="O27" s="249"/>
      <c r="P27" s="249"/>
      <c r="Q27" s="249"/>
      <c r="R27" s="249"/>
      <c r="S27" s="249"/>
      <c r="T27" s="249"/>
    </row>
    <row r="28" spans="1:20" s="245" customFormat="1" x14ac:dyDescent="0.35">
      <c r="A28" s="249"/>
      <c r="B28" s="249"/>
      <c r="C28" s="249"/>
      <c r="D28" s="249"/>
      <c r="E28" s="249"/>
      <c r="F28" s="249"/>
      <c r="G28" s="249"/>
      <c r="H28" s="249"/>
      <c r="I28" s="249"/>
      <c r="J28" s="249"/>
      <c r="K28" s="249"/>
      <c r="L28" s="249"/>
      <c r="M28" s="249"/>
      <c r="N28" s="249"/>
      <c r="O28" s="249"/>
      <c r="P28" s="249"/>
      <c r="Q28" s="249"/>
      <c r="R28" s="249"/>
      <c r="S28" s="249"/>
      <c r="T28" s="249"/>
    </row>
    <row r="29" spans="1:20" s="245" customFormat="1" x14ac:dyDescent="0.35">
      <c r="A29" s="249"/>
      <c r="B29" s="249"/>
      <c r="C29" s="249"/>
      <c r="D29" s="255" t="s">
        <v>255</v>
      </c>
      <c r="E29" s="249"/>
      <c r="F29" s="249"/>
      <c r="G29" s="249"/>
      <c r="H29" s="249"/>
      <c r="I29" s="249"/>
      <c r="J29" s="249"/>
      <c r="K29" s="249"/>
      <c r="L29" s="249"/>
      <c r="M29" s="249"/>
      <c r="N29" s="249"/>
      <c r="O29" s="249"/>
      <c r="P29" s="249"/>
      <c r="Q29" s="249"/>
      <c r="R29" s="249"/>
      <c r="S29" s="249"/>
      <c r="T29" s="249"/>
    </row>
    <row r="30" spans="1:20" s="245" customFormat="1" x14ac:dyDescent="0.35">
      <c r="A30" s="249"/>
      <c r="B30" s="249"/>
      <c r="C30" s="249"/>
      <c r="D30" s="249"/>
      <c r="E30" s="249" t="s">
        <v>256</v>
      </c>
      <c r="F30" s="317"/>
      <c r="G30" s="249" t="str">
        <f>$F$15</f>
        <v>£m (2017-18 FYA CPIH prices)</v>
      </c>
      <c r="H30" s="249"/>
      <c r="I30" s="249"/>
      <c r="J30" s="249"/>
      <c r="K30" s="249"/>
      <c r="L30" s="249"/>
      <c r="M30" s="249"/>
      <c r="N30" s="249"/>
      <c r="O30" s="249"/>
      <c r="P30" s="249"/>
      <c r="Q30" s="249"/>
      <c r="R30" s="249"/>
      <c r="S30" s="249"/>
      <c r="T30" s="249"/>
    </row>
    <row r="31" spans="1:20" s="245" customFormat="1" x14ac:dyDescent="0.35">
      <c r="A31" s="249"/>
      <c r="B31" s="249"/>
      <c r="C31" s="249"/>
      <c r="D31" s="249"/>
      <c r="E31" s="249" t="s">
        <v>257</v>
      </c>
      <c r="F31" s="317"/>
      <c r="G31" s="249" t="str">
        <f>$F$15</f>
        <v>£m (2017-18 FYA CPIH prices)</v>
      </c>
      <c r="H31" s="249"/>
      <c r="I31" s="249"/>
      <c r="J31" s="249"/>
      <c r="K31" s="249"/>
      <c r="L31" s="249"/>
      <c r="M31" s="249"/>
      <c r="N31" s="249"/>
      <c r="O31" s="249"/>
      <c r="P31" s="249"/>
      <c r="Q31" s="249"/>
      <c r="R31" s="249"/>
      <c r="S31" s="249"/>
      <c r="T31" s="249"/>
    </row>
    <row r="32" spans="1:20" s="245" customFormat="1" x14ac:dyDescent="0.35">
      <c r="A32" s="249"/>
      <c r="B32" s="249"/>
      <c r="C32" s="249"/>
      <c r="D32" s="249"/>
      <c r="E32" s="249" t="s">
        <v>258</v>
      </c>
      <c r="F32" s="317"/>
      <c r="G32" s="249" t="str">
        <f>$F$15</f>
        <v>£m (2017-18 FYA CPIH prices)</v>
      </c>
      <c r="H32" s="249"/>
      <c r="I32" s="249"/>
      <c r="J32" s="249"/>
      <c r="K32" s="249"/>
      <c r="L32" s="249"/>
      <c r="M32" s="249"/>
      <c r="N32" s="249"/>
      <c r="O32" s="249"/>
      <c r="P32" s="249"/>
      <c r="Q32" s="249"/>
      <c r="R32" s="249"/>
      <c r="S32" s="249"/>
      <c r="T32" s="249"/>
    </row>
    <row r="33" spans="1:20" s="245" customFormat="1" x14ac:dyDescent="0.35">
      <c r="A33" s="249"/>
      <c r="B33" s="249"/>
      <c r="C33" s="249"/>
      <c r="D33" s="249"/>
      <c r="E33" s="249"/>
      <c r="F33" s="249"/>
      <c r="G33" s="249"/>
      <c r="H33" s="249"/>
      <c r="I33" s="249"/>
      <c r="J33" s="249"/>
      <c r="K33" s="249"/>
      <c r="L33" s="249"/>
      <c r="M33" s="249"/>
      <c r="N33" s="249"/>
      <c r="O33" s="249"/>
      <c r="P33" s="249"/>
      <c r="Q33" s="249"/>
      <c r="R33" s="249"/>
      <c r="S33" s="249"/>
      <c r="T33" s="249"/>
    </row>
    <row r="34" spans="1:20" s="245" customFormat="1" x14ac:dyDescent="0.35">
      <c r="A34" s="249"/>
      <c r="B34" s="249"/>
      <c r="C34" s="249"/>
      <c r="D34" s="255" t="s">
        <v>259</v>
      </c>
      <c r="E34" s="249"/>
      <c r="F34" s="249"/>
      <c r="G34" s="249"/>
      <c r="H34" s="249"/>
      <c r="I34" s="249"/>
      <c r="J34" s="249"/>
      <c r="K34" s="249"/>
      <c r="L34" s="249"/>
      <c r="M34" s="249"/>
      <c r="N34" s="249"/>
      <c r="O34" s="249"/>
      <c r="P34" s="249"/>
      <c r="Q34" s="249"/>
      <c r="R34" s="249"/>
      <c r="S34" s="249"/>
      <c r="T34" s="249"/>
    </row>
    <row r="35" spans="1:20" s="245" customFormat="1" x14ac:dyDescent="0.35">
      <c r="A35" s="249"/>
      <c r="B35" s="249"/>
      <c r="C35" s="249"/>
      <c r="D35" s="249"/>
      <c r="E35" s="213" t="s">
        <v>72</v>
      </c>
      <c r="F35" s="317"/>
      <c r="G35" s="249" t="str">
        <f t="shared" ref="G35:G41" si="1">$F$15</f>
        <v>£m (2017-18 FYA CPIH prices)</v>
      </c>
      <c r="H35" s="249"/>
      <c r="I35" s="249"/>
      <c r="J35" s="249"/>
      <c r="K35" s="249"/>
      <c r="L35" s="249"/>
      <c r="M35" s="249"/>
      <c r="N35" s="249"/>
      <c r="O35" s="249"/>
      <c r="P35" s="249"/>
      <c r="Q35" s="249"/>
      <c r="R35" s="249"/>
      <c r="S35" s="249"/>
      <c r="T35" s="249"/>
    </row>
    <row r="36" spans="1:20" s="245" customFormat="1" x14ac:dyDescent="0.35">
      <c r="A36" s="249"/>
      <c r="B36" s="249"/>
      <c r="C36" s="249"/>
      <c r="D36" s="249"/>
      <c r="E36" s="213" t="s">
        <v>74</v>
      </c>
      <c r="F36" s="317"/>
      <c r="G36" s="249" t="str">
        <f t="shared" si="1"/>
        <v>£m (2017-18 FYA CPIH prices)</v>
      </c>
      <c r="H36" s="249"/>
      <c r="I36" s="249"/>
      <c r="J36" s="249"/>
      <c r="K36" s="249"/>
      <c r="L36" s="249"/>
      <c r="M36" s="249"/>
      <c r="N36" s="249"/>
      <c r="O36" s="249"/>
      <c r="P36" s="249"/>
      <c r="Q36" s="249"/>
      <c r="R36" s="249"/>
      <c r="S36" s="249"/>
      <c r="T36" s="249"/>
    </row>
    <row r="37" spans="1:20" s="245" customFormat="1" x14ac:dyDescent="0.35">
      <c r="A37" s="249"/>
      <c r="B37" s="249"/>
      <c r="C37" s="249"/>
      <c r="D37" s="249"/>
      <c r="E37" s="213" t="s">
        <v>76</v>
      </c>
      <c r="F37" s="317"/>
      <c r="G37" s="249" t="str">
        <f t="shared" si="1"/>
        <v>£m (2017-18 FYA CPIH prices)</v>
      </c>
      <c r="H37" s="249"/>
      <c r="I37" s="249"/>
      <c r="J37" s="249"/>
      <c r="K37" s="249"/>
      <c r="L37" s="249"/>
      <c r="M37" s="249"/>
      <c r="N37" s="249"/>
      <c r="O37" s="249"/>
      <c r="P37" s="249"/>
      <c r="Q37" s="249"/>
      <c r="R37" s="249"/>
      <c r="S37" s="249"/>
      <c r="T37" s="249"/>
    </row>
    <row r="38" spans="1:20" s="245" customFormat="1" x14ac:dyDescent="0.35">
      <c r="A38" s="249"/>
      <c r="B38" s="249"/>
      <c r="C38" s="249"/>
      <c r="D38" s="249"/>
      <c r="E38" s="213" t="s">
        <v>82</v>
      </c>
      <c r="F38" s="317"/>
      <c r="G38" s="249" t="str">
        <f t="shared" si="1"/>
        <v>£m (2017-18 FYA CPIH prices)</v>
      </c>
      <c r="H38" s="249"/>
      <c r="I38" s="249"/>
      <c r="J38" s="249"/>
      <c r="K38" s="249"/>
      <c r="L38" s="249"/>
      <c r="M38" s="249"/>
      <c r="N38" s="249"/>
      <c r="O38" s="249"/>
      <c r="P38" s="249"/>
      <c r="Q38" s="249"/>
      <c r="R38" s="249"/>
      <c r="S38" s="249"/>
      <c r="T38" s="249"/>
    </row>
    <row r="39" spans="1:20" s="245" customFormat="1" x14ac:dyDescent="0.35">
      <c r="A39" s="249"/>
      <c r="B39" s="249"/>
      <c r="C39" s="249"/>
      <c r="D39" s="249"/>
      <c r="E39" s="213" t="s">
        <v>78</v>
      </c>
      <c r="F39" s="317"/>
      <c r="G39" s="249" t="str">
        <f t="shared" si="1"/>
        <v>£m (2017-18 FYA CPIH prices)</v>
      </c>
      <c r="H39" s="249"/>
      <c r="I39" s="249"/>
      <c r="J39" s="249"/>
      <c r="K39" s="249"/>
      <c r="L39" s="249"/>
      <c r="M39" s="249"/>
      <c r="N39" s="249"/>
      <c r="O39" s="249"/>
      <c r="P39" s="249"/>
      <c r="Q39" s="249"/>
      <c r="R39" s="249"/>
      <c r="S39" s="249"/>
      <c r="T39" s="249"/>
    </row>
    <row r="40" spans="1:20" s="245" customFormat="1" x14ac:dyDescent="0.35">
      <c r="A40" s="249"/>
      <c r="B40" s="249"/>
      <c r="C40" s="249"/>
      <c r="D40" s="249"/>
      <c r="E40" s="213" t="s">
        <v>80</v>
      </c>
      <c r="F40" s="317"/>
      <c r="G40" s="249" t="str">
        <f t="shared" si="1"/>
        <v>£m (2017-18 FYA CPIH prices)</v>
      </c>
      <c r="H40" s="249"/>
      <c r="I40" s="249"/>
      <c r="J40" s="249"/>
      <c r="K40" s="249"/>
      <c r="L40" s="249"/>
      <c r="M40" s="249"/>
      <c r="N40" s="249"/>
      <c r="O40" s="249"/>
      <c r="P40" s="249"/>
      <c r="Q40" s="249"/>
      <c r="R40" s="249"/>
      <c r="S40" s="249"/>
      <c r="T40" s="249"/>
    </row>
    <row r="41" spans="1:20" s="245" customFormat="1" x14ac:dyDescent="0.35">
      <c r="A41" s="249"/>
      <c r="B41" s="249"/>
      <c r="C41" s="249"/>
      <c r="D41" s="249"/>
      <c r="E41" s="213" t="s">
        <v>84</v>
      </c>
      <c r="F41" s="317"/>
      <c r="G41" s="249" t="str">
        <f t="shared" si="1"/>
        <v>£m (2017-18 FYA CPIH prices)</v>
      </c>
      <c r="H41" s="249"/>
      <c r="I41" s="249"/>
      <c r="J41" s="249"/>
      <c r="K41" s="249"/>
      <c r="L41" s="249"/>
      <c r="M41" s="249"/>
      <c r="N41" s="249"/>
      <c r="O41" s="249"/>
      <c r="P41" s="249"/>
      <c r="Q41" s="249"/>
      <c r="R41" s="249"/>
      <c r="S41" s="249"/>
      <c r="T41" s="249"/>
    </row>
    <row r="42" spans="1:20" s="245" customFormat="1" x14ac:dyDescent="0.35">
      <c r="A42" s="249"/>
      <c r="B42" s="249"/>
      <c r="C42" s="249"/>
      <c r="D42" s="249"/>
      <c r="E42" s="249"/>
      <c r="F42" s="249"/>
      <c r="G42" s="249"/>
      <c r="H42" s="249"/>
      <c r="I42" s="249"/>
      <c r="J42" s="249"/>
      <c r="K42" s="249"/>
      <c r="L42" s="249"/>
      <c r="M42" s="249"/>
      <c r="N42" s="249"/>
      <c r="O42" s="249"/>
      <c r="P42" s="249"/>
      <c r="Q42" s="249"/>
      <c r="R42" s="249"/>
      <c r="S42" s="249"/>
      <c r="T42" s="249"/>
    </row>
    <row r="43" spans="1:20" s="245" customFormat="1" ht="13.15" x14ac:dyDescent="0.35">
      <c r="A43" s="249"/>
      <c r="B43" s="249"/>
      <c r="C43" s="254" t="s">
        <v>260</v>
      </c>
      <c r="D43" s="249"/>
      <c r="E43" s="249"/>
      <c r="F43" s="249"/>
      <c r="G43" s="249"/>
      <c r="H43" s="249"/>
      <c r="I43" s="249"/>
      <c r="J43" s="249"/>
      <c r="K43" s="249"/>
      <c r="L43" s="249"/>
      <c r="M43" s="249"/>
      <c r="N43" s="249"/>
      <c r="O43" s="249"/>
      <c r="P43" s="249"/>
      <c r="Q43" s="249"/>
      <c r="R43" s="249"/>
      <c r="S43" s="249"/>
      <c r="T43" s="249"/>
    </row>
    <row r="44" spans="1:20" s="245" customFormat="1" ht="13.15" x14ac:dyDescent="0.35">
      <c r="A44" s="249"/>
      <c r="B44" s="249"/>
      <c r="C44" s="254"/>
      <c r="D44" s="256" t="s">
        <v>261</v>
      </c>
      <c r="E44" s="249"/>
      <c r="F44" s="249"/>
      <c r="G44" s="249"/>
      <c r="H44" s="249"/>
      <c r="I44" s="249"/>
      <c r="J44" s="249"/>
      <c r="K44" s="249"/>
      <c r="L44" s="249"/>
      <c r="M44" s="249"/>
      <c r="N44" s="249"/>
      <c r="O44" s="249"/>
      <c r="P44" s="249"/>
      <c r="Q44" s="249"/>
      <c r="R44" s="249"/>
      <c r="S44" s="249"/>
      <c r="T44" s="249"/>
    </row>
    <row r="45" spans="1:20" s="245" customFormat="1" ht="13.15" x14ac:dyDescent="0.35">
      <c r="A45" s="249"/>
      <c r="B45" s="249"/>
      <c r="C45" s="254"/>
      <c r="D45" s="249"/>
      <c r="E45" s="249"/>
      <c r="F45" s="249"/>
      <c r="G45" s="249"/>
      <c r="H45" s="249"/>
      <c r="I45" s="249"/>
      <c r="J45" s="249"/>
      <c r="K45" s="249"/>
      <c r="L45" s="249"/>
      <c r="M45" s="249"/>
      <c r="N45" s="249"/>
      <c r="O45" s="249"/>
      <c r="P45" s="249"/>
      <c r="Q45" s="249"/>
      <c r="R45" s="249"/>
      <c r="S45" s="249"/>
      <c r="T45" s="249"/>
    </row>
    <row r="46" spans="1:20" s="245" customFormat="1" x14ac:dyDescent="0.35">
      <c r="A46" s="249"/>
      <c r="B46" s="249"/>
      <c r="C46" s="249"/>
      <c r="D46" s="255" t="s">
        <v>138</v>
      </c>
      <c r="E46" s="249"/>
      <c r="F46" s="249"/>
      <c r="G46" s="249"/>
      <c r="H46" s="257"/>
      <c r="I46" s="249"/>
      <c r="J46" s="249"/>
      <c r="K46" s="249"/>
      <c r="L46" s="249"/>
      <c r="M46" s="249"/>
      <c r="N46" s="249"/>
      <c r="O46" s="249"/>
      <c r="P46" s="249"/>
      <c r="Q46" s="249"/>
      <c r="R46" s="249"/>
      <c r="S46" s="249"/>
      <c r="T46" s="249"/>
    </row>
    <row r="47" spans="1:20" s="245" customFormat="1" x14ac:dyDescent="0.35">
      <c r="A47" s="249"/>
      <c r="B47" s="249"/>
      <c r="C47" s="249"/>
      <c r="D47" s="249"/>
      <c r="E47" s="249" t="s">
        <v>72</v>
      </c>
      <c r="F47" s="317"/>
      <c r="G47" s="249" t="str">
        <f t="shared" ref="G47:G53" si="2">$F$15</f>
        <v>£m (2017-18 FYA CPIH prices)</v>
      </c>
      <c r="H47" s="249"/>
      <c r="I47" s="249"/>
      <c r="J47" s="249"/>
      <c r="K47" s="249"/>
      <c r="L47" s="249"/>
      <c r="M47" s="249"/>
      <c r="N47" s="249"/>
      <c r="O47" s="249"/>
      <c r="P47" s="249"/>
      <c r="Q47" s="249"/>
      <c r="R47" s="249"/>
      <c r="S47" s="249"/>
      <c r="T47" s="249"/>
    </row>
    <row r="48" spans="1:20" s="245" customFormat="1" x14ac:dyDescent="0.35">
      <c r="A48" s="249"/>
      <c r="B48" s="249"/>
      <c r="C48" s="249"/>
      <c r="D48" s="249"/>
      <c r="E48" s="249" t="s">
        <v>74</v>
      </c>
      <c r="F48" s="317"/>
      <c r="G48" s="249" t="str">
        <f t="shared" si="2"/>
        <v>£m (2017-18 FYA CPIH prices)</v>
      </c>
      <c r="H48" s="249"/>
      <c r="I48" s="249"/>
      <c r="J48" s="249"/>
      <c r="K48" s="249"/>
      <c r="L48" s="249"/>
      <c r="M48" s="249"/>
      <c r="N48" s="249"/>
      <c r="O48" s="249"/>
      <c r="P48" s="249"/>
      <c r="Q48" s="249"/>
      <c r="R48" s="249"/>
      <c r="S48" s="249"/>
      <c r="T48" s="249"/>
    </row>
    <row r="49" spans="1:20" s="245" customFormat="1" x14ac:dyDescent="0.35">
      <c r="A49" s="249"/>
      <c r="B49" s="249"/>
      <c r="C49" s="249"/>
      <c r="D49" s="249"/>
      <c r="E49" s="249" t="s">
        <v>76</v>
      </c>
      <c r="F49" s="317"/>
      <c r="G49" s="249" t="str">
        <f t="shared" si="2"/>
        <v>£m (2017-18 FYA CPIH prices)</v>
      </c>
      <c r="H49" s="249"/>
      <c r="I49" s="249"/>
      <c r="J49" s="249"/>
      <c r="K49" s="249"/>
      <c r="L49" s="249"/>
      <c r="M49" s="249"/>
      <c r="N49" s="249"/>
      <c r="O49" s="249"/>
      <c r="P49" s="249"/>
      <c r="Q49" s="249"/>
      <c r="R49" s="249"/>
      <c r="S49" s="249"/>
      <c r="T49" s="249"/>
    </row>
    <row r="50" spans="1:20" s="245" customFormat="1" x14ac:dyDescent="0.35">
      <c r="A50" s="249"/>
      <c r="B50" s="249"/>
      <c r="C50" s="249"/>
      <c r="D50" s="249"/>
      <c r="E50" s="249" t="s">
        <v>82</v>
      </c>
      <c r="F50" s="317"/>
      <c r="G50" s="249" t="str">
        <f t="shared" si="2"/>
        <v>£m (2017-18 FYA CPIH prices)</v>
      </c>
      <c r="H50" s="249"/>
      <c r="I50" s="249"/>
      <c r="J50" s="249"/>
      <c r="K50" s="249"/>
      <c r="L50" s="249"/>
      <c r="M50" s="249"/>
      <c r="N50" s="249"/>
      <c r="O50" s="249"/>
      <c r="P50" s="249"/>
      <c r="Q50" s="249"/>
      <c r="R50" s="249"/>
      <c r="S50" s="249"/>
      <c r="T50" s="249"/>
    </row>
    <row r="51" spans="1:20" s="245" customFormat="1" x14ac:dyDescent="0.35">
      <c r="A51" s="249"/>
      <c r="B51" s="249"/>
      <c r="C51" s="249"/>
      <c r="D51" s="249"/>
      <c r="E51" s="249" t="s">
        <v>78</v>
      </c>
      <c r="F51" s="317"/>
      <c r="G51" s="249" t="str">
        <f t="shared" si="2"/>
        <v>£m (2017-18 FYA CPIH prices)</v>
      </c>
      <c r="H51" s="249"/>
      <c r="I51" s="249"/>
      <c r="J51" s="249"/>
      <c r="K51" s="249"/>
      <c r="L51" s="249"/>
      <c r="M51" s="249"/>
      <c r="N51" s="249"/>
      <c r="O51" s="249"/>
      <c r="P51" s="249"/>
      <c r="Q51" s="249"/>
      <c r="R51" s="249"/>
      <c r="S51" s="249"/>
      <c r="T51" s="249"/>
    </row>
    <row r="52" spans="1:20" s="245" customFormat="1" x14ac:dyDescent="0.35">
      <c r="A52" s="249"/>
      <c r="B52" s="249"/>
      <c r="C52" s="249"/>
      <c r="D52" s="249"/>
      <c r="E52" s="249" t="s">
        <v>80</v>
      </c>
      <c r="F52" s="317"/>
      <c r="G52" s="249" t="str">
        <f t="shared" si="2"/>
        <v>£m (2017-18 FYA CPIH prices)</v>
      </c>
      <c r="H52" s="249"/>
      <c r="I52" s="249"/>
      <c r="J52" s="249"/>
      <c r="K52" s="249"/>
      <c r="L52" s="249"/>
      <c r="M52" s="249"/>
      <c r="N52" s="249"/>
      <c r="O52" s="249"/>
      <c r="P52" s="249"/>
      <c r="Q52" s="249"/>
      <c r="R52" s="249"/>
      <c r="S52" s="249"/>
      <c r="T52" s="249"/>
    </row>
    <row r="53" spans="1:20" s="245" customFormat="1" x14ac:dyDescent="0.35">
      <c r="A53" s="249"/>
      <c r="B53" s="249"/>
      <c r="C53" s="249"/>
      <c r="D53" s="249"/>
      <c r="E53" s="249" t="s">
        <v>84</v>
      </c>
      <c r="F53" s="317"/>
      <c r="G53" s="249" t="str">
        <f t="shared" si="2"/>
        <v>£m (2017-18 FYA CPIH prices)</v>
      </c>
      <c r="H53" s="249"/>
      <c r="I53" s="249"/>
      <c r="J53" s="249"/>
      <c r="K53" s="249"/>
      <c r="L53" s="249"/>
      <c r="M53" s="249"/>
      <c r="N53" s="249"/>
      <c r="O53" s="249"/>
      <c r="P53" s="249"/>
      <c r="Q53" s="249"/>
      <c r="R53" s="249"/>
      <c r="S53" s="249"/>
      <c r="T53" s="249"/>
    </row>
    <row r="54" spans="1:20" s="245" customFormat="1" x14ac:dyDescent="0.35">
      <c r="A54" s="249"/>
      <c r="B54" s="249"/>
      <c r="C54" s="249"/>
      <c r="D54" s="249"/>
      <c r="E54" s="249"/>
      <c r="F54" s="249"/>
      <c r="G54" s="249"/>
      <c r="H54" s="249"/>
      <c r="I54" s="249"/>
      <c r="J54" s="249"/>
      <c r="K54" s="249"/>
      <c r="L54" s="249"/>
      <c r="M54" s="249"/>
      <c r="N54" s="249"/>
      <c r="O54" s="249"/>
      <c r="P54" s="249"/>
      <c r="Q54" s="249"/>
      <c r="R54" s="249"/>
      <c r="S54" s="249"/>
      <c r="T54" s="249"/>
    </row>
    <row r="55" spans="1:20" s="245" customFormat="1" x14ac:dyDescent="0.35">
      <c r="A55" s="249"/>
      <c r="B55" s="249"/>
      <c r="C55" s="249"/>
      <c r="D55" s="255" t="s">
        <v>141</v>
      </c>
      <c r="E55" s="249"/>
      <c r="F55" s="249"/>
      <c r="G55" s="249"/>
      <c r="H55" s="249"/>
      <c r="I55" s="249"/>
      <c r="J55" s="249"/>
      <c r="K55" s="249"/>
      <c r="L55" s="249"/>
      <c r="M55" s="249"/>
      <c r="N55" s="249"/>
      <c r="O55" s="249"/>
      <c r="P55" s="249"/>
      <c r="Q55" s="249"/>
      <c r="R55" s="249"/>
      <c r="S55" s="249"/>
      <c r="T55" s="249"/>
    </row>
    <row r="56" spans="1:20" s="245" customFormat="1" x14ac:dyDescent="0.35">
      <c r="A56" s="249"/>
      <c r="B56" s="249"/>
      <c r="C56" s="249"/>
      <c r="D56" s="249"/>
      <c r="E56" s="249" t="s">
        <v>72</v>
      </c>
      <c r="F56" s="317"/>
      <c r="G56" s="249" t="str">
        <f t="shared" ref="G56:G62" si="3">$F$15</f>
        <v>£m (2017-18 FYA CPIH prices)</v>
      </c>
      <c r="H56" s="249"/>
      <c r="I56" s="249"/>
      <c r="J56" s="249"/>
      <c r="K56" s="249"/>
      <c r="L56" s="249"/>
      <c r="M56" s="249"/>
      <c r="N56" s="249"/>
      <c r="O56" s="249"/>
      <c r="P56" s="249"/>
      <c r="Q56" s="249"/>
      <c r="R56" s="249"/>
      <c r="S56" s="249"/>
      <c r="T56" s="249"/>
    </row>
    <row r="57" spans="1:20" s="245" customFormat="1" x14ac:dyDescent="0.35">
      <c r="A57" s="249"/>
      <c r="B57" s="249"/>
      <c r="C57" s="249"/>
      <c r="D57" s="249"/>
      <c r="E57" s="249" t="s">
        <v>74</v>
      </c>
      <c r="F57" s="317"/>
      <c r="G57" s="249" t="str">
        <f t="shared" si="3"/>
        <v>£m (2017-18 FYA CPIH prices)</v>
      </c>
      <c r="H57" s="249"/>
      <c r="I57" s="249"/>
      <c r="J57" s="249"/>
      <c r="K57" s="249"/>
      <c r="L57" s="249"/>
      <c r="M57" s="249"/>
      <c r="N57" s="249"/>
      <c r="O57" s="249"/>
      <c r="P57" s="249"/>
      <c r="Q57" s="249"/>
      <c r="R57" s="249"/>
      <c r="S57" s="249"/>
      <c r="T57" s="249"/>
    </row>
    <row r="58" spans="1:20" s="245" customFormat="1" x14ac:dyDescent="0.35">
      <c r="A58" s="249"/>
      <c r="B58" s="249"/>
      <c r="C58" s="249"/>
      <c r="D58" s="249"/>
      <c r="E58" s="249" t="s">
        <v>76</v>
      </c>
      <c r="F58" s="317"/>
      <c r="G58" s="249" t="str">
        <f t="shared" si="3"/>
        <v>£m (2017-18 FYA CPIH prices)</v>
      </c>
      <c r="H58" s="249"/>
      <c r="I58" s="249"/>
      <c r="J58" s="249"/>
      <c r="K58" s="249"/>
      <c r="L58" s="249"/>
      <c r="M58" s="249"/>
      <c r="N58" s="249"/>
      <c r="O58" s="249"/>
      <c r="P58" s="249"/>
      <c r="Q58" s="249"/>
      <c r="R58" s="249"/>
      <c r="S58" s="249"/>
      <c r="T58" s="249"/>
    </row>
    <row r="59" spans="1:20" s="245" customFormat="1" x14ac:dyDescent="0.35">
      <c r="A59" s="249"/>
      <c r="B59" s="249"/>
      <c r="C59" s="249"/>
      <c r="D59" s="249"/>
      <c r="E59" s="249" t="s">
        <v>82</v>
      </c>
      <c r="F59" s="317"/>
      <c r="G59" s="249" t="str">
        <f t="shared" si="3"/>
        <v>£m (2017-18 FYA CPIH prices)</v>
      </c>
      <c r="H59" s="249"/>
      <c r="I59" s="249"/>
      <c r="J59" s="249"/>
      <c r="K59" s="249"/>
      <c r="L59" s="249"/>
      <c r="M59" s="249"/>
      <c r="N59" s="249"/>
      <c r="O59" s="249"/>
      <c r="P59" s="249"/>
      <c r="Q59" s="249"/>
      <c r="R59" s="249"/>
      <c r="S59" s="249"/>
      <c r="T59" s="249"/>
    </row>
    <row r="60" spans="1:20" s="245" customFormat="1" x14ac:dyDescent="0.35">
      <c r="A60" s="249"/>
      <c r="B60" s="249"/>
      <c r="C60" s="249"/>
      <c r="D60" s="249"/>
      <c r="E60" s="249" t="s">
        <v>78</v>
      </c>
      <c r="F60" s="317"/>
      <c r="G60" s="249" t="str">
        <f t="shared" si="3"/>
        <v>£m (2017-18 FYA CPIH prices)</v>
      </c>
      <c r="H60" s="249"/>
      <c r="I60" s="249"/>
      <c r="J60" s="249"/>
      <c r="K60" s="249"/>
      <c r="L60" s="249"/>
      <c r="M60" s="249"/>
      <c r="N60" s="249"/>
      <c r="O60" s="249"/>
      <c r="P60" s="249"/>
      <c r="Q60" s="249"/>
      <c r="R60" s="249"/>
      <c r="S60" s="249"/>
      <c r="T60" s="249"/>
    </row>
    <row r="61" spans="1:20" s="209" customFormat="1" x14ac:dyDescent="0.35">
      <c r="A61" s="249"/>
      <c r="B61" s="249"/>
      <c r="C61" s="249"/>
      <c r="D61" s="249"/>
      <c r="E61" s="249" t="s">
        <v>80</v>
      </c>
      <c r="F61" s="317"/>
      <c r="G61" s="249" t="str">
        <f t="shared" si="3"/>
        <v>£m (2017-18 FYA CPIH prices)</v>
      </c>
      <c r="H61" s="249"/>
      <c r="I61" s="213"/>
      <c r="J61" s="213"/>
      <c r="K61" s="213"/>
      <c r="L61" s="213"/>
      <c r="M61" s="213"/>
      <c r="N61" s="213"/>
      <c r="O61" s="213"/>
      <c r="P61" s="213"/>
      <c r="Q61" s="213"/>
      <c r="R61" s="213"/>
      <c r="S61" s="213"/>
      <c r="T61" s="213"/>
    </row>
    <row r="62" spans="1:20" s="245" customFormat="1" x14ac:dyDescent="0.35">
      <c r="A62" s="249"/>
      <c r="B62" s="249"/>
      <c r="C62" s="249"/>
      <c r="D62" s="249"/>
      <c r="E62" s="249" t="s">
        <v>84</v>
      </c>
      <c r="F62" s="317"/>
      <c r="G62" s="249" t="str">
        <f t="shared" si="3"/>
        <v>£m (2017-18 FYA CPIH prices)</v>
      </c>
      <c r="H62" s="249"/>
      <c r="I62" s="249"/>
      <c r="J62" s="249"/>
      <c r="K62" s="249"/>
      <c r="L62" s="249"/>
      <c r="M62" s="249"/>
      <c r="N62" s="249"/>
      <c r="O62" s="249"/>
      <c r="P62" s="249"/>
      <c r="Q62" s="249"/>
      <c r="R62" s="249"/>
      <c r="S62" s="249"/>
      <c r="T62" s="249"/>
    </row>
    <row r="63" spans="1:20" s="245" customFormat="1" x14ac:dyDescent="0.35">
      <c r="A63" s="249"/>
      <c r="B63" s="249"/>
      <c r="C63" s="249"/>
      <c r="D63" s="249"/>
      <c r="E63" s="249"/>
      <c r="F63" s="249"/>
      <c r="G63" s="249"/>
      <c r="H63" s="249"/>
      <c r="I63" s="249"/>
      <c r="J63" s="249"/>
      <c r="K63" s="249"/>
      <c r="L63" s="249"/>
      <c r="M63" s="249"/>
      <c r="N63" s="249"/>
      <c r="O63" s="249"/>
      <c r="P63" s="249"/>
      <c r="Q63" s="249"/>
      <c r="R63" s="249"/>
      <c r="S63" s="249"/>
      <c r="T63" s="249"/>
    </row>
    <row r="64" spans="1:20" s="245" customFormat="1" ht="13.15" x14ac:dyDescent="0.35">
      <c r="A64" s="246" t="s">
        <v>262</v>
      </c>
      <c r="B64" s="247"/>
      <c r="C64" s="248"/>
      <c r="D64" s="248"/>
      <c r="E64" s="248"/>
      <c r="F64" s="248"/>
      <c r="G64" s="248"/>
      <c r="H64" s="248"/>
      <c r="I64" s="248"/>
      <c r="J64" s="248"/>
      <c r="K64" s="248"/>
      <c r="L64" s="248"/>
      <c r="M64" s="248"/>
      <c r="N64" s="248"/>
      <c r="O64" s="248"/>
      <c r="P64" s="248"/>
      <c r="Q64" s="248"/>
      <c r="R64" s="248"/>
      <c r="S64" s="248"/>
      <c r="T64" s="248"/>
    </row>
    <row r="65" spans="1:20" s="245" customFormat="1" x14ac:dyDescent="0.35">
      <c r="A65" s="249"/>
      <c r="B65" s="249"/>
      <c r="C65" s="249"/>
      <c r="D65" s="249"/>
      <c r="E65" s="249"/>
      <c r="F65" s="249"/>
      <c r="G65" s="249"/>
      <c r="H65" s="249"/>
      <c r="I65" s="249"/>
      <c r="J65" s="249"/>
      <c r="K65" s="249"/>
      <c r="L65" s="249"/>
      <c r="M65" s="249"/>
      <c r="N65" s="249"/>
      <c r="O65" s="249"/>
      <c r="P65" s="249"/>
      <c r="Q65" s="249"/>
      <c r="R65" s="249"/>
      <c r="S65" s="249"/>
      <c r="T65" s="249"/>
    </row>
    <row r="66" spans="1:20" s="245" customFormat="1" ht="13.15" x14ac:dyDescent="0.35">
      <c r="A66" s="249"/>
      <c r="B66" s="254" t="s">
        <v>263</v>
      </c>
      <c r="C66" s="249"/>
      <c r="D66" s="249"/>
      <c r="E66" s="249"/>
      <c r="F66" s="249"/>
      <c r="G66" s="249"/>
      <c r="H66" s="249"/>
      <c r="I66" s="249"/>
      <c r="J66" s="249"/>
      <c r="K66" s="249"/>
      <c r="L66" s="249"/>
      <c r="M66" s="249"/>
      <c r="N66" s="249"/>
      <c r="O66" s="249"/>
      <c r="P66" s="249"/>
      <c r="Q66" s="249"/>
      <c r="R66" s="249"/>
      <c r="S66" s="249"/>
      <c r="T66" s="249"/>
    </row>
    <row r="67" spans="1:20" s="245" customFormat="1" ht="13.15" x14ac:dyDescent="0.35">
      <c r="A67" s="249"/>
      <c r="B67" s="254"/>
      <c r="C67" s="249"/>
      <c r="D67" s="249"/>
      <c r="E67" s="249"/>
      <c r="F67" s="249"/>
      <c r="G67" s="249"/>
      <c r="H67" s="249"/>
      <c r="I67" s="249"/>
      <c r="J67" s="249"/>
      <c r="K67" s="249"/>
      <c r="L67" s="249"/>
      <c r="M67" s="249"/>
      <c r="N67" s="249"/>
      <c r="O67" s="249"/>
      <c r="P67" s="249"/>
      <c r="Q67" s="249"/>
      <c r="R67" s="249"/>
      <c r="S67" s="249"/>
      <c r="T67" s="249"/>
    </row>
    <row r="68" spans="1:20" s="245" customFormat="1" x14ac:dyDescent="0.35">
      <c r="A68" s="249"/>
      <c r="B68" s="249"/>
      <c r="C68" s="249"/>
      <c r="D68" s="249"/>
      <c r="E68" s="249" t="s">
        <v>264</v>
      </c>
      <c r="F68" s="306">
        <v>2.92E-2</v>
      </c>
      <c r="G68" s="249" t="s">
        <v>130</v>
      </c>
      <c r="H68" s="249"/>
      <c r="I68" s="249"/>
      <c r="J68" s="249"/>
      <c r="K68" s="249"/>
      <c r="L68" s="249"/>
      <c r="M68" s="249"/>
      <c r="N68" s="249"/>
      <c r="O68" s="249"/>
      <c r="P68" s="249"/>
      <c r="Q68" s="249"/>
      <c r="R68" s="249"/>
      <c r="S68" s="249"/>
      <c r="T68" s="249"/>
    </row>
    <row r="69" spans="1:20" s="245" customFormat="1" x14ac:dyDescent="0.35">
      <c r="A69" s="249"/>
      <c r="B69" s="249"/>
      <c r="C69" s="249"/>
      <c r="D69" s="249"/>
      <c r="E69" s="249" t="s">
        <v>265</v>
      </c>
      <c r="F69" s="306">
        <v>2.9600000000000001E-2</v>
      </c>
      <c r="G69" s="249" t="s">
        <v>130</v>
      </c>
      <c r="H69" s="249"/>
      <c r="I69" s="249"/>
      <c r="J69" s="249"/>
      <c r="K69" s="249"/>
      <c r="L69" s="249"/>
      <c r="M69" s="249"/>
      <c r="N69" s="249"/>
      <c r="O69" s="249"/>
      <c r="P69" s="249"/>
      <c r="Q69" s="249"/>
      <c r="R69" s="249"/>
      <c r="S69" s="249"/>
      <c r="T69" s="249"/>
    </row>
    <row r="70" spans="1:20" s="245" customFormat="1" x14ac:dyDescent="0.35">
      <c r="A70" s="249"/>
      <c r="B70" s="249"/>
      <c r="C70" s="249"/>
      <c r="D70" s="249"/>
      <c r="E70" s="249" t="s">
        <v>266</v>
      </c>
      <c r="F70" s="307">
        <v>1</v>
      </c>
      <c r="G70" s="249" t="s">
        <v>172</v>
      </c>
      <c r="H70" s="249"/>
      <c r="I70" s="249"/>
      <c r="J70" s="249"/>
      <c r="K70" s="249"/>
      <c r="L70" s="249"/>
      <c r="M70" s="249"/>
      <c r="N70" s="249"/>
      <c r="O70" s="249"/>
      <c r="P70" s="249"/>
      <c r="Q70" s="249"/>
      <c r="R70" s="249"/>
      <c r="S70" s="249"/>
      <c r="T70" s="249"/>
    </row>
    <row r="71" spans="1:20" s="245" customFormat="1" x14ac:dyDescent="0.35">
      <c r="A71" s="249"/>
      <c r="B71" s="249"/>
      <c r="C71" s="249"/>
      <c r="D71" s="249"/>
      <c r="E71" s="249"/>
      <c r="F71" s="249"/>
      <c r="G71" s="249"/>
      <c r="H71" s="249"/>
      <c r="I71" s="249"/>
      <c r="J71" s="249"/>
      <c r="K71" s="249"/>
      <c r="L71" s="249"/>
      <c r="M71" s="249"/>
      <c r="N71" s="249"/>
      <c r="O71" s="249"/>
      <c r="P71" s="249"/>
      <c r="Q71" s="249"/>
      <c r="R71" s="249"/>
      <c r="S71" s="249"/>
      <c r="T71" s="249"/>
    </row>
    <row r="72" spans="1:20" s="245" customFormat="1" x14ac:dyDescent="0.35">
      <c r="A72" s="249"/>
      <c r="B72" s="249"/>
      <c r="C72" s="249"/>
      <c r="D72" s="249"/>
      <c r="E72" s="261" t="s">
        <v>267</v>
      </c>
      <c r="F72" s="261"/>
      <c r="G72" s="261" t="s">
        <v>130</v>
      </c>
      <c r="H72" s="261"/>
      <c r="I72" s="109"/>
      <c r="J72" s="262"/>
      <c r="K72" s="262"/>
      <c r="L72" s="262"/>
      <c r="M72" s="262"/>
      <c r="N72" s="262"/>
      <c r="O72" s="262"/>
      <c r="P72" s="269">
        <v>0.19</v>
      </c>
      <c r="Q72" s="269"/>
      <c r="R72" s="269"/>
      <c r="S72" s="269"/>
      <c r="T72" s="262"/>
    </row>
    <row r="73" spans="1:20" s="245" customFormat="1" x14ac:dyDescent="0.35">
      <c r="A73" s="249"/>
      <c r="B73" s="249"/>
      <c r="C73" s="249"/>
      <c r="D73" s="249"/>
      <c r="E73" s="249"/>
      <c r="F73" s="249"/>
      <c r="G73" s="249"/>
      <c r="H73" s="249"/>
      <c r="I73" s="249"/>
      <c r="J73" s="249"/>
      <c r="K73" s="249"/>
      <c r="L73" s="249"/>
      <c r="M73" s="249"/>
      <c r="N73" s="249"/>
      <c r="O73" s="249"/>
      <c r="P73" s="249"/>
      <c r="Q73" s="249"/>
      <c r="R73" s="249"/>
      <c r="S73" s="249"/>
      <c r="T73" s="249"/>
    </row>
    <row r="74" spans="1:20" s="245" customFormat="1" x14ac:dyDescent="0.35">
      <c r="A74" s="249"/>
      <c r="B74" s="249"/>
      <c r="C74" s="249"/>
      <c r="D74" s="249"/>
      <c r="E74" s="213" t="s">
        <v>268</v>
      </c>
      <c r="F74" s="213"/>
      <c r="G74" s="213" t="s">
        <v>65</v>
      </c>
      <c r="H74" s="213"/>
      <c r="I74" s="249"/>
      <c r="J74" s="258">
        <v>100.3</v>
      </c>
      <c r="K74" s="258">
        <v>101.8</v>
      </c>
      <c r="L74" s="258">
        <v>104.7</v>
      </c>
      <c r="M74" s="258">
        <v>106.9</v>
      </c>
      <c r="N74" s="258">
        <v>108.5</v>
      </c>
      <c r="O74" s="258"/>
      <c r="P74" s="258"/>
      <c r="Q74" s="258"/>
      <c r="R74" s="258"/>
      <c r="S74" s="258"/>
      <c r="T74" s="212"/>
    </row>
    <row r="75" spans="1:20" s="245" customFormat="1" x14ac:dyDescent="0.35">
      <c r="A75" s="249"/>
      <c r="B75" s="249"/>
      <c r="C75" s="249"/>
      <c r="D75" s="249"/>
      <c r="E75" s="213"/>
      <c r="F75" s="213"/>
      <c r="G75" s="213"/>
      <c r="H75" s="213"/>
      <c r="I75" s="249"/>
      <c r="J75" s="213"/>
      <c r="K75" s="213"/>
      <c r="L75" s="213"/>
      <c r="M75" s="213"/>
      <c r="N75" s="213"/>
      <c r="O75" s="213"/>
      <c r="P75" s="213"/>
      <c r="Q75" s="213"/>
      <c r="R75" s="213"/>
      <c r="S75" s="213"/>
      <c r="T75" s="249"/>
    </row>
    <row r="76" spans="1:20" s="245" customFormat="1" x14ac:dyDescent="0.35">
      <c r="A76" s="249"/>
      <c r="B76" s="249"/>
      <c r="C76" s="249"/>
      <c r="D76" s="249"/>
      <c r="E76" s="213" t="s">
        <v>269</v>
      </c>
      <c r="F76" s="308">
        <v>103.2</v>
      </c>
      <c r="G76" s="139" t="s">
        <v>65</v>
      </c>
      <c r="H76" s="213"/>
      <c r="I76" s="249"/>
      <c r="J76" s="213"/>
      <c r="K76" s="213"/>
      <c r="L76" s="213"/>
      <c r="M76" s="213"/>
      <c r="N76" s="213"/>
      <c r="O76" s="213"/>
      <c r="P76" s="213"/>
      <c r="Q76" s="213"/>
      <c r="R76" s="213"/>
      <c r="S76" s="213"/>
      <c r="T76" s="249"/>
    </row>
    <row r="77" spans="1:20" s="245" customFormat="1" x14ac:dyDescent="0.35">
      <c r="A77" s="249"/>
      <c r="B77" s="249"/>
      <c r="C77" s="249"/>
      <c r="D77" s="249"/>
      <c r="E77" s="213" t="s">
        <v>270</v>
      </c>
      <c r="F77" s="308">
        <v>103.5</v>
      </c>
      <c r="G77" s="139" t="s">
        <v>65</v>
      </c>
      <c r="H77" s="213"/>
      <c r="I77" s="249"/>
      <c r="J77" s="213"/>
      <c r="K77" s="213"/>
      <c r="L77" s="213"/>
      <c r="M77" s="213"/>
      <c r="N77" s="213"/>
      <c r="O77" s="213"/>
      <c r="P77" s="213"/>
      <c r="Q77" s="213"/>
      <c r="R77" s="213"/>
      <c r="S77" s="213"/>
      <c r="T77" s="249"/>
    </row>
    <row r="78" spans="1:20" s="245" customFormat="1" x14ac:dyDescent="0.35">
      <c r="A78" s="249"/>
      <c r="B78" s="249"/>
      <c r="C78" s="249"/>
      <c r="D78" s="249"/>
      <c r="E78" s="213" t="s">
        <v>271</v>
      </c>
      <c r="F78" s="308">
        <v>103.5</v>
      </c>
      <c r="G78" s="139" t="s">
        <v>65</v>
      </c>
      <c r="H78" s="213"/>
      <c r="I78" s="249"/>
      <c r="J78" s="213"/>
      <c r="K78" s="213"/>
      <c r="L78" s="213"/>
      <c r="M78" s="213"/>
      <c r="N78" s="213"/>
      <c r="O78" s="213"/>
      <c r="P78" s="213"/>
      <c r="Q78" s="213"/>
      <c r="R78" s="213"/>
      <c r="S78" s="213"/>
      <c r="T78" s="249"/>
    </row>
    <row r="79" spans="1:20" s="245" customFormat="1" x14ac:dyDescent="0.35">
      <c r="A79" s="249"/>
      <c r="B79" s="249"/>
      <c r="C79" s="249"/>
      <c r="D79" s="249"/>
      <c r="E79" s="213" t="s">
        <v>272</v>
      </c>
      <c r="F79" s="308">
        <v>103.5</v>
      </c>
      <c r="G79" s="139" t="s">
        <v>65</v>
      </c>
      <c r="H79" s="213"/>
      <c r="I79" s="249"/>
      <c r="J79" s="213"/>
      <c r="K79" s="213"/>
      <c r="L79" s="213"/>
      <c r="M79" s="213"/>
      <c r="N79" s="213"/>
      <c r="O79" s="213"/>
      <c r="P79" s="213"/>
      <c r="Q79" s="213"/>
      <c r="R79" s="213"/>
      <c r="S79" s="213"/>
      <c r="T79" s="249"/>
    </row>
    <row r="80" spans="1:20" s="245" customFormat="1" x14ac:dyDescent="0.35">
      <c r="A80" s="249"/>
      <c r="B80" s="249"/>
      <c r="C80" s="249"/>
      <c r="D80" s="249"/>
      <c r="E80" s="213" t="s">
        <v>273</v>
      </c>
      <c r="F80" s="308">
        <v>104</v>
      </c>
      <c r="G80" s="139" t="s">
        <v>65</v>
      </c>
      <c r="H80" s="213"/>
      <c r="I80" s="249"/>
      <c r="J80" s="213"/>
      <c r="K80" s="213"/>
      <c r="L80" s="213"/>
      <c r="M80" s="213"/>
      <c r="N80" s="213"/>
      <c r="O80" s="213"/>
      <c r="P80" s="213"/>
      <c r="Q80" s="213"/>
      <c r="R80" s="213"/>
      <c r="S80" s="213"/>
      <c r="T80" s="249"/>
    </row>
    <row r="81" spans="1:20" s="245" customFormat="1" x14ac:dyDescent="0.35">
      <c r="A81" s="249"/>
      <c r="B81" s="249"/>
      <c r="C81" s="249"/>
      <c r="D81" s="249"/>
      <c r="E81" s="213" t="s">
        <v>274</v>
      </c>
      <c r="F81" s="308">
        <v>104.3</v>
      </c>
      <c r="G81" s="139" t="s">
        <v>65</v>
      </c>
      <c r="H81" s="213"/>
      <c r="I81" s="249"/>
      <c r="J81" s="213"/>
      <c r="K81" s="213"/>
      <c r="L81" s="213"/>
      <c r="M81" s="213"/>
      <c r="N81" s="213"/>
      <c r="O81" s="213"/>
      <c r="P81" s="213"/>
      <c r="Q81" s="213"/>
      <c r="R81" s="213"/>
      <c r="S81" s="213"/>
      <c r="T81" s="249"/>
    </row>
    <row r="82" spans="1:20" s="245" customFormat="1" x14ac:dyDescent="0.35">
      <c r="A82" s="249"/>
      <c r="B82" s="249"/>
      <c r="C82" s="249"/>
      <c r="D82" s="249"/>
      <c r="E82" s="213" t="s">
        <v>275</v>
      </c>
      <c r="F82" s="308">
        <v>104.4</v>
      </c>
      <c r="G82" s="139" t="s">
        <v>65</v>
      </c>
      <c r="H82" s="213"/>
      <c r="I82" s="249"/>
      <c r="J82" s="213"/>
      <c r="K82" s="213"/>
      <c r="L82" s="213"/>
      <c r="M82" s="213"/>
      <c r="N82" s="213"/>
      <c r="O82" s="213"/>
      <c r="P82" s="213"/>
      <c r="Q82" s="213"/>
      <c r="R82" s="213"/>
      <c r="S82" s="213"/>
      <c r="T82" s="249"/>
    </row>
    <row r="83" spans="1:20" s="245" customFormat="1" x14ac:dyDescent="0.35">
      <c r="A83" s="249"/>
      <c r="B83" s="249"/>
      <c r="C83" s="249"/>
      <c r="D83" s="249"/>
      <c r="E83" s="213" t="s">
        <v>276</v>
      </c>
      <c r="F83" s="308">
        <v>104.7</v>
      </c>
      <c r="G83" s="139" t="s">
        <v>65</v>
      </c>
      <c r="H83" s="213"/>
      <c r="I83" s="249"/>
      <c r="J83" s="213"/>
      <c r="K83" s="213"/>
      <c r="L83" s="213"/>
      <c r="M83" s="213"/>
      <c r="N83" s="213"/>
      <c r="O83" s="213"/>
      <c r="P83" s="213"/>
      <c r="Q83" s="213"/>
      <c r="R83" s="213"/>
      <c r="S83" s="213"/>
      <c r="T83" s="249"/>
    </row>
    <row r="84" spans="1:20" s="245" customFormat="1" x14ac:dyDescent="0.35">
      <c r="A84" s="249"/>
      <c r="B84" s="249"/>
      <c r="C84" s="249"/>
      <c r="D84" s="249"/>
      <c r="E84" s="213" t="s">
        <v>277</v>
      </c>
      <c r="F84" s="308">
        <v>105</v>
      </c>
      <c r="G84" s="139" t="s">
        <v>65</v>
      </c>
      <c r="H84" s="213"/>
      <c r="I84" s="249"/>
      <c r="J84" s="213"/>
      <c r="K84" s="213"/>
      <c r="L84" s="213"/>
      <c r="M84" s="213"/>
      <c r="N84" s="213"/>
      <c r="O84" s="213"/>
      <c r="P84" s="213"/>
      <c r="Q84" s="213"/>
      <c r="R84" s="213"/>
      <c r="S84" s="213"/>
      <c r="T84" s="249"/>
    </row>
    <row r="85" spans="1:20" s="245" customFormat="1" x14ac:dyDescent="0.35">
      <c r="A85" s="249"/>
      <c r="B85" s="249"/>
      <c r="C85" s="249"/>
      <c r="D85" s="249"/>
      <c r="E85" s="213" t="s">
        <v>278</v>
      </c>
      <c r="F85" s="308">
        <v>104.5</v>
      </c>
      <c r="G85" s="139" t="s">
        <v>65</v>
      </c>
      <c r="H85" s="213"/>
      <c r="I85" s="249"/>
      <c r="J85" s="213"/>
      <c r="K85" s="213"/>
      <c r="L85" s="213"/>
      <c r="M85" s="213"/>
      <c r="N85" s="213"/>
      <c r="O85" s="213"/>
      <c r="P85" s="213"/>
      <c r="Q85" s="213"/>
      <c r="R85" s="213"/>
      <c r="S85" s="213"/>
      <c r="T85" s="249"/>
    </row>
    <row r="86" spans="1:20" s="245" customFormat="1" x14ac:dyDescent="0.35">
      <c r="A86" s="249"/>
      <c r="B86" s="249"/>
      <c r="C86" s="249"/>
      <c r="D86" s="249"/>
      <c r="E86" s="213" t="s">
        <v>279</v>
      </c>
      <c r="F86" s="308">
        <v>104.9</v>
      </c>
      <c r="G86" s="139" t="s">
        <v>65</v>
      </c>
      <c r="H86" s="213"/>
      <c r="I86" s="249"/>
      <c r="J86" s="213"/>
      <c r="K86" s="213"/>
      <c r="L86" s="213"/>
      <c r="M86" s="213"/>
      <c r="N86" s="213"/>
      <c r="O86" s="213"/>
      <c r="P86" s="213"/>
      <c r="Q86" s="213"/>
      <c r="R86" s="213"/>
      <c r="S86" s="213"/>
      <c r="T86" s="249"/>
    </row>
    <row r="87" spans="1:20" s="245" customFormat="1" x14ac:dyDescent="0.35">
      <c r="A87" s="249"/>
      <c r="B87" s="249"/>
      <c r="C87" s="249"/>
      <c r="D87" s="249"/>
      <c r="E87" s="213" t="s">
        <v>280</v>
      </c>
      <c r="F87" s="308">
        <v>105.1</v>
      </c>
      <c r="G87" s="139" t="s">
        <v>65</v>
      </c>
      <c r="H87" s="213"/>
      <c r="I87" s="249"/>
      <c r="J87" s="213"/>
      <c r="K87" s="213"/>
      <c r="L87" s="213"/>
      <c r="M87" s="213"/>
      <c r="N87" s="213"/>
      <c r="O87" s="213"/>
      <c r="P87" s="213"/>
      <c r="Q87" s="213"/>
      <c r="R87" s="213"/>
      <c r="S87" s="213"/>
      <c r="T87" s="249"/>
    </row>
    <row r="88" spans="1:20" s="245" customFormat="1" x14ac:dyDescent="0.35">
      <c r="A88" s="249"/>
      <c r="B88" s="249"/>
      <c r="C88" s="249"/>
      <c r="D88" s="249"/>
      <c r="E88" s="213" t="s">
        <v>281</v>
      </c>
      <c r="F88" s="309">
        <f>AVERAGE(F76:F87)</f>
        <v>104.21666666666665</v>
      </c>
      <c r="G88" s="139" t="s">
        <v>65</v>
      </c>
      <c r="H88" s="213"/>
      <c r="I88" s="249"/>
      <c r="J88" s="213"/>
      <c r="K88" s="213"/>
      <c r="L88" s="213"/>
      <c r="M88" s="213"/>
      <c r="N88" s="213"/>
      <c r="O88" s="213"/>
      <c r="P88" s="213"/>
      <c r="Q88" s="213"/>
      <c r="R88" s="213"/>
      <c r="S88" s="213"/>
      <c r="T88" s="249"/>
    </row>
    <row r="89" spans="1:20" s="245" customFormat="1" x14ac:dyDescent="0.35">
      <c r="A89" s="249"/>
      <c r="B89" s="249"/>
      <c r="C89" s="249"/>
      <c r="D89" s="249"/>
      <c r="E89" s="213"/>
      <c r="F89" s="213"/>
      <c r="G89" s="213"/>
      <c r="H89" s="213"/>
      <c r="I89" s="249"/>
      <c r="J89" s="213"/>
      <c r="K89" s="213"/>
      <c r="L89" s="213"/>
      <c r="M89" s="213"/>
      <c r="N89" s="213"/>
      <c r="O89" s="213"/>
      <c r="P89" s="213"/>
      <c r="Q89" s="213"/>
      <c r="R89" s="213"/>
      <c r="S89" s="213"/>
      <c r="T89" s="249"/>
    </row>
    <row r="90" spans="1:20" s="245" customFormat="1" ht="13.15" x14ac:dyDescent="0.35">
      <c r="A90" s="249"/>
      <c r="B90" s="254" t="s">
        <v>282</v>
      </c>
      <c r="C90" s="249"/>
      <c r="D90" s="249"/>
      <c r="E90" s="213"/>
      <c r="F90" s="213"/>
      <c r="G90" s="213"/>
      <c r="H90" s="213"/>
      <c r="I90" s="249"/>
      <c r="J90" s="213"/>
      <c r="K90" s="213"/>
      <c r="L90" s="213"/>
      <c r="M90" s="213"/>
      <c r="N90" s="213"/>
      <c r="O90" s="213"/>
      <c r="P90" s="213"/>
      <c r="Q90" s="213"/>
      <c r="R90" s="213"/>
      <c r="S90" s="213"/>
      <c r="T90" s="249"/>
    </row>
    <row r="91" spans="1:20" s="245" customFormat="1" x14ac:dyDescent="0.35">
      <c r="A91" s="249"/>
      <c r="B91" s="249"/>
      <c r="C91" s="249"/>
      <c r="D91" s="249"/>
      <c r="E91" s="213"/>
      <c r="F91" s="213"/>
      <c r="G91" s="213"/>
      <c r="H91" s="213"/>
      <c r="I91" s="249"/>
      <c r="J91" s="213"/>
      <c r="K91" s="213"/>
      <c r="L91" s="213"/>
      <c r="M91" s="213"/>
      <c r="N91" s="213"/>
      <c r="O91" s="213"/>
      <c r="P91" s="213"/>
      <c r="Q91" s="213"/>
      <c r="R91" s="213"/>
      <c r="S91" s="213"/>
      <c r="T91" s="249"/>
    </row>
    <row r="92" spans="1:20" s="245" customFormat="1" x14ac:dyDescent="0.35">
      <c r="A92" s="249"/>
      <c r="B92" s="249"/>
      <c r="C92" s="249"/>
      <c r="D92" s="255" t="s">
        <v>72</v>
      </c>
      <c r="E92" s="213"/>
      <c r="F92" s="213"/>
      <c r="G92" s="213"/>
      <c r="H92" s="213"/>
      <c r="I92" s="249"/>
      <c r="J92" s="213"/>
      <c r="K92" s="213"/>
      <c r="L92" s="213"/>
      <c r="M92" s="213"/>
      <c r="N92" s="213"/>
      <c r="O92" s="213"/>
      <c r="P92" s="213"/>
      <c r="Q92" s="213"/>
      <c r="R92" s="213"/>
      <c r="S92" s="213"/>
      <c r="T92" s="249"/>
    </row>
    <row r="93" spans="1:20" s="245" customFormat="1" x14ac:dyDescent="0.35">
      <c r="A93" s="249"/>
      <c r="B93" s="249"/>
      <c r="C93" s="249"/>
      <c r="D93" s="255"/>
      <c r="E93" s="249" t="s">
        <v>283</v>
      </c>
      <c r="F93" s="249"/>
      <c r="G93" s="249" t="s">
        <v>161</v>
      </c>
      <c r="H93" s="249"/>
      <c r="I93" s="249"/>
      <c r="J93" s="212"/>
      <c r="K93" s="212"/>
      <c r="L93" s="212"/>
      <c r="M93" s="212"/>
      <c r="N93" s="340">
        <f>(F_Inputs!I7*((AVERAGE(F_Inputs!$I$21:$I$32)/AVERAGE(F_Inputs!$F$21:$F$32))))/((F_Inputs!$H$33/F_Inputs!$G$33))</f>
        <v>18.364776633526738</v>
      </c>
      <c r="O93" s="212"/>
      <c r="P93" s="212"/>
      <c r="Q93" s="212"/>
      <c r="R93" s="212"/>
      <c r="S93" s="212"/>
      <c r="T93" s="212"/>
    </row>
    <row r="94" spans="1:20" s="109" customFormat="1" x14ac:dyDescent="0.35">
      <c r="D94" s="260"/>
      <c r="E94" s="261" t="s">
        <v>159</v>
      </c>
      <c r="F94" s="261"/>
      <c r="G94" s="261" t="s">
        <v>172</v>
      </c>
      <c r="H94" s="261"/>
      <c r="J94" s="262"/>
      <c r="K94" s="262"/>
      <c r="L94" s="262"/>
      <c r="M94" s="262"/>
      <c r="N94" s="262"/>
      <c r="O94" s="340">
        <f>F_Inputs!I8*100</f>
        <v>0</v>
      </c>
      <c r="P94" s="340">
        <f>F_Inputs!J8*100</f>
        <v>3.95</v>
      </c>
      <c r="Q94" s="340">
        <f>F_Inputs!K8*100</f>
        <v>0.4</v>
      </c>
      <c r="R94" s="340">
        <f>F_Inputs!L8*100</f>
        <v>0.5</v>
      </c>
      <c r="S94" s="340">
        <f>F_Inputs!M8*100</f>
        <v>0.44</v>
      </c>
      <c r="T94" s="262"/>
    </row>
    <row r="95" spans="1:20" s="245" customFormat="1" x14ac:dyDescent="0.35">
      <c r="A95" s="249"/>
      <c r="B95" s="249"/>
      <c r="C95" s="249"/>
      <c r="D95" s="255"/>
      <c r="E95" s="213"/>
      <c r="F95" s="213"/>
      <c r="G95" s="213"/>
      <c r="H95" s="213"/>
      <c r="I95" s="249"/>
      <c r="J95" s="213"/>
      <c r="K95" s="213"/>
      <c r="L95" s="213"/>
      <c r="M95" s="213"/>
      <c r="N95" s="213"/>
      <c r="O95" s="351"/>
      <c r="P95" s="351"/>
      <c r="Q95" s="351"/>
      <c r="R95" s="351"/>
      <c r="S95" s="351"/>
      <c r="T95" s="249"/>
    </row>
    <row r="96" spans="1:20" s="245" customFormat="1" x14ac:dyDescent="0.35">
      <c r="A96" s="249"/>
      <c r="B96" s="249"/>
      <c r="C96" s="249"/>
      <c r="D96" s="255" t="s">
        <v>74</v>
      </c>
      <c r="E96" s="249"/>
      <c r="F96" s="249"/>
      <c r="G96" s="249"/>
      <c r="H96" s="249"/>
      <c r="I96" s="249"/>
      <c r="J96" s="249"/>
      <c r="K96" s="249"/>
      <c r="L96" s="249"/>
      <c r="M96" s="249"/>
      <c r="N96" s="249"/>
      <c r="O96" s="352"/>
      <c r="P96" s="352"/>
      <c r="Q96" s="352"/>
      <c r="R96" s="352"/>
      <c r="S96" s="352"/>
      <c r="T96" s="249"/>
    </row>
    <row r="97" spans="1:20" s="245" customFormat="1" x14ac:dyDescent="0.35">
      <c r="A97" s="249"/>
      <c r="B97" s="249"/>
      <c r="C97" s="249"/>
      <c r="D97" s="255"/>
      <c r="E97" s="249" t="s">
        <v>283</v>
      </c>
      <c r="F97" s="249"/>
      <c r="G97" s="249" t="s">
        <v>161</v>
      </c>
      <c r="H97" s="249"/>
      <c r="I97" s="249"/>
      <c r="J97" s="212"/>
      <c r="K97" s="212"/>
      <c r="L97" s="212"/>
      <c r="M97" s="212"/>
      <c r="N97" s="340">
        <f>(F_Inputs!I9*((AVERAGE(F_Inputs!$I$21:$I$32)/AVERAGE(F_Inputs!$F$21:$F$32))))/((F_Inputs!$H$33/F_Inputs!$G$33))</f>
        <v>151.516312333786</v>
      </c>
      <c r="O97" s="353"/>
      <c r="P97" s="353"/>
      <c r="Q97" s="353"/>
      <c r="R97" s="353"/>
      <c r="S97" s="353"/>
      <c r="T97" s="212"/>
    </row>
    <row r="98" spans="1:20" s="109" customFormat="1" x14ac:dyDescent="0.35">
      <c r="D98" s="260"/>
      <c r="E98" s="261" t="s">
        <v>159</v>
      </c>
      <c r="F98" s="261"/>
      <c r="G98" s="261" t="s">
        <v>172</v>
      </c>
      <c r="H98" s="261"/>
      <c r="J98" s="262"/>
      <c r="K98" s="262"/>
      <c r="L98" s="262"/>
      <c r="M98" s="262"/>
      <c r="N98" s="262"/>
      <c r="O98" s="340">
        <f>F_Inputs!I10*100</f>
        <v>0</v>
      </c>
      <c r="P98" s="340">
        <f>F_Inputs!J10*100</f>
        <v>0.77999999999999903</v>
      </c>
      <c r="Q98" s="340">
        <f>F_Inputs!K10*100</f>
        <v>0.31</v>
      </c>
      <c r="R98" s="340">
        <f>F_Inputs!L10*100</f>
        <v>0.21</v>
      </c>
      <c r="S98" s="340">
        <f>F_Inputs!M10*100</f>
        <v>0.13</v>
      </c>
      <c r="T98" s="262"/>
    </row>
    <row r="99" spans="1:20" s="245" customFormat="1" x14ac:dyDescent="0.35">
      <c r="A99" s="249"/>
      <c r="B99" s="249"/>
      <c r="C99" s="249"/>
      <c r="D99" s="255"/>
      <c r="E99" s="249"/>
      <c r="F99" s="249"/>
      <c r="G99" s="249"/>
      <c r="H99" s="249"/>
      <c r="I99" s="249"/>
      <c r="J99" s="249"/>
      <c r="K99" s="249"/>
      <c r="L99" s="249"/>
      <c r="M99" s="249"/>
      <c r="N99" s="249"/>
      <c r="O99" s="352"/>
      <c r="P99" s="352"/>
      <c r="Q99" s="352"/>
      <c r="R99" s="352"/>
      <c r="S99" s="352"/>
      <c r="T99" s="249"/>
    </row>
    <row r="100" spans="1:20" s="245" customFormat="1" x14ac:dyDescent="0.35">
      <c r="A100" s="249"/>
      <c r="B100" s="249"/>
      <c r="C100" s="249"/>
      <c r="D100" s="255" t="s">
        <v>76</v>
      </c>
      <c r="E100" s="249"/>
      <c r="F100" s="249"/>
      <c r="G100" s="249"/>
      <c r="H100" s="249"/>
      <c r="I100" s="249"/>
      <c r="J100" s="249"/>
      <c r="K100" s="249"/>
      <c r="L100" s="249"/>
      <c r="M100" s="249"/>
      <c r="N100" s="249"/>
      <c r="O100" s="352"/>
      <c r="P100" s="352"/>
      <c r="Q100" s="352"/>
      <c r="R100" s="352"/>
      <c r="S100" s="352"/>
      <c r="T100" s="249"/>
    </row>
    <row r="101" spans="1:20" s="245" customFormat="1" x14ac:dyDescent="0.35">
      <c r="A101" s="249"/>
      <c r="B101" s="249"/>
      <c r="C101" s="249"/>
      <c r="D101" s="255"/>
      <c r="E101" s="249" t="s">
        <v>283</v>
      </c>
      <c r="F101" s="249"/>
      <c r="G101" s="249" t="s">
        <v>161</v>
      </c>
      <c r="H101" s="249"/>
      <c r="I101" s="249"/>
      <c r="J101" s="212"/>
      <c r="K101" s="212"/>
      <c r="L101" s="212"/>
      <c r="M101" s="212"/>
      <c r="N101" s="340">
        <f>(F_Inputs!I13*((AVERAGE(F_Inputs!$I$21:$I$32)/AVERAGE(F_Inputs!$F$21:$F$32))))/((F_Inputs!$H$33/F_Inputs!$G$33))</f>
        <v>262.50818471460184</v>
      </c>
      <c r="O101" s="353"/>
      <c r="P101" s="353"/>
      <c r="Q101" s="353"/>
      <c r="R101" s="353"/>
      <c r="S101" s="353"/>
      <c r="T101" s="212"/>
    </row>
    <row r="102" spans="1:20" s="109" customFormat="1" x14ac:dyDescent="0.35">
      <c r="D102" s="260"/>
      <c r="E102" s="261" t="s">
        <v>159</v>
      </c>
      <c r="F102" s="261"/>
      <c r="G102" s="261" t="s">
        <v>172</v>
      </c>
      <c r="H102" s="261"/>
      <c r="J102" s="262"/>
      <c r="K102" s="262"/>
      <c r="L102" s="262"/>
      <c r="M102" s="262"/>
      <c r="N102" s="262"/>
      <c r="O102" s="340">
        <f>F_Inputs!I14*100</f>
        <v>0</v>
      </c>
      <c r="P102" s="340">
        <f>F_Inputs!J14*100</f>
        <v>0.75</v>
      </c>
      <c r="Q102" s="340">
        <f>F_Inputs!K14*100</f>
        <v>0.27999999999999903</v>
      </c>
      <c r="R102" s="340">
        <f>F_Inputs!L14*100</f>
        <v>0.13</v>
      </c>
      <c r="S102" s="340">
        <f>F_Inputs!M14*100</f>
        <v>0.16</v>
      </c>
      <c r="T102" s="262"/>
    </row>
    <row r="103" spans="1:20" s="245" customFormat="1" x14ac:dyDescent="0.35">
      <c r="A103" s="249"/>
      <c r="B103" s="249"/>
      <c r="C103" s="249"/>
      <c r="D103" s="255"/>
      <c r="E103" s="249"/>
      <c r="F103" s="249"/>
      <c r="G103" s="249"/>
      <c r="H103" s="249"/>
      <c r="I103" s="249"/>
      <c r="J103" s="249"/>
      <c r="K103" s="249"/>
      <c r="L103" s="249"/>
      <c r="M103" s="249"/>
      <c r="N103" s="249"/>
      <c r="O103" s="352"/>
      <c r="P103" s="352"/>
      <c r="Q103" s="352"/>
      <c r="R103" s="352"/>
      <c r="S103" s="352"/>
      <c r="T103" s="249"/>
    </row>
    <row r="104" spans="1:20" s="245" customFormat="1" x14ac:dyDescent="0.35">
      <c r="A104" s="249"/>
      <c r="B104" s="249"/>
      <c r="C104" s="249"/>
      <c r="D104" s="255" t="s">
        <v>82</v>
      </c>
      <c r="E104" s="249"/>
      <c r="F104" s="249"/>
      <c r="G104" s="249"/>
      <c r="H104" s="249"/>
      <c r="I104" s="249"/>
      <c r="J104" s="249"/>
      <c r="K104" s="249"/>
      <c r="L104" s="249"/>
      <c r="M104" s="249"/>
      <c r="N104" s="249"/>
      <c r="O104" s="352"/>
      <c r="P104" s="352"/>
      <c r="Q104" s="352"/>
      <c r="R104" s="352"/>
      <c r="S104" s="352"/>
      <c r="T104" s="249"/>
    </row>
    <row r="105" spans="1:20" s="245" customFormat="1" x14ac:dyDescent="0.35">
      <c r="A105" s="249"/>
      <c r="B105" s="249"/>
      <c r="C105" s="249"/>
      <c r="D105" s="255"/>
      <c r="E105" s="213" t="s">
        <v>284</v>
      </c>
      <c r="F105" s="213"/>
      <c r="G105" s="213" t="str">
        <f>F16</f>
        <v>£m (2017-18 Nov CPIH prices)</v>
      </c>
      <c r="H105" s="213"/>
      <c r="I105" s="249"/>
      <c r="J105" s="212"/>
      <c r="K105" s="212"/>
      <c r="L105" s="212"/>
      <c r="M105" s="212"/>
      <c r="N105" s="212"/>
      <c r="O105" s="353"/>
      <c r="P105" s="340">
        <f>IF(IFERROR((SUM(F_Inputs!$I$16:$M$16)/SUM(F_Inputs!$I$15:$M$15))*F_Inputs!J15,0)&lt;&gt;0,(SUM(F_Inputs!$I$16:$M$16)/SUM(F_Inputs!$I$15:$M$15))*F_Inputs!J15,0)</f>
        <v>30.982457462417532</v>
      </c>
      <c r="Q105" s="340">
        <f>IF(IFERROR((SUM(F_Inputs!$I$16:$M$16)/SUM(F_Inputs!$I$15:$M$15))*F_Inputs!K15,0)&lt;&gt;0,(SUM(F_Inputs!$I$16:$M$16)/SUM(F_Inputs!$I$15:$M$15))*F_Inputs!K15,0)</f>
        <v>31.187467802943388</v>
      </c>
      <c r="R105" s="340">
        <f>IF(IFERROR((SUM(F_Inputs!$I$16:$M$16)/SUM(F_Inputs!$I$15:$M$15))*F_Inputs!L15,0)&lt;&gt;0,(SUM(F_Inputs!$I$16:$M$16)/SUM(F_Inputs!$I$15:$M$15))*F_Inputs!L15,0)</f>
        <v>31.55778121804061</v>
      </c>
      <c r="S105" s="340">
        <f>IF(IFERROR((SUM(F_Inputs!$I$16:$M$16)/SUM(F_Inputs!$I$15:$M$15))*F_Inputs!M15,0)&lt;&gt;0,(SUM(F_Inputs!$I$16:$M$16)/SUM(F_Inputs!$I$15:$M$15))*F_Inputs!M15,0)</f>
        <v>32.144758193019889</v>
      </c>
      <c r="T105" s="212"/>
    </row>
    <row r="106" spans="1:20" s="245" customFormat="1" x14ac:dyDescent="0.35">
      <c r="A106" s="249"/>
      <c r="B106" s="249"/>
      <c r="C106" s="249"/>
      <c r="D106" s="255"/>
      <c r="E106" s="249"/>
      <c r="F106" s="249"/>
      <c r="G106" s="249"/>
      <c r="H106" s="249"/>
      <c r="I106" s="249"/>
      <c r="J106" s="249"/>
      <c r="K106" s="249"/>
      <c r="L106" s="249"/>
      <c r="M106" s="249"/>
      <c r="N106" s="249"/>
      <c r="O106" s="352"/>
      <c r="P106" s="352"/>
      <c r="Q106" s="352"/>
      <c r="R106" s="352"/>
      <c r="S106" s="352"/>
      <c r="T106" s="249"/>
    </row>
    <row r="107" spans="1:20" s="245" customFormat="1" x14ac:dyDescent="0.35">
      <c r="A107" s="249"/>
      <c r="B107" s="249"/>
      <c r="C107" s="249"/>
      <c r="D107" s="255" t="s">
        <v>78</v>
      </c>
      <c r="E107" s="249"/>
      <c r="F107" s="249"/>
      <c r="G107" s="249"/>
      <c r="H107" s="249"/>
      <c r="I107" s="249"/>
      <c r="J107" s="249"/>
      <c r="K107" s="249"/>
      <c r="L107" s="249"/>
      <c r="M107" s="249"/>
      <c r="N107" s="249"/>
      <c r="O107" s="352"/>
      <c r="P107" s="352"/>
      <c r="Q107" s="352"/>
      <c r="R107" s="352"/>
      <c r="S107" s="352"/>
      <c r="T107" s="249"/>
    </row>
    <row r="108" spans="1:20" s="245" customFormat="1" x14ac:dyDescent="0.35">
      <c r="A108" s="249"/>
      <c r="B108" s="249"/>
      <c r="C108" s="249"/>
      <c r="D108" s="255"/>
      <c r="E108" s="213" t="s">
        <v>285</v>
      </c>
      <c r="F108" s="213"/>
      <c r="G108" s="213" t="s">
        <v>161</v>
      </c>
      <c r="H108" s="213"/>
      <c r="I108" s="249"/>
      <c r="J108" s="212"/>
      <c r="K108" s="212"/>
      <c r="L108" s="212"/>
      <c r="M108" s="212"/>
      <c r="N108" s="212"/>
      <c r="O108" s="353"/>
      <c r="P108" s="340">
        <f>F_Inputs!J17</f>
        <v>31.902510731770601</v>
      </c>
      <c r="Q108" s="340">
        <f>F_Inputs!K17</f>
        <v>32.716490318083103</v>
      </c>
      <c r="R108" s="340">
        <f>F_Inputs!L17</f>
        <v>33.448142797569197</v>
      </c>
      <c r="S108" s="340">
        <f>F_Inputs!M17</f>
        <v>34.196410189452202</v>
      </c>
      <c r="T108" s="212"/>
    </row>
    <row r="109" spans="1:20" s="245" customFormat="1" x14ac:dyDescent="0.35">
      <c r="A109" s="249"/>
      <c r="B109" s="249"/>
      <c r="C109" s="249"/>
      <c r="D109" s="255"/>
      <c r="E109" s="249"/>
      <c r="F109" s="249"/>
      <c r="G109" s="249"/>
      <c r="H109" s="249"/>
      <c r="I109" s="249"/>
      <c r="J109" s="249"/>
      <c r="K109" s="249"/>
      <c r="L109" s="249"/>
      <c r="M109" s="249"/>
      <c r="N109" s="249"/>
      <c r="O109" s="249"/>
      <c r="P109" s="249"/>
      <c r="Q109" s="249"/>
      <c r="R109" s="249"/>
      <c r="S109" s="249"/>
      <c r="T109" s="249"/>
    </row>
    <row r="110" spans="1:20" s="245" customFormat="1" x14ac:dyDescent="0.35">
      <c r="A110" s="249"/>
      <c r="B110" s="249"/>
      <c r="C110" s="249"/>
      <c r="D110" s="214" t="s">
        <v>80</v>
      </c>
      <c r="E110" s="249"/>
      <c r="F110" s="249"/>
      <c r="G110" s="249"/>
      <c r="H110" s="249"/>
      <c r="I110" s="249"/>
      <c r="J110" s="249"/>
      <c r="K110" s="249"/>
      <c r="L110" s="249"/>
      <c r="M110" s="249"/>
      <c r="N110" s="249"/>
      <c r="O110" s="249"/>
      <c r="P110" s="249"/>
      <c r="Q110" s="249"/>
      <c r="R110" s="249"/>
      <c r="S110" s="249"/>
      <c r="T110" s="249"/>
    </row>
    <row r="111" spans="1:20" s="245" customFormat="1" x14ac:dyDescent="0.35">
      <c r="A111" s="249"/>
      <c r="B111" s="249"/>
      <c r="C111" s="249"/>
      <c r="D111" s="255"/>
      <c r="E111" s="249" t="s">
        <v>286</v>
      </c>
      <c r="F111" s="249"/>
      <c r="G111" s="249" t="s">
        <v>191</v>
      </c>
      <c r="H111" s="249"/>
      <c r="I111" s="249"/>
      <c r="J111" s="212"/>
      <c r="K111" s="212"/>
      <c r="L111" s="212"/>
      <c r="M111" s="212"/>
      <c r="N111" s="212"/>
      <c r="O111" s="212"/>
      <c r="P111" s="212"/>
      <c r="Q111" s="220"/>
      <c r="R111" s="220"/>
      <c r="S111" s="220"/>
      <c r="T111" s="212"/>
    </row>
    <row r="112" spans="1:20" s="245" customFormat="1" x14ac:dyDescent="0.35">
      <c r="A112" s="249"/>
      <c r="B112" s="249"/>
      <c r="C112" s="249"/>
      <c r="D112" s="255"/>
      <c r="E112" s="249" t="s">
        <v>287</v>
      </c>
      <c r="F112" s="213"/>
      <c r="G112" s="249" t="s">
        <v>191</v>
      </c>
      <c r="H112" s="213"/>
      <c r="I112" s="249"/>
      <c r="J112" s="212"/>
      <c r="K112" s="212"/>
      <c r="L112" s="212"/>
      <c r="M112" s="212"/>
      <c r="N112" s="212"/>
      <c r="O112" s="212"/>
      <c r="P112" s="212"/>
      <c r="Q112" s="220"/>
      <c r="R112" s="220"/>
      <c r="S112" s="220"/>
      <c r="T112" s="212"/>
    </row>
    <row r="113" spans="1:20" s="245" customFormat="1" x14ac:dyDescent="0.35">
      <c r="A113" s="249"/>
      <c r="B113" s="249"/>
      <c r="C113" s="249"/>
      <c r="D113" s="255"/>
      <c r="E113" s="249" t="s">
        <v>288</v>
      </c>
      <c r="F113" s="213"/>
      <c r="G113" s="249" t="s">
        <v>191</v>
      </c>
      <c r="H113" s="213"/>
      <c r="I113" s="249"/>
      <c r="J113" s="212"/>
      <c r="K113" s="212"/>
      <c r="L113" s="212"/>
      <c r="M113" s="212"/>
      <c r="N113" s="212"/>
      <c r="O113" s="212"/>
      <c r="P113" s="212"/>
      <c r="Q113" s="220"/>
      <c r="R113" s="220"/>
      <c r="S113" s="220"/>
      <c r="T113" s="212"/>
    </row>
    <row r="114" spans="1:20" s="245" customFormat="1" x14ac:dyDescent="0.35">
      <c r="A114" s="249"/>
      <c r="B114" s="249"/>
      <c r="C114" s="249"/>
      <c r="D114" s="255"/>
      <c r="E114" s="249" t="s">
        <v>289</v>
      </c>
      <c r="F114" s="213"/>
      <c r="G114" s="249" t="s">
        <v>191</v>
      </c>
      <c r="H114" s="213"/>
      <c r="I114" s="249"/>
      <c r="J114" s="212"/>
      <c r="K114" s="212"/>
      <c r="L114" s="212"/>
      <c r="M114" s="212"/>
      <c r="N114" s="212"/>
      <c r="O114" s="212"/>
      <c r="P114" s="212"/>
      <c r="Q114" s="220"/>
      <c r="R114" s="220"/>
      <c r="S114" s="220"/>
      <c r="T114" s="212"/>
    </row>
    <row r="115" spans="1:20" s="245" customFormat="1" x14ac:dyDescent="0.35">
      <c r="A115" s="249"/>
      <c r="B115" s="249"/>
      <c r="C115" s="249"/>
      <c r="D115" s="255"/>
      <c r="E115" s="249" t="s">
        <v>290</v>
      </c>
      <c r="F115" s="213"/>
      <c r="G115" s="249" t="s">
        <v>191</v>
      </c>
      <c r="H115" s="213"/>
      <c r="I115" s="249"/>
      <c r="J115" s="212"/>
      <c r="K115" s="212"/>
      <c r="L115" s="212"/>
      <c r="M115" s="212"/>
      <c r="N115" s="212"/>
      <c r="O115" s="212"/>
      <c r="P115" s="212"/>
      <c r="Q115" s="220"/>
      <c r="R115" s="220"/>
      <c r="S115" s="220"/>
      <c r="T115" s="212"/>
    </row>
    <row r="116" spans="1:20" s="245" customFormat="1" x14ac:dyDescent="0.35">
      <c r="A116" s="249"/>
      <c r="B116" s="249"/>
      <c r="C116" s="249"/>
      <c r="D116" s="255"/>
      <c r="E116" s="249"/>
      <c r="F116" s="213"/>
      <c r="G116" s="249"/>
      <c r="H116" s="213"/>
      <c r="I116" s="249"/>
      <c r="J116" s="213"/>
      <c r="K116" s="213"/>
      <c r="L116" s="213"/>
      <c r="M116" s="213"/>
      <c r="N116" s="213"/>
      <c r="O116" s="213"/>
      <c r="P116" s="213"/>
      <c r="Q116" s="249"/>
      <c r="R116" s="249"/>
      <c r="S116" s="249"/>
      <c r="T116" s="213"/>
    </row>
    <row r="117" spans="1:20" s="245" customFormat="1" x14ac:dyDescent="0.35">
      <c r="A117" s="249"/>
      <c r="B117" s="249"/>
      <c r="C117" s="249"/>
      <c r="D117" s="255"/>
      <c r="E117" s="249" t="s">
        <v>291</v>
      </c>
      <c r="F117" s="213"/>
      <c r="G117" s="249" t="s">
        <v>172</v>
      </c>
      <c r="H117" s="213"/>
      <c r="I117" s="249"/>
      <c r="J117" s="212"/>
      <c r="K117" s="212"/>
      <c r="L117" s="212"/>
      <c r="M117" s="212"/>
      <c r="N117" s="212"/>
      <c r="O117" s="212"/>
      <c r="P117" s="212"/>
      <c r="Q117" s="220"/>
      <c r="R117" s="220"/>
      <c r="S117" s="220"/>
      <c r="T117" s="212"/>
    </row>
    <row r="118" spans="1:20" s="245" customFormat="1" x14ac:dyDescent="0.35">
      <c r="A118" s="249"/>
      <c r="B118" s="249"/>
      <c r="C118" s="249"/>
      <c r="D118" s="255"/>
      <c r="E118" s="249" t="s">
        <v>292</v>
      </c>
      <c r="F118" s="213"/>
      <c r="G118" s="249" t="s">
        <v>172</v>
      </c>
      <c r="H118" s="213"/>
      <c r="I118" s="249"/>
      <c r="J118" s="212"/>
      <c r="K118" s="212"/>
      <c r="L118" s="212"/>
      <c r="M118" s="212"/>
      <c r="N118" s="212"/>
      <c r="O118" s="212"/>
      <c r="P118" s="212"/>
      <c r="Q118" s="220"/>
      <c r="R118" s="220"/>
      <c r="S118" s="220"/>
      <c r="T118" s="212"/>
    </row>
    <row r="119" spans="1:20" s="245" customFormat="1" x14ac:dyDescent="0.35">
      <c r="A119" s="249"/>
      <c r="B119" s="249"/>
      <c r="C119" s="249"/>
      <c r="D119" s="255"/>
      <c r="E119" s="249" t="s">
        <v>293</v>
      </c>
      <c r="F119" s="213"/>
      <c r="G119" s="249" t="s">
        <v>172</v>
      </c>
      <c r="H119" s="213"/>
      <c r="I119" s="249"/>
      <c r="J119" s="212"/>
      <c r="K119" s="212"/>
      <c r="L119" s="212"/>
      <c r="M119" s="212"/>
      <c r="N119" s="212"/>
      <c r="O119" s="212"/>
      <c r="P119" s="212"/>
      <c r="Q119" s="220"/>
      <c r="R119" s="220"/>
      <c r="S119" s="220"/>
      <c r="T119" s="212"/>
    </row>
    <row r="120" spans="1:20" s="245" customFormat="1" x14ac:dyDescent="0.35">
      <c r="A120" s="249"/>
      <c r="B120" s="249"/>
      <c r="C120" s="249"/>
      <c r="D120" s="255"/>
      <c r="E120" s="249" t="s">
        <v>294</v>
      </c>
      <c r="F120" s="213"/>
      <c r="G120" s="249" t="s">
        <v>172</v>
      </c>
      <c r="H120" s="213"/>
      <c r="I120" s="249"/>
      <c r="J120" s="212"/>
      <c r="K120" s="212"/>
      <c r="L120" s="212"/>
      <c r="M120" s="212"/>
      <c r="N120" s="212"/>
      <c r="O120" s="212"/>
      <c r="P120" s="212"/>
      <c r="Q120" s="220"/>
      <c r="R120" s="220"/>
      <c r="S120" s="220"/>
      <c r="T120" s="212"/>
    </row>
    <row r="121" spans="1:20" s="245" customFormat="1" x14ac:dyDescent="0.35">
      <c r="A121" s="249"/>
      <c r="B121" s="249"/>
      <c r="C121" s="249"/>
      <c r="D121" s="255"/>
      <c r="E121" s="249" t="s">
        <v>295</v>
      </c>
      <c r="F121" s="213"/>
      <c r="G121" s="249" t="s">
        <v>172</v>
      </c>
      <c r="H121" s="213"/>
      <c r="I121" s="249"/>
      <c r="J121" s="212"/>
      <c r="K121" s="212"/>
      <c r="L121" s="212"/>
      <c r="M121" s="212"/>
      <c r="N121" s="212"/>
      <c r="O121" s="212"/>
      <c r="P121" s="212"/>
      <c r="Q121" s="220"/>
      <c r="R121" s="220"/>
      <c r="S121" s="220"/>
      <c r="T121" s="212"/>
    </row>
    <row r="122" spans="1:20" s="245" customFormat="1" x14ac:dyDescent="0.35">
      <c r="A122" s="249"/>
      <c r="B122" s="249"/>
      <c r="C122" s="249"/>
      <c r="D122" s="255"/>
      <c r="E122" s="249"/>
      <c r="F122" s="213"/>
      <c r="G122" s="213"/>
      <c r="H122" s="213"/>
      <c r="I122" s="249"/>
      <c r="J122" s="213"/>
      <c r="K122" s="213"/>
      <c r="L122" s="213"/>
      <c r="M122" s="213"/>
      <c r="N122" s="213"/>
      <c r="O122" s="213"/>
      <c r="P122" s="213"/>
      <c r="Q122" s="249"/>
      <c r="R122" s="249"/>
      <c r="S122" s="249"/>
      <c r="T122" s="213"/>
    </row>
    <row r="123" spans="1:20" s="109" customFormat="1" x14ac:dyDescent="0.35">
      <c r="D123" s="260"/>
      <c r="E123" s="109" t="s">
        <v>296</v>
      </c>
      <c r="F123" s="261"/>
      <c r="G123" s="261" t="s">
        <v>130</v>
      </c>
      <c r="H123" s="261"/>
      <c r="J123" s="262"/>
      <c r="K123" s="262"/>
      <c r="L123" s="262"/>
      <c r="M123" s="262"/>
      <c r="N123" s="262"/>
      <c r="O123" s="262"/>
      <c r="P123" s="262"/>
      <c r="Q123" s="89"/>
      <c r="R123" s="89"/>
      <c r="S123" s="89"/>
      <c r="T123" s="262"/>
    </row>
    <row r="124" spans="1:20" s="109" customFormat="1" x14ac:dyDescent="0.35">
      <c r="D124" s="260"/>
      <c r="E124" s="109" t="s">
        <v>297</v>
      </c>
      <c r="F124" s="261"/>
      <c r="G124" s="261" t="s">
        <v>130</v>
      </c>
      <c r="H124" s="261"/>
      <c r="J124" s="262"/>
      <c r="K124" s="262"/>
      <c r="L124" s="262"/>
      <c r="M124" s="262"/>
      <c r="N124" s="262"/>
      <c r="O124" s="262"/>
      <c r="P124" s="262"/>
      <c r="Q124" s="89"/>
      <c r="R124" s="89"/>
      <c r="S124" s="89"/>
      <c r="T124" s="262"/>
    </row>
    <row r="125" spans="1:20" s="109" customFormat="1" x14ac:dyDescent="0.35">
      <c r="D125" s="260"/>
      <c r="E125" s="109" t="s">
        <v>298</v>
      </c>
      <c r="F125" s="261"/>
      <c r="G125" s="261" t="s">
        <v>130</v>
      </c>
      <c r="H125" s="261"/>
      <c r="J125" s="262"/>
      <c r="K125" s="262"/>
      <c r="L125" s="262"/>
      <c r="M125" s="262"/>
      <c r="N125" s="262"/>
      <c r="O125" s="262"/>
      <c r="P125" s="262"/>
      <c r="Q125" s="89"/>
      <c r="R125" s="89"/>
      <c r="S125" s="89"/>
      <c r="T125" s="262"/>
    </row>
    <row r="126" spans="1:20" s="109" customFormat="1" x14ac:dyDescent="0.35">
      <c r="D126" s="260"/>
      <c r="E126" s="109" t="s">
        <v>299</v>
      </c>
      <c r="F126" s="261"/>
      <c r="G126" s="261" t="s">
        <v>130</v>
      </c>
      <c r="H126" s="261"/>
      <c r="J126" s="262"/>
      <c r="K126" s="262"/>
      <c r="L126" s="262"/>
      <c r="M126" s="262"/>
      <c r="N126" s="262"/>
      <c r="O126" s="262"/>
      <c r="P126" s="262"/>
      <c r="Q126" s="89"/>
      <c r="R126" s="89"/>
      <c r="S126" s="89"/>
      <c r="T126" s="262"/>
    </row>
    <row r="127" spans="1:20" s="109" customFormat="1" x14ac:dyDescent="0.35">
      <c r="D127" s="260"/>
      <c r="E127" s="109" t="s">
        <v>300</v>
      </c>
      <c r="F127" s="261"/>
      <c r="G127" s="261" t="s">
        <v>130</v>
      </c>
      <c r="H127" s="261"/>
      <c r="J127" s="262"/>
      <c r="K127" s="262"/>
      <c r="L127" s="262"/>
      <c r="M127" s="262"/>
      <c r="N127" s="262"/>
      <c r="O127" s="262"/>
      <c r="P127" s="262"/>
      <c r="Q127" s="89"/>
      <c r="R127" s="89"/>
      <c r="S127" s="89"/>
      <c r="T127" s="262"/>
    </row>
    <row r="128" spans="1:20" s="245" customFormat="1" x14ac:dyDescent="0.35">
      <c r="A128" s="249"/>
      <c r="B128" s="249"/>
      <c r="C128" s="249"/>
      <c r="D128" s="255"/>
      <c r="E128" s="109" t="s">
        <v>88</v>
      </c>
      <c r="F128" s="261"/>
      <c r="G128" s="261" t="s">
        <v>130</v>
      </c>
      <c r="H128" s="261"/>
      <c r="I128" s="109"/>
      <c r="J128" s="261"/>
      <c r="K128" s="261"/>
      <c r="L128" s="261"/>
      <c r="M128" s="261"/>
      <c r="N128" s="261"/>
      <c r="O128" s="261"/>
      <c r="P128" s="261"/>
      <c r="Q128" s="109"/>
      <c r="R128" s="109"/>
      <c r="S128" s="109"/>
      <c r="T128" s="261"/>
    </row>
    <row r="129" spans="1:20" s="245" customFormat="1" x14ac:dyDescent="0.35">
      <c r="A129" s="249"/>
      <c r="B129" s="249"/>
      <c r="C129" s="249"/>
      <c r="D129" s="255"/>
      <c r="E129" s="249"/>
      <c r="F129" s="249"/>
      <c r="G129" s="249"/>
      <c r="H129" s="249"/>
      <c r="I129" s="249"/>
      <c r="J129" s="249"/>
      <c r="K129" s="249"/>
      <c r="L129" s="249"/>
      <c r="M129" s="249"/>
      <c r="N129" s="249"/>
      <c r="O129" s="249"/>
      <c r="P129" s="249"/>
      <c r="Q129" s="249"/>
      <c r="R129" s="249"/>
      <c r="S129" s="249"/>
      <c r="T129" s="249"/>
    </row>
    <row r="130" spans="1:20" s="245" customFormat="1" x14ac:dyDescent="0.35">
      <c r="A130" s="249"/>
      <c r="B130" s="249"/>
      <c r="C130" s="249"/>
      <c r="D130" s="255" t="s">
        <v>84</v>
      </c>
      <c r="E130" s="249"/>
      <c r="F130" s="249"/>
      <c r="G130" s="249"/>
      <c r="H130" s="249"/>
      <c r="I130" s="249"/>
      <c r="J130" s="249"/>
      <c r="K130" s="249"/>
      <c r="L130" s="249"/>
      <c r="M130" s="249"/>
      <c r="N130" s="249"/>
      <c r="O130" s="249"/>
      <c r="P130" s="249"/>
      <c r="Q130" s="249"/>
      <c r="R130" s="249"/>
      <c r="S130" s="249"/>
      <c r="T130" s="249"/>
    </row>
    <row r="131" spans="1:20" s="245" customFormat="1" x14ac:dyDescent="0.35">
      <c r="A131" s="249"/>
      <c r="B131" s="249"/>
      <c r="C131" s="249"/>
      <c r="D131" s="255"/>
      <c r="E131" s="249" t="s">
        <v>283</v>
      </c>
      <c r="F131" s="249"/>
      <c r="G131" s="249" t="s">
        <v>161</v>
      </c>
      <c r="H131" s="249"/>
      <c r="I131" s="249"/>
      <c r="J131" s="212"/>
      <c r="K131" s="212"/>
      <c r="L131" s="212"/>
      <c r="M131" s="212"/>
      <c r="N131" s="340">
        <f>(F_Inputs!I44*((AVERAGE(F_Inputs!$I$21:$I$32)/AVERAGE(F_Inputs!$F$21:$F$32))))/((F_Inputs!$H$33/F_Inputs!$G$33))</f>
        <v>0</v>
      </c>
      <c r="O131" s="212"/>
      <c r="P131" s="212"/>
      <c r="Q131" s="212"/>
      <c r="R131" s="212"/>
      <c r="S131" s="212"/>
      <c r="T131" s="212"/>
    </row>
    <row r="132" spans="1:20" s="109" customFormat="1" x14ac:dyDescent="0.35">
      <c r="D132" s="260"/>
      <c r="E132" s="261" t="s">
        <v>159</v>
      </c>
      <c r="F132" s="261"/>
      <c r="G132" s="261" t="s">
        <v>172</v>
      </c>
      <c r="H132" s="261"/>
      <c r="J132" s="262"/>
      <c r="K132" s="262"/>
      <c r="L132" s="262"/>
      <c r="M132" s="262"/>
      <c r="N132" s="262"/>
      <c r="O132" s="339">
        <f>F_Inputs!I45*100</f>
        <v>0</v>
      </c>
      <c r="P132" s="339">
        <f>F_Inputs!J45*100</f>
        <v>0</v>
      </c>
      <c r="Q132" s="339">
        <f>F_Inputs!K45*100</f>
        <v>0</v>
      </c>
      <c r="R132" s="339">
        <f>F_Inputs!L45*100</f>
        <v>0</v>
      </c>
      <c r="S132" s="339">
        <f>F_Inputs!M45*100</f>
        <v>0</v>
      </c>
      <c r="T132" s="262"/>
    </row>
    <row r="133" spans="1:20" s="245" customFormat="1" x14ac:dyDescent="0.35">
      <c r="A133" s="249"/>
      <c r="B133" s="249"/>
      <c r="C133" s="249"/>
      <c r="D133" s="249"/>
      <c r="E133" s="249"/>
      <c r="F133" s="249"/>
      <c r="G133" s="249"/>
      <c r="H133" s="249"/>
      <c r="I133" s="249"/>
      <c r="J133" s="249"/>
      <c r="K133" s="249"/>
      <c r="L133" s="249"/>
      <c r="M133" s="249"/>
      <c r="N133" s="249"/>
      <c r="O133" s="249"/>
      <c r="P133" s="249"/>
      <c r="Q133" s="249"/>
      <c r="R133" s="249"/>
      <c r="S133" s="249"/>
      <c r="T133" s="249"/>
    </row>
    <row r="134" spans="1:20" s="245" customFormat="1" ht="13.15" x14ac:dyDescent="0.35">
      <c r="A134" s="246" t="s">
        <v>59</v>
      </c>
      <c r="B134" s="247"/>
      <c r="C134" s="248"/>
      <c r="D134" s="248"/>
      <c r="E134" s="248"/>
      <c r="F134" s="248"/>
      <c r="G134" s="248"/>
      <c r="H134" s="248"/>
      <c r="I134" s="248"/>
      <c r="J134" s="248"/>
      <c r="K134" s="248"/>
      <c r="L134" s="248"/>
      <c r="M134" s="248"/>
      <c r="N134" s="248"/>
      <c r="O134" s="248"/>
      <c r="P134" s="248"/>
      <c r="Q134" s="248"/>
      <c r="R134" s="248"/>
      <c r="S134" s="248"/>
      <c r="T134" s="248"/>
    </row>
    <row r="135" spans="1:20" s="245" customFormat="1" x14ac:dyDescent="0.35">
      <c r="A135" s="249"/>
      <c r="B135" s="249"/>
      <c r="C135" s="249"/>
      <c r="D135" s="249"/>
      <c r="E135" s="249"/>
      <c r="F135" s="249"/>
      <c r="G135" s="249"/>
      <c r="H135" s="249"/>
      <c r="I135" s="249"/>
      <c r="J135" s="249"/>
      <c r="K135" s="249"/>
      <c r="L135" s="249"/>
      <c r="M135" s="249"/>
      <c r="N135" s="249"/>
      <c r="O135" s="249"/>
      <c r="P135" s="249"/>
      <c r="Q135" s="249"/>
      <c r="R135" s="249"/>
      <c r="S135" s="249"/>
      <c r="T135" s="249"/>
    </row>
    <row r="136" spans="1:20" s="245" customFormat="1" x14ac:dyDescent="0.35">
      <c r="A136" s="249"/>
      <c r="B136" s="249"/>
      <c r="C136" s="249"/>
      <c r="D136" s="249"/>
      <c r="E136" s="213" t="s">
        <v>301</v>
      </c>
      <c r="F136" s="263">
        <v>42095</v>
      </c>
      <c r="G136" s="213" t="s">
        <v>100</v>
      </c>
      <c r="H136" s="249"/>
      <c r="I136" s="249"/>
      <c r="J136" s="249"/>
      <c r="K136" s="249"/>
      <c r="L136" s="249"/>
      <c r="M136" s="249"/>
      <c r="N136" s="249"/>
      <c r="O136" s="249"/>
      <c r="P136" s="249"/>
      <c r="Q136" s="249"/>
      <c r="R136" s="249"/>
      <c r="S136" s="249"/>
      <c r="T136" s="249"/>
    </row>
    <row r="137" spans="1:20" s="245" customFormat="1" x14ac:dyDescent="0.35">
      <c r="A137" s="249"/>
      <c r="B137" s="249"/>
      <c r="C137" s="249"/>
      <c r="D137" s="249"/>
      <c r="E137" s="213"/>
      <c r="F137" s="213"/>
      <c r="G137" s="213"/>
      <c r="H137" s="249"/>
      <c r="I137" s="249"/>
      <c r="J137" s="249"/>
      <c r="K137" s="249"/>
      <c r="L137" s="249"/>
      <c r="M137" s="249"/>
      <c r="N137" s="249"/>
      <c r="O137" s="249"/>
      <c r="P137" s="249"/>
      <c r="Q137" s="249"/>
      <c r="R137" s="249"/>
      <c r="S137" s="249"/>
      <c r="T137" s="249"/>
    </row>
    <row r="138" spans="1:20" s="245" customFormat="1" x14ac:dyDescent="0.35">
      <c r="A138" s="249"/>
      <c r="B138" s="249"/>
      <c r="C138" s="249"/>
      <c r="D138" s="249"/>
      <c r="E138" s="213" t="s">
        <v>302</v>
      </c>
      <c r="F138" s="263">
        <v>43921</v>
      </c>
      <c r="G138" s="213" t="s">
        <v>100</v>
      </c>
      <c r="H138" s="249"/>
      <c r="I138" s="249"/>
      <c r="J138" s="249"/>
      <c r="K138" s="249"/>
      <c r="L138" s="249"/>
      <c r="M138" s="249"/>
      <c r="N138" s="249"/>
      <c r="O138" s="249"/>
      <c r="P138" s="249"/>
      <c r="Q138" s="249"/>
      <c r="R138" s="249"/>
      <c r="S138" s="249"/>
      <c r="T138" s="249"/>
    </row>
    <row r="139" spans="1:20" s="245" customFormat="1" x14ac:dyDescent="0.35">
      <c r="A139" s="249"/>
      <c r="B139" s="249"/>
      <c r="C139" s="249"/>
      <c r="D139" s="249"/>
      <c r="E139" s="213"/>
      <c r="F139" s="213"/>
      <c r="G139" s="213"/>
      <c r="H139" s="249"/>
      <c r="I139" s="249"/>
      <c r="J139" s="249"/>
      <c r="K139" s="249"/>
      <c r="L139" s="249"/>
      <c r="M139" s="249"/>
      <c r="N139" s="249"/>
      <c r="O139" s="249"/>
      <c r="P139" s="249"/>
      <c r="Q139" s="249"/>
      <c r="R139" s="249"/>
      <c r="S139" s="249"/>
      <c r="T139" s="249"/>
    </row>
    <row r="140" spans="1:20" s="245" customFormat="1" x14ac:dyDescent="0.35">
      <c r="A140" s="249"/>
      <c r="B140" s="249"/>
      <c r="C140" s="249"/>
      <c r="D140" s="249"/>
      <c r="E140" s="213" t="s">
        <v>303</v>
      </c>
      <c r="F140" s="263">
        <v>43921</v>
      </c>
      <c r="G140" s="213" t="s">
        <v>100</v>
      </c>
      <c r="H140" s="249"/>
      <c r="I140" s="249"/>
      <c r="J140" s="249"/>
      <c r="K140" s="249"/>
      <c r="L140" s="249"/>
      <c r="M140" s="249"/>
      <c r="N140" s="249"/>
      <c r="O140" s="249"/>
      <c r="P140" s="249"/>
      <c r="Q140" s="249"/>
      <c r="R140" s="249"/>
      <c r="S140" s="249"/>
      <c r="T140" s="249"/>
    </row>
    <row r="141" spans="1:20" s="245" customFormat="1" ht="13.5" x14ac:dyDescent="0.35">
      <c r="A141" s="249"/>
      <c r="B141" s="249"/>
      <c r="C141" s="249"/>
      <c r="D141" s="249"/>
      <c r="E141" s="213" t="s">
        <v>304</v>
      </c>
      <c r="F141" s="305">
        <v>5</v>
      </c>
      <c r="G141" s="259" t="s">
        <v>305</v>
      </c>
      <c r="H141" s="249"/>
      <c r="I141" s="249"/>
      <c r="J141" s="249"/>
      <c r="K141" s="249"/>
      <c r="L141" s="249"/>
      <c r="M141" s="249"/>
      <c r="N141" s="249"/>
      <c r="O141" s="249"/>
      <c r="P141" s="249"/>
      <c r="Q141" s="249"/>
      <c r="R141" s="249"/>
      <c r="S141" s="249"/>
      <c r="T141" s="249"/>
    </row>
    <row r="142" spans="1:20" s="245" customFormat="1" x14ac:dyDescent="0.35">
      <c r="A142" s="249"/>
      <c r="B142" s="249"/>
      <c r="C142" s="249"/>
      <c r="D142" s="249"/>
      <c r="E142" s="213" t="s">
        <v>306</v>
      </c>
      <c r="F142" s="264">
        <f>DATE(YEAR(F140)+F141,MONTH(F140),DAY(F140))</f>
        <v>45747</v>
      </c>
      <c r="G142" s="213" t="s">
        <v>100</v>
      </c>
      <c r="H142" s="249"/>
      <c r="I142" s="249"/>
      <c r="J142" s="249"/>
      <c r="K142" s="249"/>
      <c r="L142" s="249"/>
      <c r="M142" s="249"/>
      <c r="N142" s="249"/>
      <c r="O142" s="249"/>
      <c r="P142" s="249"/>
      <c r="Q142" s="249"/>
      <c r="R142" s="249"/>
      <c r="S142" s="249"/>
      <c r="T142" s="249"/>
    </row>
    <row r="143" spans="1:20" s="245" customFormat="1" x14ac:dyDescent="0.35">
      <c r="A143" s="249"/>
      <c r="B143" s="249"/>
      <c r="C143" s="249"/>
      <c r="D143" s="249"/>
      <c r="E143" s="213"/>
      <c r="F143" s="213"/>
      <c r="G143" s="213"/>
      <c r="H143" s="249"/>
      <c r="I143" s="249"/>
      <c r="J143" s="249"/>
      <c r="K143" s="249"/>
      <c r="L143" s="249"/>
      <c r="M143" s="249"/>
      <c r="N143" s="249"/>
      <c r="O143" s="249"/>
      <c r="P143" s="249"/>
      <c r="Q143" s="249"/>
      <c r="R143" s="249"/>
      <c r="S143" s="249"/>
      <c r="T143" s="249"/>
    </row>
    <row r="144" spans="1:20" s="245" customFormat="1" x14ac:dyDescent="0.35">
      <c r="A144" s="249"/>
      <c r="B144" s="249"/>
      <c r="C144" s="249"/>
      <c r="D144" s="249"/>
      <c r="E144" s="213" t="s">
        <v>307</v>
      </c>
      <c r="F144" s="263">
        <v>44286</v>
      </c>
      <c r="G144" s="213" t="s">
        <v>100</v>
      </c>
      <c r="H144" s="249"/>
      <c r="I144" s="249"/>
      <c r="J144" s="249"/>
      <c r="K144" s="249"/>
      <c r="L144" s="249"/>
      <c r="M144" s="249"/>
      <c r="N144" s="249"/>
      <c r="O144" s="249"/>
      <c r="P144" s="249"/>
      <c r="Q144" s="249"/>
      <c r="R144" s="249"/>
      <c r="S144" s="249"/>
      <c r="T144" s="249"/>
    </row>
    <row r="145" spans="1:20" s="245" customFormat="1" x14ac:dyDescent="0.35">
      <c r="A145" s="249"/>
      <c r="B145" s="249"/>
      <c r="C145" s="249"/>
      <c r="D145" s="249"/>
      <c r="E145" s="213" t="s">
        <v>308</v>
      </c>
      <c r="F145" s="263">
        <v>45747</v>
      </c>
      <c r="G145" s="213" t="s">
        <v>100</v>
      </c>
      <c r="H145" s="249"/>
      <c r="I145" s="249"/>
      <c r="J145" s="249"/>
      <c r="K145" s="249"/>
      <c r="L145" s="249"/>
      <c r="M145" s="249"/>
      <c r="N145" s="249"/>
      <c r="O145" s="249"/>
      <c r="P145" s="249"/>
      <c r="Q145" s="249"/>
      <c r="R145" s="249"/>
      <c r="S145" s="249"/>
      <c r="T145" s="249"/>
    </row>
    <row r="146" spans="1:20" s="245" customFormat="1" x14ac:dyDescent="0.35">
      <c r="A146" s="249"/>
      <c r="B146" s="249"/>
      <c r="C146" s="249"/>
      <c r="D146" s="249"/>
      <c r="E146" s="213" t="s">
        <v>309</v>
      </c>
      <c r="F146" s="305">
        <v>2016</v>
      </c>
      <c r="G146" s="213" t="s">
        <v>310</v>
      </c>
      <c r="H146" s="249"/>
      <c r="I146" s="249"/>
      <c r="J146" s="249"/>
      <c r="K146" s="249"/>
      <c r="L146" s="249"/>
      <c r="M146" s="249"/>
      <c r="N146" s="249"/>
      <c r="O146" s="249"/>
      <c r="P146" s="249"/>
      <c r="Q146" s="249"/>
      <c r="R146" s="249"/>
      <c r="S146" s="249"/>
      <c r="T146" s="249"/>
    </row>
    <row r="147" spans="1:20" s="245" customFormat="1" x14ac:dyDescent="0.35">
      <c r="A147" s="249"/>
      <c r="B147" s="249"/>
      <c r="C147" s="249"/>
      <c r="D147" s="249"/>
      <c r="E147" s="213" t="s">
        <v>311</v>
      </c>
      <c r="F147" s="305">
        <v>3</v>
      </c>
      <c r="G147" s="213" t="s">
        <v>312</v>
      </c>
      <c r="H147" s="249"/>
      <c r="I147" s="249"/>
      <c r="J147" s="249"/>
      <c r="K147" s="249"/>
      <c r="L147" s="249"/>
      <c r="M147" s="249"/>
      <c r="N147" s="249"/>
      <c r="O147" s="249"/>
      <c r="P147" s="249"/>
      <c r="Q147" s="249"/>
      <c r="R147" s="249"/>
      <c r="S147" s="249"/>
      <c r="T147" s="249"/>
    </row>
    <row r="148" spans="1:20" s="245" customFormat="1" x14ac:dyDescent="0.35">
      <c r="A148" s="249"/>
      <c r="B148" s="249"/>
      <c r="C148" s="249"/>
      <c r="D148" s="249"/>
      <c r="E148" s="249"/>
      <c r="F148" s="249"/>
      <c r="G148" s="249"/>
      <c r="H148" s="249"/>
      <c r="I148" s="249"/>
      <c r="J148" s="249"/>
      <c r="K148" s="249"/>
      <c r="L148" s="249"/>
      <c r="M148" s="249"/>
      <c r="N148" s="249"/>
      <c r="O148" s="249"/>
      <c r="P148" s="249"/>
      <c r="Q148" s="249"/>
      <c r="R148" s="249"/>
      <c r="S148" s="249"/>
      <c r="T148" s="249"/>
    </row>
    <row r="149" spans="1:20" s="209" customFormat="1" ht="13.15" x14ac:dyDescent="0.35">
      <c r="A149" s="210" t="s">
        <v>127</v>
      </c>
      <c r="B149" s="211"/>
      <c r="C149" s="228"/>
      <c r="D149" s="212"/>
      <c r="E149" s="212"/>
      <c r="F149" s="212"/>
      <c r="G149" s="212"/>
      <c r="H149" s="212"/>
      <c r="I149" s="212"/>
      <c r="J149" s="212"/>
      <c r="K149" s="212"/>
      <c r="L149" s="212"/>
      <c r="M149" s="212"/>
      <c r="N149" s="212"/>
      <c r="O149" s="212"/>
      <c r="P149" s="212"/>
      <c r="Q149" s="212"/>
      <c r="R149" s="212"/>
      <c r="S149" s="212"/>
      <c r="T149" s="212"/>
    </row>
    <row r="150" spans="1:20" x14ac:dyDescent="0.35"/>
    <row r="151" spans="1:20" x14ac:dyDescent="0.35"/>
    <row r="152" spans="1:20" x14ac:dyDescent="0.35"/>
    <row r="153" spans="1:20" x14ac:dyDescent="0.35"/>
    <row r="154" spans="1:20" x14ac:dyDescent="0.35"/>
    <row r="155" spans="1:20" x14ac:dyDescent="0.35"/>
    <row r="156" spans="1:20" x14ac:dyDescent="0.35"/>
    <row r="157" spans="1:20" x14ac:dyDescent="0.35"/>
    <row r="158" spans="1:20" x14ac:dyDescent="0.35"/>
    <row r="159" spans="1:20" x14ac:dyDescent="0.35"/>
    <row r="160" spans="1:20" x14ac:dyDescent="0.3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rintOptions headings="1"/>
  <pageMargins left="0.7" right="0.7" top="0.75" bottom="0.75" header="0.3" footer="0.3"/>
  <pageSetup paperSize="9" scale="24"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Validation!$B$5:$B$21</xm:f>
          </x14:formula1>
          <xm:sqref>F9</xm:sqref>
        </x14:dataValidation>
        <x14:dataValidation type="list" allowBlank="1" showInputMessage="1" showErrorMessage="1" xr:uid="{00000000-0002-0000-0400-000001000000}">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80" customWidth="1"/>
    <col min="2" max="2" width="1.625" style="81" customWidth="1"/>
    <col min="3" max="3" width="1.625" style="25" customWidth="1"/>
    <col min="4" max="4" width="1.625" style="82" customWidth="1"/>
    <col min="5" max="5" width="45.625" style="10" customWidth="1"/>
    <col min="6" max="8" width="15.625" style="33" customWidth="1"/>
    <col min="9" max="9" width="2.625" style="33" customWidth="1"/>
    <col min="10" max="20" width="9.625" style="33" customWidth="1"/>
    <col min="21" max="79" width="0" style="33" hidden="1" customWidth="1"/>
    <col min="80" max="16384" width="9.625" style="33" hidden="1"/>
  </cols>
  <sheetData>
    <row r="1" spans="1:79" s="128" customFormat="1" ht="29.25" x14ac:dyDescent="0.95">
      <c r="A1" s="158"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3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3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3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35">
      <c r="A5" s="28"/>
      <c r="B5" s="29"/>
      <c r="C5" s="30"/>
      <c r="D5" s="31"/>
      <c r="E5" s="15" t="str">
        <f>Time!E$10</f>
        <v>Model column counter</v>
      </c>
      <c r="F5" s="22" t="s">
        <v>86</v>
      </c>
      <c r="G5" s="22"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3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35">
      <c r="A7" s="83" t="s">
        <v>89</v>
      </c>
      <c r="B7" s="84"/>
      <c r="C7" s="84"/>
      <c r="D7" s="85"/>
      <c r="E7" s="86"/>
      <c r="F7" s="86"/>
      <c r="G7" s="86"/>
      <c r="H7" s="86"/>
      <c r="I7" s="86"/>
      <c r="J7" s="86"/>
      <c r="K7" s="86"/>
      <c r="L7" s="86"/>
      <c r="M7" s="86"/>
      <c r="N7" s="86"/>
      <c r="O7" s="86"/>
      <c r="P7" s="86"/>
      <c r="Q7" s="86"/>
      <c r="R7" s="86"/>
      <c r="S7" s="86"/>
      <c r="T7" s="86"/>
    </row>
    <row r="8" spans="1:79" x14ac:dyDescent="0.35">
      <c r="A8" s="23"/>
      <c r="B8" s="24"/>
      <c r="D8" s="26"/>
    </row>
    <row r="9" spans="1:79" s="35" customFormat="1" x14ac:dyDescent="0.35">
      <c r="A9" s="18"/>
      <c r="B9" s="19" t="s">
        <v>90</v>
      </c>
      <c r="C9" s="20"/>
      <c r="D9" s="21"/>
      <c r="E9" s="34"/>
      <c r="G9" s="36"/>
    </row>
    <row r="10" spans="1:79" s="41" customFormat="1" x14ac:dyDescent="0.35">
      <c r="A10" s="37"/>
      <c r="B10" s="38"/>
      <c r="C10" s="39"/>
      <c r="D10" s="40"/>
      <c r="E10" s="10" t="s">
        <v>91</v>
      </c>
      <c r="G10" s="41" t="s">
        <v>92</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35">
      <c r="A11" s="23"/>
      <c r="B11" s="24"/>
      <c r="D11" s="26"/>
      <c r="E11" s="10" t="s">
        <v>93</v>
      </c>
      <c r="F11" s="33">
        <f xml:space="preserve"> MAX(J10:CA10)</f>
        <v>11</v>
      </c>
      <c r="G11" s="33" t="s">
        <v>94</v>
      </c>
    </row>
    <row r="12" spans="1:79" x14ac:dyDescent="0.35">
      <c r="A12" s="23"/>
      <c r="B12" s="24"/>
      <c r="D12" s="26"/>
    </row>
    <row r="13" spans="1:79" s="46" customFormat="1" x14ac:dyDescent="0.3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35">
      <c r="A14" s="23"/>
      <c r="B14" s="24"/>
      <c r="D14" s="26"/>
      <c r="E14" s="10" t="s">
        <v>95</v>
      </c>
      <c r="G14" s="33" t="s">
        <v>96</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35">
      <c r="A15" s="23"/>
      <c r="B15" s="24"/>
      <c r="D15" s="26"/>
    </row>
    <row r="16" spans="1:79" s="52" customFormat="1" x14ac:dyDescent="0.3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35">
      <c r="A17" s="47"/>
      <c r="B17" s="48"/>
      <c r="C17" s="49"/>
      <c r="D17" s="50"/>
      <c r="E17" s="10" t="s">
        <v>97</v>
      </c>
      <c r="F17" s="53">
        <f xml:space="preserve"> DATE(YEAR(F16), MONTH(F16), 1)</f>
        <v>42095</v>
      </c>
      <c r="G17" s="53" t="s">
        <v>98</v>
      </c>
    </row>
    <row r="18" spans="1:79" s="52" customFormat="1" x14ac:dyDescent="0.35">
      <c r="A18" s="47"/>
      <c r="B18" s="48"/>
      <c r="C18" s="49"/>
      <c r="D18" s="50"/>
      <c r="E18" s="51"/>
    </row>
    <row r="19" spans="1:79" s="53" customFormat="1" x14ac:dyDescent="0.35">
      <c r="A19" s="47"/>
      <c r="B19" s="48"/>
      <c r="C19" s="49"/>
      <c r="D19" s="50"/>
      <c r="E19" s="10" t="str">
        <f xml:space="preserve"> E$17</f>
        <v>First model period BEG</v>
      </c>
      <c r="F19" s="53">
        <f xml:space="preserve"> F$17</f>
        <v>42095</v>
      </c>
      <c r="G19" s="53" t="str">
        <f xml:space="preserve"> G$17</f>
        <v>month</v>
      </c>
    </row>
    <row r="20" spans="1:79" x14ac:dyDescent="0.3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35">
      <c r="A21" s="54"/>
      <c r="B21" s="55"/>
      <c r="C21" s="56"/>
      <c r="D21" s="57"/>
      <c r="E21" s="10" t="s">
        <v>99</v>
      </c>
      <c r="G21" s="58" t="s">
        <v>100</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35">
      <c r="A22" s="54"/>
      <c r="B22" s="55"/>
      <c r="C22" s="56"/>
      <c r="D22" s="57"/>
      <c r="E22" s="59" t="s">
        <v>101</v>
      </c>
      <c r="F22" s="60"/>
      <c r="G22" s="61" t="s">
        <v>100</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35">
      <c r="A23" s="54"/>
      <c r="B23" s="55"/>
      <c r="C23" s="56"/>
      <c r="D23" s="57"/>
      <c r="E23" s="10"/>
    </row>
    <row r="24" spans="1:79" s="58" customFormat="1" x14ac:dyDescent="0.3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35">
      <c r="A25" s="54"/>
      <c r="B25" s="55"/>
      <c r="C25" s="56"/>
      <c r="D25" s="57" t="s">
        <v>102</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35">
      <c r="A26" s="62"/>
      <c r="B26" s="63"/>
      <c r="C26" s="64"/>
      <c r="D26" s="65"/>
      <c r="E26" s="10" t="s">
        <v>103</v>
      </c>
      <c r="G26" s="66" t="s">
        <v>104</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35">
      <c r="A27" s="18"/>
      <c r="B27" s="19"/>
      <c r="C27" s="20"/>
      <c r="D27" s="21"/>
      <c r="E27" s="34"/>
      <c r="G27" s="36"/>
    </row>
    <row r="28" spans="1:79" s="35" customFormat="1" x14ac:dyDescent="0.35">
      <c r="A28" s="18"/>
      <c r="B28" s="19"/>
      <c r="C28" s="20"/>
      <c r="D28" s="21"/>
      <c r="E28" s="34"/>
      <c r="G28" s="36"/>
    </row>
    <row r="29" spans="1:79" s="58" customFormat="1" x14ac:dyDescent="0.35">
      <c r="A29" s="83" t="s">
        <v>105</v>
      </c>
      <c r="B29" s="84"/>
      <c r="C29" s="84"/>
      <c r="D29" s="85"/>
      <c r="E29" s="86"/>
      <c r="F29" s="86"/>
      <c r="G29" s="86"/>
      <c r="H29" s="86"/>
      <c r="I29" s="86"/>
      <c r="J29" s="86"/>
      <c r="K29" s="86"/>
      <c r="L29" s="86"/>
      <c r="M29" s="86"/>
      <c r="N29" s="86"/>
      <c r="O29" s="86"/>
      <c r="P29" s="86"/>
      <c r="Q29" s="86"/>
      <c r="R29" s="86"/>
      <c r="S29" s="86"/>
      <c r="T29" s="86"/>
    </row>
    <row r="30" spans="1:79" s="58" customFormat="1" x14ac:dyDescent="0.35">
      <c r="A30" s="54"/>
      <c r="B30" s="55"/>
      <c r="C30" s="56"/>
      <c r="D30" s="57"/>
      <c r="E30" s="10"/>
    </row>
    <row r="31" spans="1:79" s="52" customFormat="1" x14ac:dyDescent="0.3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3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35">
      <c r="A33" s="23"/>
      <c r="B33" s="24"/>
      <c r="D33" s="26"/>
      <c r="E33" s="10" t="s">
        <v>106</v>
      </c>
      <c r="G33" s="33" t="s">
        <v>96</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35">
      <c r="A34" s="23"/>
      <c r="B34" s="24"/>
      <c r="D34" s="26"/>
      <c r="E34" s="10" t="s">
        <v>107</v>
      </c>
      <c r="G34" s="33" t="s">
        <v>96</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35">
      <c r="A35" s="23"/>
      <c r="B35" s="24"/>
      <c r="D35" s="26"/>
      <c r="E35" s="10" t="s">
        <v>108</v>
      </c>
      <c r="F35" s="67">
        <f xml:space="preserve"> SUM(J34:CA34)</f>
        <v>5</v>
      </c>
      <c r="G35" s="33" t="s">
        <v>109</v>
      </c>
    </row>
    <row r="36" spans="1:79" x14ac:dyDescent="0.35">
      <c r="A36" s="23"/>
      <c r="B36" s="24"/>
      <c r="D36" s="26"/>
    </row>
    <row r="37" spans="1:79" s="52" customFormat="1" x14ac:dyDescent="0.3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3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35">
      <c r="A39" s="23"/>
      <c r="B39" s="24"/>
      <c r="C39" s="25"/>
      <c r="D39" s="26"/>
      <c r="E39" s="70" t="s">
        <v>110</v>
      </c>
      <c r="G39" s="71" t="s">
        <v>96</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35">
      <c r="A40" s="54"/>
      <c r="B40" s="55"/>
      <c r="C40" s="56"/>
      <c r="D40" s="57"/>
      <c r="E40" s="10"/>
    </row>
    <row r="41" spans="1:79" s="58" customFormat="1" x14ac:dyDescent="0.35">
      <c r="A41" s="54"/>
      <c r="B41" s="55"/>
      <c r="C41" s="56"/>
      <c r="D41" s="57"/>
      <c r="E41" s="10"/>
    </row>
    <row r="42" spans="1:79" s="58" customFormat="1" x14ac:dyDescent="0.35">
      <c r="A42" s="83" t="s">
        <v>111</v>
      </c>
      <c r="B42" s="84"/>
      <c r="C42" s="84"/>
      <c r="D42" s="85"/>
      <c r="E42" s="86"/>
      <c r="F42" s="86"/>
      <c r="G42" s="86"/>
      <c r="H42" s="86"/>
      <c r="I42" s="86"/>
      <c r="J42" s="86"/>
      <c r="K42" s="86"/>
      <c r="L42" s="86"/>
      <c r="M42" s="86"/>
      <c r="N42" s="86"/>
      <c r="O42" s="86"/>
      <c r="P42" s="86"/>
      <c r="Q42" s="86"/>
      <c r="R42" s="86"/>
      <c r="S42" s="86"/>
      <c r="T42" s="86"/>
    </row>
    <row r="43" spans="1:79" x14ac:dyDescent="0.35">
      <c r="A43" s="23"/>
      <c r="B43" s="24"/>
      <c r="D43" s="26"/>
    </row>
    <row r="44" spans="1:79" x14ac:dyDescent="0.3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35">
      <c r="A45" s="72"/>
      <c r="B45" s="73"/>
      <c r="C45" s="74"/>
      <c r="D45" s="75"/>
      <c r="E45" s="70" t="s">
        <v>112</v>
      </c>
      <c r="G45" s="71" t="s">
        <v>96</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35">
      <c r="A46" s="23"/>
      <c r="B46" s="24"/>
      <c r="D46" s="26"/>
    </row>
    <row r="47" spans="1:79" s="52" customFormat="1" x14ac:dyDescent="0.35">
      <c r="A47" s="47"/>
      <c r="B47" s="48"/>
      <c r="C47" s="49"/>
      <c r="D47" s="50"/>
      <c r="E47" s="51" t="str">
        <f>Inputs!E$142</f>
        <v>Last forecast date</v>
      </c>
      <c r="F47" s="52">
        <f>Inputs!F$142</f>
        <v>45747</v>
      </c>
      <c r="G47" s="52" t="str">
        <f>Inputs!G$142</f>
        <v>date</v>
      </c>
    </row>
    <row r="48" spans="1:79" x14ac:dyDescent="0.3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35">
      <c r="A49" s="23"/>
      <c r="B49" s="24"/>
      <c r="D49" s="26"/>
      <c r="E49" s="10" t="s">
        <v>113</v>
      </c>
      <c r="G49" s="33" t="s">
        <v>96</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35">
      <c r="A50" s="23"/>
      <c r="B50" s="24"/>
      <c r="D50" s="26"/>
    </row>
    <row r="51" spans="1:20" x14ac:dyDescent="0.3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3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35">
      <c r="A53" s="23"/>
      <c r="B53" s="24"/>
      <c r="C53" s="25"/>
      <c r="D53" s="26"/>
      <c r="E53" s="59" t="s">
        <v>114</v>
      </c>
      <c r="G53" s="60" t="s">
        <v>96</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35">
      <c r="A54" s="23"/>
      <c r="B54" s="24"/>
      <c r="D54" s="26"/>
      <c r="E54" s="10" t="s">
        <v>115</v>
      </c>
      <c r="F54" s="33">
        <f xml:space="preserve"> SUM(J53:CA53)</f>
        <v>5</v>
      </c>
      <c r="G54" s="33" t="s">
        <v>109</v>
      </c>
    </row>
    <row r="55" spans="1:20" x14ac:dyDescent="0.35">
      <c r="A55" s="23"/>
      <c r="B55" s="24"/>
      <c r="D55" s="26"/>
    </row>
    <row r="56" spans="1:20" x14ac:dyDescent="0.3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3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35">
      <c r="A58" s="23"/>
      <c r="B58" s="24"/>
      <c r="D58" s="26"/>
      <c r="E58" s="10" t="s">
        <v>116</v>
      </c>
      <c r="G58" s="33" t="s">
        <v>96</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35">
      <c r="A59" s="23"/>
      <c r="B59" s="24"/>
      <c r="D59" s="26"/>
    </row>
    <row r="60" spans="1:20" x14ac:dyDescent="0.35">
      <c r="A60" s="23"/>
      <c r="B60" s="24"/>
      <c r="D60" s="26"/>
    </row>
    <row r="61" spans="1:20" s="58" customFormat="1" x14ac:dyDescent="0.35">
      <c r="A61" s="83" t="s">
        <v>117</v>
      </c>
      <c r="B61" s="84"/>
      <c r="C61" s="84"/>
      <c r="D61" s="85"/>
      <c r="E61" s="86"/>
      <c r="F61" s="86"/>
      <c r="G61" s="86"/>
      <c r="H61" s="86"/>
      <c r="I61" s="86"/>
      <c r="J61" s="86"/>
      <c r="K61" s="86"/>
      <c r="L61" s="86"/>
      <c r="M61" s="86"/>
      <c r="N61" s="86"/>
      <c r="O61" s="86"/>
      <c r="P61" s="86"/>
      <c r="Q61" s="86"/>
      <c r="R61" s="86"/>
      <c r="S61" s="86"/>
      <c r="T61" s="86"/>
    </row>
    <row r="62" spans="1:20" x14ac:dyDescent="0.35">
      <c r="A62" s="23"/>
      <c r="B62" s="24"/>
      <c r="D62" s="26"/>
    </row>
    <row r="63" spans="1:20" x14ac:dyDescent="0.3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35">
      <c r="A64" s="23"/>
      <c r="B64" s="24"/>
      <c r="D64" s="26"/>
      <c r="E64" s="10" t="s">
        <v>118</v>
      </c>
      <c r="G64" s="33" t="s">
        <v>96</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35">
      <c r="A65" s="23"/>
      <c r="B65" s="24"/>
      <c r="D65" s="26"/>
    </row>
    <row r="66" spans="1:20" x14ac:dyDescent="0.3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35">
      <c r="A67" s="23"/>
      <c r="B67" s="24"/>
      <c r="D67" s="26"/>
      <c r="E67" s="10" t="s">
        <v>119</v>
      </c>
      <c r="G67" s="33" t="s">
        <v>96</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35">
      <c r="A68" s="23"/>
      <c r="B68" s="24"/>
      <c r="D68" s="26"/>
      <c r="E68" s="10" t="s">
        <v>120</v>
      </c>
      <c r="F68" s="33">
        <f xml:space="preserve"> SUM(J67:CA67)</f>
        <v>1</v>
      </c>
      <c r="G68" s="33" t="s">
        <v>109</v>
      </c>
    </row>
    <row r="69" spans="1:20" x14ac:dyDescent="0.35">
      <c r="A69" s="23"/>
      <c r="B69" s="24"/>
      <c r="D69" s="26"/>
    </row>
    <row r="70" spans="1:20" x14ac:dyDescent="0.35">
      <c r="A70" s="23"/>
      <c r="B70" s="24"/>
      <c r="D70" s="26"/>
    </row>
    <row r="71" spans="1:20" s="58" customFormat="1" x14ac:dyDescent="0.35">
      <c r="A71" s="83" t="s">
        <v>121</v>
      </c>
      <c r="B71" s="84"/>
      <c r="C71" s="84"/>
      <c r="D71" s="85"/>
      <c r="E71" s="86"/>
      <c r="F71" s="86"/>
      <c r="G71" s="86"/>
      <c r="H71" s="86"/>
      <c r="I71" s="86"/>
      <c r="J71" s="86"/>
      <c r="K71" s="86"/>
      <c r="L71" s="86"/>
      <c r="M71" s="86"/>
      <c r="N71" s="86"/>
      <c r="O71" s="86"/>
      <c r="P71" s="86"/>
      <c r="Q71" s="86"/>
      <c r="R71" s="86"/>
      <c r="S71" s="86"/>
      <c r="T71" s="86"/>
    </row>
    <row r="72" spans="1:20" x14ac:dyDescent="0.35">
      <c r="A72" s="23"/>
      <c r="B72" s="24"/>
      <c r="D72" s="26"/>
    </row>
    <row r="73" spans="1:20" x14ac:dyDescent="0.35">
      <c r="A73" s="23"/>
      <c r="B73" s="24"/>
      <c r="D73" s="26"/>
      <c r="E73" s="10" t="str">
        <f xml:space="preserve"> E$11</f>
        <v>Model Column Total</v>
      </c>
      <c r="F73" s="33">
        <f xml:space="preserve"> F$11</f>
        <v>11</v>
      </c>
      <c r="G73" s="33" t="str">
        <f xml:space="preserve"> G$11</f>
        <v>column</v>
      </c>
    </row>
    <row r="74" spans="1:20" x14ac:dyDescent="0.35">
      <c r="A74" s="23"/>
      <c r="B74" s="24"/>
      <c r="D74" s="26" t="s">
        <v>102</v>
      </c>
      <c r="E74" s="10" t="str">
        <f xml:space="preserve"> E$35</f>
        <v>Pre Forecast Period Total</v>
      </c>
      <c r="F74" s="33">
        <f xml:space="preserve"> F$35</f>
        <v>5</v>
      </c>
      <c r="G74" s="33" t="str">
        <f xml:space="preserve"> G$35</f>
        <v>columns</v>
      </c>
    </row>
    <row r="75" spans="1:20" x14ac:dyDescent="0.35">
      <c r="A75" s="23"/>
      <c r="B75" s="24"/>
      <c r="D75" s="26" t="s">
        <v>102</v>
      </c>
      <c r="E75" s="10" t="str">
        <f xml:space="preserve"> E$54</f>
        <v xml:space="preserve">Forecast Period Total </v>
      </c>
      <c r="F75" s="33">
        <f xml:space="preserve"> F$54</f>
        <v>5</v>
      </c>
      <c r="G75" s="33" t="str">
        <f xml:space="preserve"> G$54</f>
        <v>columns</v>
      </c>
    </row>
    <row r="76" spans="1:20" x14ac:dyDescent="0.35">
      <c r="A76" s="23"/>
      <c r="B76" s="24"/>
      <c r="D76" s="26" t="s">
        <v>102</v>
      </c>
      <c r="E76" s="10" t="str">
        <f xml:space="preserve"> E$68</f>
        <v>Post Forecast Period Total</v>
      </c>
      <c r="F76" s="33">
        <f xml:space="preserve"> F$68</f>
        <v>1</v>
      </c>
      <c r="G76" s="33" t="str">
        <f xml:space="preserve"> G$68</f>
        <v>columns</v>
      </c>
    </row>
    <row r="77" spans="1:20" x14ac:dyDescent="0.35">
      <c r="A77" s="23"/>
      <c r="B77" s="24"/>
      <c r="D77" s="26"/>
      <c r="E77" s="10" t="s">
        <v>122</v>
      </c>
      <c r="F77" s="76">
        <f xml:space="preserve"> IF(F73 - SUM(F74:F76) &lt;&gt; 0, 1, 0)</f>
        <v>0</v>
      </c>
      <c r="G77" s="33" t="s">
        <v>123</v>
      </c>
    </row>
    <row r="78" spans="1:20" x14ac:dyDescent="0.35">
      <c r="A78" s="23"/>
      <c r="B78" s="24"/>
      <c r="D78" s="26"/>
    </row>
    <row r="79" spans="1:20" x14ac:dyDescent="0.35">
      <c r="A79" s="77"/>
      <c r="B79" s="77" t="s">
        <v>124</v>
      </c>
      <c r="D79" s="26"/>
    </row>
    <row r="80" spans="1:20" x14ac:dyDescent="0.35">
      <c r="A80" s="23"/>
      <c r="B80" s="24"/>
      <c r="D80" s="26"/>
    </row>
    <row r="81" spans="1:20" x14ac:dyDescent="0.35">
      <c r="A81" s="23"/>
      <c r="B81" s="24"/>
      <c r="D81" s="26"/>
      <c r="E81" s="51" t="str">
        <f>Inputs!E146</f>
        <v>First Modelling Column Financial Year Number</v>
      </c>
      <c r="F81" s="78">
        <f>Inputs!F146</f>
        <v>2016</v>
      </c>
      <c r="G81" s="79" t="str">
        <f>Inputs!G146</f>
        <v>year</v>
      </c>
    </row>
    <row r="82" spans="1:20" x14ac:dyDescent="0.35">
      <c r="A82" s="23"/>
      <c r="B82" s="24"/>
      <c r="D82" s="26"/>
      <c r="E82" s="51" t="str">
        <f>Inputs!E147</f>
        <v>Financial Year End Month Number</v>
      </c>
      <c r="F82" s="79">
        <f>Inputs!F147</f>
        <v>3</v>
      </c>
      <c r="G82" s="79" t="str">
        <f>Inputs!G147</f>
        <v>month #</v>
      </c>
    </row>
    <row r="83" spans="1:20" s="58" customFormat="1" x14ac:dyDescent="0.3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3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35">
      <c r="A85" s="23"/>
      <c r="B85" s="24"/>
      <c r="C85" s="25"/>
      <c r="D85" s="26"/>
      <c r="E85" s="59" t="s">
        <v>125</v>
      </c>
      <c r="G85" s="60" t="s">
        <v>126</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35"/>
    <row r="87" spans="1:20" s="209" customFormat="1" x14ac:dyDescent="0.35">
      <c r="A87" s="210" t="s">
        <v>127</v>
      </c>
      <c r="B87" s="211"/>
      <c r="C87" s="228"/>
      <c r="D87" s="212"/>
      <c r="E87" s="212"/>
      <c r="F87" s="212"/>
      <c r="G87" s="212"/>
      <c r="H87" s="212"/>
      <c r="I87" s="212"/>
      <c r="J87" s="212"/>
      <c r="K87" s="212"/>
      <c r="L87" s="212"/>
      <c r="M87" s="212"/>
      <c r="N87" s="212"/>
      <c r="O87" s="212"/>
      <c r="P87" s="212"/>
      <c r="Q87" s="212"/>
      <c r="R87" s="212"/>
      <c r="S87" s="212"/>
      <c r="T87" s="212"/>
    </row>
    <row r="88" spans="1:20" x14ac:dyDescent="0.3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rintOptions headings="1"/>
  <pageMargins left="0.7" right="0.7" top="0.75" bottom="0.75" header="0.3" footer="0.3"/>
  <pageSetup paperSize="9" scale="42"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Index</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5" customFormat="1" ht="13.15" x14ac:dyDescent="0.35">
      <c r="B6" s="236"/>
      <c r="C6" s="237"/>
      <c r="D6" s="238"/>
      <c r="E6" s="221"/>
      <c r="I6" s="221"/>
      <c r="J6" s="221"/>
      <c r="K6" s="221"/>
      <c r="L6" s="221"/>
      <c r="M6" s="221"/>
      <c r="N6" s="221"/>
      <c r="O6" s="221"/>
      <c r="P6" s="221"/>
      <c r="Q6" s="221"/>
      <c r="R6" s="221"/>
      <c r="S6" s="221"/>
      <c r="T6" s="221"/>
    </row>
    <row r="7" spans="1:20" s="213" customFormat="1" ht="13.15" x14ac:dyDescent="0.35">
      <c r="A7" s="210" t="s">
        <v>128</v>
      </c>
      <c r="B7" s="211"/>
      <c r="C7" s="211"/>
      <c r="D7" s="211"/>
      <c r="E7" s="212"/>
      <c r="F7" s="212"/>
      <c r="G7" s="212"/>
      <c r="H7" s="212"/>
      <c r="I7" s="212"/>
      <c r="J7" s="212"/>
      <c r="K7" s="212"/>
      <c r="L7" s="212"/>
      <c r="M7" s="212"/>
      <c r="N7" s="212"/>
      <c r="O7" s="212"/>
      <c r="P7" s="212"/>
      <c r="Q7" s="212"/>
      <c r="R7" s="212"/>
      <c r="S7" s="212"/>
      <c r="T7" s="212"/>
    </row>
    <row r="8" spans="1:20" s="213" customFormat="1" ht="13.5" x14ac:dyDescent="0.35">
      <c r="A8" s="214"/>
      <c r="B8" s="215"/>
      <c r="C8" s="254"/>
      <c r="D8" s="255"/>
      <c r="H8" s="239"/>
    </row>
    <row r="9" spans="1:20" s="219" customFormat="1" ht="13.15" x14ac:dyDescent="0.35">
      <c r="A9" s="217"/>
      <c r="B9" s="215"/>
      <c r="C9" s="254"/>
      <c r="D9" s="255"/>
      <c r="E9" s="219" t="str">
        <f>Inputs!E74</f>
        <v>November CPIH Index</v>
      </c>
      <c r="G9" s="219" t="str">
        <f>Inputs!G74</f>
        <v>Index</v>
      </c>
      <c r="J9" s="219">
        <f>Inputs!J74</f>
        <v>100.3</v>
      </c>
      <c r="K9" s="219">
        <f>Inputs!K74</f>
        <v>101.8</v>
      </c>
      <c r="L9" s="219">
        <f>Inputs!L74</f>
        <v>104.7</v>
      </c>
      <c r="M9" s="219">
        <f>Inputs!M74</f>
        <v>106.9</v>
      </c>
      <c r="N9" s="219">
        <f>Inputs!N74</f>
        <v>108.5</v>
      </c>
      <c r="O9" s="219">
        <f>Inputs!O74</f>
        <v>0</v>
      </c>
      <c r="P9" s="219">
        <f>Inputs!P74</f>
        <v>0</v>
      </c>
      <c r="Q9" s="219">
        <f>Inputs!Q74</f>
        <v>0</v>
      </c>
      <c r="R9" s="219">
        <f>Inputs!R74</f>
        <v>0</v>
      </c>
      <c r="S9" s="219">
        <f>Inputs!S74</f>
        <v>0</v>
      </c>
      <c r="T9" s="219">
        <f>Inputs!T74</f>
        <v>0</v>
      </c>
    </row>
    <row r="10" spans="1:20" s="242" customFormat="1" ht="13.15" x14ac:dyDescent="0.35">
      <c r="A10" s="240"/>
      <c r="B10" s="241"/>
      <c r="C10" s="254"/>
      <c r="D10" s="255"/>
      <c r="E10" s="243" t="s">
        <v>129</v>
      </c>
      <c r="F10" s="243"/>
      <c r="G10" s="243" t="s">
        <v>130</v>
      </c>
      <c r="H10" s="243"/>
      <c r="I10" s="243"/>
      <c r="J10" s="244"/>
      <c r="K10" s="244"/>
      <c r="L10" s="243">
        <f t="shared" ref="L10:T10" si="0">IF(K9&lt;&gt;0,K9/J9-1,0)</f>
        <v>1.4955134596211339E-2</v>
      </c>
      <c r="M10" s="243">
        <f t="shared" si="0"/>
        <v>2.8487229862475427E-2</v>
      </c>
      <c r="N10" s="243">
        <f t="shared" si="0"/>
        <v>2.1012416427889313E-2</v>
      </c>
      <c r="O10" s="243">
        <f t="shared" si="0"/>
        <v>1.4967259120673537E-2</v>
      </c>
      <c r="P10" s="243">
        <f t="shared" si="0"/>
        <v>0</v>
      </c>
      <c r="Q10" s="243">
        <f t="shared" si="0"/>
        <v>0</v>
      </c>
      <c r="R10" s="243">
        <f t="shared" si="0"/>
        <v>0</v>
      </c>
      <c r="S10" s="243">
        <f t="shared" si="0"/>
        <v>0</v>
      </c>
      <c r="T10" s="243">
        <f t="shared" si="0"/>
        <v>0</v>
      </c>
    </row>
    <row r="11" spans="1:20" s="213" customFormat="1" ht="13.15" x14ac:dyDescent="0.35">
      <c r="A11" s="214"/>
      <c r="B11" s="215"/>
      <c r="C11" s="254"/>
      <c r="D11" s="255"/>
    </row>
    <row r="12" spans="1:20" s="219" customFormat="1" ht="13.15" x14ac:dyDescent="0.35">
      <c r="A12" s="217"/>
      <c r="B12" s="215"/>
      <c r="C12" s="254"/>
      <c r="D12" s="255"/>
      <c r="E12" s="219" t="str">
        <f>Inputs!E74</f>
        <v>November CPIH Index</v>
      </c>
      <c r="G12" s="219" t="str">
        <f>Inputs!G74</f>
        <v>Index</v>
      </c>
      <c r="J12" s="219">
        <f>Inputs!J74</f>
        <v>100.3</v>
      </c>
      <c r="K12" s="219">
        <f>Inputs!K74</f>
        <v>101.8</v>
      </c>
      <c r="L12" s="219">
        <f>Inputs!L74</f>
        <v>104.7</v>
      </c>
      <c r="M12" s="219">
        <f>Inputs!M74</f>
        <v>106.9</v>
      </c>
      <c r="N12" s="219">
        <f>Inputs!N74</f>
        <v>108.5</v>
      </c>
      <c r="O12" s="219">
        <f>Inputs!O74</f>
        <v>0</v>
      </c>
      <c r="P12" s="219">
        <f>Inputs!P74</f>
        <v>0</v>
      </c>
      <c r="Q12" s="219">
        <f>Inputs!Q74</f>
        <v>0</v>
      </c>
      <c r="R12" s="219">
        <f>Inputs!R74</f>
        <v>0</v>
      </c>
      <c r="S12" s="219">
        <f>Inputs!S74</f>
        <v>0</v>
      </c>
      <c r="T12" s="219">
        <f>Inputs!T74</f>
        <v>0</v>
      </c>
    </row>
    <row r="13" spans="1:20" s="242" customFormat="1" ht="13.15" x14ac:dyDescent="0.35">
      <c r="A13" s="240"/>
      <c r="B13" s="241"/>
      <c r="C13" s="254"/>
      <c r="D13" s="255"/>
      <c r="E13" s="243" t="s">
        <v>131</v>
      </c>
      <c r="F13" s="243"/>
      <c r="G13" s="243" t="s">
        <v>130</v>
      </c>
      <c r="H13" s="243"/>
      <c r="I13" s="243"/>
      <c r="J13" s="244"/>
      <c r="K13" s="244"/>
      <c r="L13" s="243">
        <f t="shared" ref="L13:T13" si="1">IF(K12&lt;&gt;0,K12/$K12,K13)</f>
        <v>1</v>
      </c>
      <c r="M13" s="243">
        <f t="shared" si="1"/>
        <v>1.0284872298624754</v>
      </c>
      <c r="N13" s="243">
        <f t="shared" si="1"/>
        <v>1.0500982318271121</v>
      </c>
      <c r="O13" s="243">
        <f t="shared" si="1"/>
        <v>1.0658153241650294</v>
      </c>
      <c r="P13" s="243">
        <f t="shared" si="1"/>
        <v>1.0658153241650294</v>
      </c>
      <c r="Q13" s="243">
        <f t="shared" si="1"/>
        <v>1.0658153241650294</v>
      </c>
      <c r="R13" s="243">
        <f t="shared" si="1"/>
        <v>1.0658153241650294</v>
      </c>
      <c r="S13" s="243">
        <f t="shared" si="1"/>
        <v>1.0658153241650294</v>
      </c>
      <c r="T13" s="243">
        <f t="shared" si="1"/>
        <v>1.0658153241650294</v>
      </c>
    </row>
    <row r="14" spans="1:20" s="242" customFormat="1" ht="13.15" x14ac:dyDescent="0.35">
      <c r="A14" s="240"/>
      <c r="B14" s="241"/>
      <c r="C14" s="254"/>
      <c r="D14" s="255"/>
      <c r="E14" s="243"/>
      <c r="F14" s="243"/>
      <c r="G14" s="243"/>
      <c r="H14" s="243"/>
      <c r="I14" s="243"/>
      <c r="J14" s="213"/>
      <c r="K14" s="213"/>
      <c r="L14" s="243"/>
      <c r="M14" s="243"/>
      <c r="N14" s="243"/>
      <c r="O14" s="243"/>
      <c r="P14" s="243"/>
      <c r="Q14" s="243"/>
      <c r="R14" s="243"/>
      <c r="S14" s="243"/>
      <c r="T14" s="243"/>
    </row>
    <row r="15" spans="1:20" s="242" customFormat="1" ht="13.15" x14ac:dyDescent="0.35">
      <c r="A15" s="240"/>
      <c r="B15" s="241"/>
      <c r="C15" s="254" t="s">
        <v>132</v>
      </c>
      <c r="D15" s="255"/>
      <c r="E15" s="243"/>
      <c r="F15" s="243"/>
      <c r="G15" s="243"/>
      <c r="H15" s="243"/>
      <c r="I15" s="243"/>
      <c r="J15" s="213"/>
      <c r="K15" s="213"/>
      <c r="L15" s="243"/>
      <c r="M15" s="243"/>
      <c r="N15" s="243"/>
      <c r="O15" s="243"/>
      <c r="P15" s="243"/>
      <c r="Q15" s="243"/>
      <c r="R15" s="243"/>
      <c r="S15" s="243"/>
      <c r="T15" s="243"/>
    </row>
    <row r="16" spans="1:20" s="219" customFormat="1" ht="13.15" x14ac:dyDescent="0.35">
      <c r="B16" s="312"/>
      <c r="C16" s="312"/>
      <c r="E16" s="208" t="str">
        <f>Inputs!E83</f>
        <v>CPIH 2017-18 - November</v>
      </c>
      <c r="F16" s="313">
        <f>Inputs!F83</f>
        <v>104.7</v>
      </c>
      <c r="G16" s="208" t="str">
        <f>Inputs!G83</f>
        <v>Index</v>
      </c>
      <c r="H16" s="208"/>
      <c r="I16" s="208"/>
      <c r="L16" s="208"/>
      <c r="M16" s="208"/>
      <c r="N16" s="208"/>
      <c r="O16" s="208"/>
      <c r="P16" s="208"/>
      <c r="Q16" s="208"/>
      <c r="R16" s="208"/>
      <c r="S16" s="208"/>
      <c r="T16" s="208"/>
    </row>
    <row r="17" spans="1:20" s="219" customFormat="1" ht="13.15" x14ac:dyDescent="0.35">
      <c r="B17" s="312"/>
      <c r="C17" s="312"/>
      <c r="E17" s="208" t="str">
        <f>Inputs!E88</f>
        <v>CPIH 2017-18 financial year average</v>
      </c>
      <c r="F17" s="313">
        <f>Inputs!F88</f>
        <v>104.21666666666665</v>
      </c>
      <c r="G17" s="208" t="str">
        <f>Inputs!G88</f>
        <v>Index</v>
      </c>
      <c r="H17" s="208"/>
      <c r="I17" s="208"/>
      <c r="L17" s="208"/>
      <c r="M17" s="208"/>
      <c r="N17" s="208"/>
      <c r="O17" s="208"/>
      <c r="P17" s="208"/>
      <c r="Q17" s="208"/>
      <c r="R17" s="208"/>
      <c r="S17" s="208"/>
      <c r="T17" s="208"/>
    </row>
    <row r="18" spans="1:20" s="242" customFormat="1" ht="13.15" x14ac:dyDescent="0.35">
      <c r="B18" s="310"/>
      <c r="C18" s="310"/>
      <c r="E18" s="243" t="s">
        <v>133</v>
      </c>
      <c r="F18" s="314">
        <f>F17/F16</f>
        <v>0.99538363578478173</v>
      </c>
      <c r="G18" s="243" t="s">
        <v>134</v>
      </c>
      <c r="H18" s="243"/>
      <c r="I18" s="243"/>
      <c r="L18" s="243"/>
      <c r="M18" s="243"/>
      <c r="N18" s="243"/>
      <c r="O18" s="243"/>
      <c r="P18" s="243"/>
      <c r="Q18" s="243"/>
      <c r="R18" s="243"/>
      <c r="S18" s="243"/>
      <c r="T18" s="243"/>
    </row>
    <row r="19" spans="1:20" s="213" customFormat="1" ht="13.15" x14ac:dyDescent="0.35">
      <c r="B19" s="311"/>
      <c r="C19" s="311"/>
    </row>
    <row r="20" spans="1:20" s="213" customFormat="1" ht="13.15" x14ac:dyDescent="0.35">
      <c r="A20" s="210" t="s">
        <v>127</v>
      </c>
      <c r="B20" s="211"/>
      <c r="C20" s="228"/>
      <c r="D20" s="229"/>
      <c r="E20" s="212"/>
      <c r="F20" s="212"/>
      <c r="G20" s="212"/>
      <c r="H20" s="212"/>
      <c r="I20" s="212"/>
      <c r="J20" s="212"/>
      <c r="K20" s="212"/>
      <c r="L20" s="212"/>
      <c r="M20" s="212"/>
      <c r="N20" s="212"/>
      <c r="O20" s="212"/>
      <c r="P20" s="212"/>
      <c r="Q20" s="212"/>
      <c r="R20" s="212"/>
      <c r="S20" s="212"/>
      <c r="T20" s="212"/>
    </row>
    <row r="21" spans="1:20" x14ac:dyDescent="0.35"/>
    <row r="22" spans="1:20" x14ac:dyDescent="0.35"/>
    <row r="23" spans="1:20" x14ac:dyDescent="0.35"/>
    <row r="24" spans="1:20" x14ac:dyDescent="0.35"/>
    <row r="25" spans="1:20" x14ac:dyDescent="0.35"/>
    <row r="26" spans="1:20" x14ac:dyDescent="0.35"/>
    <row r="27" spans="1:20" x14ac:dyDescent="0.35"/>
    <row r="28" spans="1:20" x14ac:dyDescent="0.35"/>
    <row r="29" spans="1:20" x14ac:dyDescent="0.35"/>
    <row r="30" spans="1:20" x14ac:dyDescent="0.35"/>
    <row r="31" spans="1:20" x14ac:dyDescent="0.35"/>
    <row r="32" spans="1:20" x14ac:dyDescent="0.35"/>
    <row r="33" x14ac:dyDescent="0.35"/>
    <row r="34" x14ac:dyDescent="0.35"/>
    <row r="35" x14ac:dyDescent="0.3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M131"/>
  <sheetViews>
    <sheetView zoomScaleNormal="100" workbookViewId="0"/>
  </sheetViews>
  <sheetFormatPr defaultColWidth="9.625" defaultRowHeight="12.75" x14ac:dyDescent="0.35"/>
  <cols>
    <col min="1" max="4" width="1.625" style="139" customWidth="1"/>
    <col min="5" max="5" width="45.625" style="139" customWidth="1"/>
    <col min="6" max="7" width="15.625" style="139" customWidth="1"/>
    <col min="8" max="8" width="15.625" style="363" customWidth="1"/>
    <col min="9" max="9" width="2.625" style="6" customWidth="1"/>
    <col min="10" max="16384" width="9.625" style="6"/>
  </cols>
  <sheetData>
    <row r="1" spans="1:12" s="105" customFormat="1" ht="29.25" x14ac:dyDescent="0.35">
      <c r="A1" s="158" t="str">
        <f ca="1" xml:space="preserve"> RIGHT(CELL("filename", $A$1), LEN(CELL("filename", $A$1)) - SEARCH("]", CELL("filename", $A$1)))</f>
        <v>Abatements and deferrals</v>
      </c>
      <c r="B1" s="159"/>
      <c r="C1" s="159"/>
      <c r="D1" s="159"/>
      <c r="E1" s="160"/>
      <c r="F1" s="160"/>
      <c r="G1" s="160"/>
      <c r="H1" s="354" t="str">
        <f>Inputs!F9</f>
        <v>Wessex Water</v>
      </c>
      <c r="I1" s="92"/>
      <c r="J1" s="104"/>
      <c r="L1" s="106"/>
    </row>
    <row r="2" spans="1:12" s="93" customFormat="1" ht="13.15" x14ac:dyDescent="0.35">
      <c r="A2" s="161"/>
      <c r="B2" s="161"/>
      <c r="C2" s="161"/>
      <c r="D2" s="161"/>
      <c r="E2" s="161"/>
      <c r="F2" s="162" t="s">
        <v>86</v>
      </c>
      <c r="G2" s="162" t="s">
        <v>87</v>
      </c>
      <c r="H2" s="355" t="s">
        <v>88</v>
      </c>
    </row>
    <row r="3" spans="1:12" s="9" customFormat="1" ht="13.15" x14ac:dyDescent="0.35">
      <c r="A3" s="83" t="s">
        <v>135</v>
      </c>
      <c r="B3" s="163"/>
      <c r="C3" s="163"/>
      <c r="D3" s="164"/>
      <c r="E3" s="86"/>
      <c r="F3" s="94"/>
      <c r="G3" s="94"/>
      <c r="H3" s="356"/>
      <c r="I3" s="87"/>
    </row>
    <row r="4" spans="1:12" s="99" customFormat="1" x14ac:dyDescent="0.35">
      <c r="A4" s="96"/>
      <c r="B4" s="165"/>
      <c r="C4" s="165"/>
      <c r="D4" s="166"/>
      <c r="E4" s="97"/>
      <c r="F4" s="98"/>
      <c r="G4" s="98"/>
      <c r="H4" s="357"/>
      <c r="I4" s="100"/>
    </row>
    <row r="5" spans="1:12" s="99" customFormat="1" ht="13.15" x14ac:dyDescent="0.35">
      <c r="A5" s="96"/>
      <c r="B5" s="97"/>
      <c r="C5" s="167" t="s">
        <v>136</v>
      </c>
      <c r="D5" s="166"/>
      <c r="E5" s="97"/>
      <c r="F5" s="98"/>
      <c r="G5" s="98"/>
      <c r="H5" s="357"/>
      <c r="I5" s="100"/>
    </row>
    <row r="6" spans="1:12" s="99" customFormat="1" x14ac:dyDescent="0.35">
      <c r="A6" s="96"/>
      <c r="B6" s="165"/>
      <c r="C6" s="165"/>
      <c r="D6" s="166"/>
      <c r="E6" s="97"/>
      <c r="F6" s="98"/>
      <c r="G6" s="98"/>
      <c r="H6" s="357"/>
      <c r="I6" s="100"/>
    </row>
    <row r="7" spans="1:12" s="4" customFormat="1" x14ac:dyDescent="0.35">
      <c r="A7" s="168"/>
      <c r="B7" s="168"/>
      <c r="C7" s="168"/>
      <c r="D7" s="169" t="str">
        <f>Inputs!D20</f>
        <v>ODI payments (by price control)</v>
      </c>
      <c r="E7" s="168"/>
      <c r="F7" s="170"/>
      <c r="G7" s="170"/>
      <c r="H7" s="358"/>
    </row>
    <row r="8" spans="1:12" s="4" customFormat="1" x14ac:dyDescent="0.35">
      <c r="A8" s="168"/>
      <c r="B8" s="168"/>
      <c r="C8" s="168"/>
      <c r="D8" s="168"/>
      <c r="E8" s="103" t="str">
        <f>Inputs!E21</f>
        <v>Water resources</v>
      </c>
      <c r="F8" s="171"/>
      <c r="G8" s="171" t="str">
        <f>Inputs!G21</f>
        <v>£m (2017-18 FYA CPIH prices)</v>
      </c>
      <c r="H8" s="350">
        <f>Inputs!F21</f>
        <v>0</v>
      </c>
    </row>
    <row r="9" spans="1:12" s="4" customFormat="1" x14ac:dyDescent="0.35">
      <c r="A9" s="168"/>
      <c r="B9" s="168"/>
      <c r="C9" s="168"/>
      <c r="D9" s="168"/>
      <c r="E9" s="103" t="str">
        <f>Inputs!E22</f>
        <v>Water network plus</v>
      </c>
      <c r="F9" s="171"/>
      <c r="G9" s="171" t="str">
        <f>Inputs!G22</f>
        <v>£m (2017-18 FYA CPIH prices)</v>
      </c>
      <c r="H9" s="350">
        <f>Inputs!F22</f>
        <v>0.38169311195248201</v>
      </c>
    </row>
    <row r="10" spans="1:12" s="4" customFormat="1" x14ac:dyDescent="0.35">
      <c r="A10" s="168"/>
      <c r="B10" s="168"/>
      <c r="C10" s="168"/>
      <c r="D10" s="168"/>
      <c r="E10" s="103" t="str">
        <f>Inputs!E23</f>
        <v>Wastewater network plus</v>
      </c>
      <c r="F10" s="171"/>
      <c r="G10" s="171" t="str">
        <f>Inputs!G23</f>
        <v>£m (2017-18 FYA CPIH prices)</v>
      </c>
      <c r="H10" s="350">
        <f>Inputs!F23</f>
        <v>-0.54396432671520401</v>
      </c>
    </row>
    <row r="11" spans="1:12" s="4" customFormat="1" x14ac:dyDescent="0.35">
      <c r="A11" s="168"/>
      <c r="B11" s="168"/>
      <c r="C11" s="168"/>
      <c r="D11" s="168"/>
      <c r="E11" s="103" t="str">
        <f>Inputs!E24</f>
        <v>Bioresources (sludge)</v>
      </c>
      <c r="F11" s="171"/>
      <c r="G11" s="171" t="str">
        <f>Inputs!G24</f>
        <v>£m (2017-18 FYA CPIH prices)</v>
      </c>
      <c r="H11" s="350">
        <f>Inputs!F24</f>
        <v>0</v>
      </c>
    </row>
    <row r="12" spans="1:12" s="4" customFormat="1" x14ac:dyDescent="0.35">
      <c r="A12" s="168"/>
      <c r="B12" s="168"/>
      <c r="C12" s="168"/>
      <c r="D12" s="168"/>
      <c r="E12" s="103" t="str">
        <f>Inputs!E25</f>
        <v>Residential retail</v>
      </c>
      <c r="F12" s="171"/>
      <c r="G12" s="171" t="str">
        <f>Inputs!G25</f>
        <v>£m (2017-18 FYA CPIH prices)</v>
      </c>
      <c r="H12" s="350">
        <f>Inputs!F25</f>
        <v>0</v>
      </c>
    </row>
    <row r="13" spans="1:12" s="4" customFormat="1" x14ac:dyDescent="0.35">
      <c r="A13" s="168"/>
      <c r="B13" s="168"/>
      <c r="C13" s="168"/>
      <c r="D13" s="168"/>
      <c r="E13" s="103" t="str">
        <f>Inputs!E26</f>
        <v>Business retail</v>
      </c>
      <c r="F13" s="171"/>
      <c r="G13" s="171" t="str">
        <f>Inputs!G26</f>
        <v>£m (2017-18 FYA CPIH prices)</v>
      </c>
      <c r="H13" s="350">
        <f>Inputs!F26</f>
        <v>0</v>
      </c>
    </row>
    <row r="14" spans="1:12" s="4" customFormat="1" x14ac:dyDescent="0.35">
      <c r="A14" s="168"/>
      <c r="B14" s="168"/>
      <c r="C14" s="168"/>
      <c r="D14" s="168"/>
      <c r="E14" s="103" t="str">
        <f>Inputs!E27</f>
        <v>Dummy control</v>
      </c>
      <c r="F14" s="171"/>
      <c r="G14" s="171" t="str">
        <f>Inputs!G27</f>
        <v>£m (2017-18 FYA CPIH prices)</v>
      </c>
      <c r="H14" s="350">
        <f>Inputs!F27</f>
        <v>0</v>
      </c>
    </row>
    <row r="15" spans="1:12" s="4" customFormat="1" x14ac:dyDescent="0.35">
      <c r="A15" s="168"/>
      <c r="B15" s="168"/>
      <c r="C15" s="168"/>
      <c r="D15" s="168"/>
      <c r="E15" s="103"/>
      <c r="F15" s="171"/>
      <c r="G15" s="171"/>
      <c r="H15" s="359"/>
    </row>
    <row r="16" spans="1:12" s="4" customFormat="1" x14ac:dyDescent="0.35">
      <c r="A16" s="168"/>
      <c r="B16" s="168"/>
      <c r="C16" s="168"/>
      <c r="D16" s="169" t="str">
        <f>Inputs!D29</f>
        <v>Other in-period adjustments</v>
      </c>
      <c r="E16" s="168"/>
      <c r="F16" s="170"/>
      <c r="G16" s="170"/>
      <c r="H16" s="358"/>
    </row>
    <row r="17" spans="1:13" s="4" customFormat="1" x14ac:dyDescent="0.35">
      <c r="A17" s="168"/>
      <c r="B17" s="168"/>
      <c r="C17" s="168"/>
      <c r="D17" s="168"/>
      <c r="E17" s="103" t="str">
        <f>Inputs!E30</f>
        <v>C-MeX payments</v>
      </c>
      <c r="F17" s="171"/>
      <c r="G17" s="171" t="str">
        <f>Inputs!G30</f>
        <v>£m (2017-18 FYA CPIH prices)</v>
      </c>
      <c r="H17" s="350">
        <f>Inputs!F30</f>
        <v>0</v>
      </c>
    </row>
    <row r="18" spans="1:13" s="4" customFormat="1" x14ac:dyDescent="0.35">
      <c r="A18" s="168"/>
      <c r="B18" s="168"/>
      <c r="C18" s="168"/>
      <c r="D18" s="168"/>
      <c r="E18" s="103" t="str">
        <f>Inputs!E31</f>
        <v>D-MeX payments (water network plus)</v>
      </c>
      <c r="F18" s="171"/>
      <c r="G18" s="171" t="str">
        <f>Inputs!G31</f>
        <v>£m (2017-18 FYA CPIH prices)</v>
      </c>
      <c r="H18" s="350">
        <f>Inputs!F31</f>
        <v>0</v>
      </c>
    </row>
    <row r="19" spans="1:13" s="4" customFormat="1" x14ac:dyDescent="0.35">
      <c r="A19" s="168"/>
      <c r="B19" s="168"/>
      <c r="C19" s="168"/>
      <c r="D19" s="168"/>
      <c r="E19" s="103" t="str">
        <f>Inputs!E32</f>
        <v>D-MeX payments (wastewater network plus)</v>
      </c>
      <c r="F19" s="171"/>
      <c r="G19" s="171" t="str">
        <f>Inputs!G32</f>
        <v>£m (2017-18 FYA CPIH prices)</v>
      </c>
      <c r="H19" s="350">
        <f>Inputs!F32</f>
        <v>0</v>
      </c>
    </row>
    <row r="20" spans="1:13" s="4" customFormat="1" x14ac:dyDescent="0.35">
      <c r="A20" s="168"/>
      <c r="B20" s="168"/>
      <c r="C20" s="168"/>
      <c r="D20" s="168"/>
      <c r="E20" s="168"/>
      <c r="F20" s="170"/>
      <c r="G20" s="170"/>
      <c r="H20" s="358"/>
    </row>
    <row r="21" spans="1:13" s="4" customFormat="1" x14ac:dyDescent="0.35">
      <c r="A21" s="168"/>
      <c r="B21" s="168"/>
      <c r="C21" s="168"/>
      <c r="D21" s="169" t="str">
        <f>Inputs!D34</f>
        <v>ODI payments deferred from previous reporting year</v>
      </c>
      <c r="E21" s="168"/>
      <c r="F21" s="170"/>
      <c r="G21" s="170"/>
      <c r="H21" s="358"/>
    </row>
    <row r="22" spans="1:13" s="102" customFormat="1" x14ac:dyDescent="0.35">
      <c r="A22" s="172"/>
      <c r="B22" s="172"/>
      <c r="C22" s="172"/>
      <c r="D22" s="172"/>
      <c r="E22" s="103" t="str">
        <f>Inputs!E35</f>
        <v>Water resources</v>
      </c>
      <c r="F22" s="171"/>
      <c r="G22" s="171" t="str">
        <f>Inputs!G35</f>
        <v>£m (2017-18 FYA CPIH prices)</v>
      </c>
      <c r="H22" s="350">
        <f>Inputs!F35</f>
        <v>0</v>
      </c>
    </row>
    <row r="23" spans="1:13" s="102" customFormat="1" x14ac:dyDescent="0.35">
      <c r="A23" s="172"/>
      <c r="B23" s="172"/>
      <c r="C23" s="172"/>
      <c r="D23" s="172"/>
      <c r="E23" s="103" t="str">
        <f>Inputs!E36</f>
        <v>Water network plus</v>
      </c>
      <c r="F23" s="171"/>
      <c r="G23" s="171" t="str">
        <f>Inputs!G36</f>
        <v>£m (2017-18 FYA CPIH prices)</v>
      </c>
      <c r="H23" s="350">
        <f>Inputs!F36</f>
        <v>0</v>
      </c>
    </row>
    <row r="24" spans="1:13" s="102" customFormat="1" x14ac:dyDescent="0.35">
      <c r="A24" s="172"/>
      <c r="B24" s="172"/>
      <c r="C24" s="172"/>
      <c r="D24" s="172"/>
      <c r="E24" s="103" t="str">
        <f>Inputs!E37</f>
        <v>Wastewater network plus</v>
      </c>
      <c r="F24" s="171"/>
      <c r="G24" s="171" t="str">
        <f>Inputs!G37</f>
        <v>£m (2017-18 FYA CPIH prices)</v>
      </c>
      <c r="H24" s="350">
        <f>Inputs!F37</f>
        <v>0</v>
      </c>
    </row>
    <row r="25" spans="1:13" s="102" customFormat="1" x14ac:dyDescent="0.35">
      <c r="A25" s="172"/>
      <c r="B25" s="172"/>
      <c r="C25" s="172"/>
      <c r="D25" s="172"/>
      <c r="E25" s="103" t="str">
        <f>Inputs!E38</f>
        <v>Bioresources (sludge)</v>
      </c>
      <c r="F25" s="171"/>
      <c r="G25" s="171" t="str">
        <f>Inputs!G38</f>
        <v>£m (2017-18 FYA CPIH prices)</v>
      </c>
      <c r="H25" s="350">
        <f>Inputs!F38</f>
        <v>0</v>
      </c>
    </row>
    <row r="26" spans="1:13" s="102" customFormat="1" x14ac:dyDescent="0.35">
      <c r="A26" s="172"/>
      <c r="B26" s="172"/>
      <c r="C26" s="172"/>
      <c r="D26" s="172"/>
      <c r="E26" s="103" t="str">
        <f>Inputs!E39</f>
        <v>Residential retail</v>
      </c>
      <c r="F26" s="171"/>
      <c r="G26" s="171" t="str">
        <f>Inputs!G39</f>
        <v>£m (2017-18 FYA CPIH prices)</v>
      </c>
      <c r="H26" s="350">
        <f>Inputs!F39</f>
        <v>0</v>
      </c>
    </row>
    <row r="27" spans="1:13" s="102" customFormat="1" x14ac:dyDescent="0.35">
      <c r="A27" s="172"/>
      <c r="B27" s="172"/>
      <c r="C27" s="172"/>
      <c r="D27" s="172"/>
      <c r="E27" s="103" t="str">
        <f>Inputs!E40</f>
        <v>Business retail</v>
      </c>
      <c r="F27" s="171"/>
      <c r="G27" s="171" t="str">
        <f>Inputs!G40</f>
        <v>£m (2017-18 FYA CPIH prices)</v>
      </c>
      <c r="H27" s="350">
        <f>Inputs!F40</f>
        <v>0</v>
      </c>
    </row>
    <row r="28" spans="1:13" s="102" customFormat="1" x14ac:dyDescent="0.35">
      <c r="A28" s="172"/>
      <c r="B28" s="172"/>
      <c r="C28" s="172"/>
      <c r="D28" s="172"/>
      <c r="E28" s="103" t="str">
        <f>Inputs!E41</f>
        <v>Dummy control</v>
      </c>
      <c r="F28" s="171"/>
      <c r="G28" s="171" t="str">
        <f>Inputs!G41</f>
        <v>£m (2017-18 FYA CPIH prices)</v>
      </c>
      <c r="H28" s="350">
        <f>Inputs!F41</f>
        <v>0</v>
      </c>
    </row>
    <row r="29" spans="1:13" s="4" customFormat="1" x14ac:dyDescent="0.35">
      <c r="A29" s="168"/>
      <c r="B29" s="168"/>
      <c r="C29" s="168"/>
      <c r="D29" s="168"/>
      <c r="E29" s="168"/>
      <c r="F29" s="170"/>
      <c r="G29" s="170"/>
      <c r="H29" s="358"/>
      <c r="M29" s="102"/>
    </row>
    <row r="30" spans="1:13" s="4" customFormat="1" x14ac:dyDescent="0.35">
      <c r="A30" s="168"/>
      <c r="B30" s="168"/>
      <c r="C30" s="168"/>
      <c r="D30" s="169" t="s">
        <v>137</v>
      </c>
      <c r="E30" s="168"/>
      <c r="F30" s="170"/>
      <c r="G30" s="170"/>
      <c r="H30" s="358"/>
      <c r="M30" s="102"/>
    </row>
    <row r="31" spans="1:13" s="4" customFormat="1" x14ac:dyDescent="0.35">
      <c r="A31" s="168"/>
      <c r="B31" s="168"/>
      <c r="C31" s="168"/>
      <c r="D31" s="168"/>
      <c r="E31" s="168" t="s">
        <v>72</v>
      </c>
      <c r="F31" s="170"/>
      <c r="G31" s="170" t="str">
        <f>Inputs!$F$15</f>
        <v>£m (2017-18 FYA CPIH prices)</v>
      </c>
      <c r="H31" s="360">
        <f>H8+H22</f>
        <v>0</v>
      </c>
      <c r="M31" s="102"/>
    </row>
    <row r="32" spans="1:13" s="4" customFormat="1" x14ac:dyDescent="0.35">
      <c r="A32" s="168"/>
      <c r="B32" s="168"/>
      <c r="C32" s="168"/>
      <c r="D32" s="168"/>
      <c r="E32" s="168" t="s">
        <v>74</v>
      </c>
      <c r="F32" s="170"/>
      <c r="G32" s="170" t="str">
        <f>Inputs!$F$15</f>
        <v>£m (2017-18 FYA CPIH prices)</v>
      </c>
      <c r="H32" s="361">
        <f>H9+H18+H23</f>
        <v>0.38169311195248201</v>
      </c>
      <c r="M32" s="102"/>
    </row>
    <row r="33" spans="1:13" s="4" customFormat="1" x14ac:dyDescent="0.35">
      <c r="A33" s="168"/>
      <c r="B33" s="168"/>
      <c r="C33" s="168"/>
      <c r="D33" s="168"/>
      <c r="E33" s="168" t="s">
        <v>76</v>
      </c>
      <c r="F33" s="170"/>
      <c r="G33" s="170" t="str">
        <f>Inputs!$F$15</f>
        <v>£m (2017-18 FYA CPIH prices)</v>
      </c>
      <c r="H33" s="360">
        <f>H10+H19+H24</f>
        <v>-0.54396432671520401</v>
      </c>
      <c r="M33" s="102"/>
    </row>
    <row r="34" spans="1:13" s="4" customFormat="1" x14ac:dyDescent="0.35">
      <c r="A34" s="168"/>
      <c r="B34" s="168"/>
      <c r="C34" s="168"/>
      <c r="D34" s="168"/>
      <c r="E34" s="168" t="s">
        <v>82</v>
      </c>
      <c r="F34" s="170"/>
      <c r="G34" s="170" t="str">
        <f>Inputs!$F$15</f>
        <v>£m (2017-18 FYA CPIH prices)</v>
      </c>
      <c r="H34" s="360">
        <f>H11+H25</f>
        <v>0</v>
      </c>
      <c r="M34" s="102"/>
    </row>
    <row r="35" spans="1:13" s="4" customFormat="1" x14ac:dyDescent="0.35">
      <c r="A35" s="168"/>
      <c r="B35" s="168"/>
      <c r="C35" s="168"/>
      <c r="D35" s="168"/>
      <c r="E35" s="168" t="s">
        <v>78</v>
      </c>
      <c r="F35" s="170"/>
      <c r="G35" s="170" t="str">
        <f>Inputs!$F$15</f>
        <v>£m (2017-18 FYA CPIH prices)</v>
      </c>
      <c r="H35" s="360">
        <f>H12+H17+H26</f>
        <v>0</v>
      </c>
      <c r="M35" s="102"/>
    </row>
    <row r="36" spans="1:13" s="4" customFormat="1" x14ac:dyDescent="0.35">
      <c r="A36" s="168"/>
      <c r="B36" s="168"/>
      <c r="C36" s="168"/>
      <c r="D36" s="168"/>
      <c r="E36" s="168" t="s">
        <v>80</v>
      </c>
      <c r="F36" s="170"/>
      <c r="G36" s="170" t="str">
        <f>Inputs!$F$15</f>
        <v>£m (2017-18 FYA CPIH prices)</v>
      </c>
      <c r="H36" s="360">
        <f>H13+H27</f>
        <v>0</v>
      </c>
      <c r="M36" s="102"/>
    </row>
    <row r="37" spans="1:13" s="4" customFormat="1" x14ac:dyDescent="0.35">
      <c r="A37" s="168"/>
      <c r="B37" s="168"/>
      <c r="C37" s="168"/>
      <c r="D37" s="168"/>
      <c r="E37" s="168" t="s">
        <v>84</v>
      </c>
      <c r="F37" s="170"/>
      <c r="G37" s="170" t="str">
        <f>Inputs!$F$15</f>
        <v>£m (2017-18 FYA CPIH prices)</v>
      </c>
      <c r="H37" s="360">
        <f>H14+H28</f>
        <v>0</v>
      </c>
    </row>
    <row r="38" spans="1:13" s="4" customFormat="1" x14ac:dyDescent="0.35">
      <c r="A38" s="168"/>
      <c r="B38" s="168"/>
      <c r="C38" s="168"/>
      <c r="D38" s="168"/>
      <c r="E38" s="168"/>
      <c r="F38" s="170"/>
      <c r="G38" s="170"/>
      <c r="H38" s="358"/>
    </row>
    <row r="39" spans="1:13" s="4" customFormat="1" ht="13.15" x14ac:dyDescent="0.35">
      <c r="A39" s="168"/>
      <c r="B39" s="168"/>
      <c r="C39" s="173" t="s">
        <v>138</v>
      </c>
      <c r="D39" s="168"/>
      <c r="E39" s="168"/>
      <c r="F39" s="170"/>
      <c r="G39" s="170"/>
      <c r="H39" s="358"/>
    </row>
    <row r="40" spans="1:13" s="4" customFormat="1" x14ac:dyDescent="0.35">
      <c r="A40" s="168"/>
      <c r="B40" s="168"/>
      <c r="C40" s="168"/>
      <c r="D40" s="168"/>
      <c r="E40" s="168"/>
      <c r="F40" s="170"/>
      <c r="G40" s="170"/>
      <c r="H40" s="358"/>
    </row>
    <row r="41" spans="1:13" s="4" customFormat="1" x14ac:dyDescent="0.35">
      <c r="A41" s="168"/>
      <c r="B41" s="168"/>
      <c r="C41" s="168"/>
      <c r="D41" s="169" t="str">
        <f>Inputs!D46</f>
        <v>Voluntary abatements</v>
      </c>
      <c r="E41" s="168"/>
      <c r="F41" s="170"/>
      <c r="G41" s="170"/>
      <c r="H41" s="358"/>
    </row>
    <row r="42" spans="1:13" s="4" customFormat="1" x14ac:dyDescent="0.35">
      <c r="A42" s="168"/>
      <c r="B42" s="168"/>
      <c r="C42" s="168"/>
      <c r="D42" s="168"/>
      <c r="E42" s="103" t="str">
        <f>Inputs!E47</f>
        <v>Water resources</v>
      </c>
      <c r="F42" s="171"/>
      <c r="G42" s="171" t="str">
        <f>Inputs!G47</f>
        <v>£m (2017-18 FYA CPIH prices)</v>
      </c>
      <c r="H42" s="350">
        <f>Inputs!F47</f>
        <v>0</v>
      </c>
    </row>
    <row r="43" spans="1:13" s="4" customFormat="1" x14ac:dyDescent="0.35">
      <c r="A43" s="168"/>
      <c r="B43" s="168"/>
      <c r="C43" s="168"/>
      <c r="D43" s="168"/>
      <c r="E43" s="103" t="str">
        <f>Inputs!E48</f>
        <v>Water network plus</v>
      </c>
      <c r="F43" s="171"/>
      <c r="G43" s="171" t="str">
        <f>Inputs!G48</f>
        <v>£m (2017-18 FYA CPIH prices)</v>
      </c>
      <c r="H43" s="350">
        <f>Inputs!F48</f>
        <v>0</v>
      </c>
    </row>
    <row r="44" spans="1:13" s="4" customFormat="1" x14ac:dyDescent="0.35">
      <c r="A44" s="168"/>
      <c r="B44" s="168"/>
      <c r="C44" s="168"/>
      <c r="D44" s="168"/>
      <c r="E44" s="103" t="str">
        <f>Inputs!E49</f>
        <v>Wastewater network plus</v>
      </c>
      <c r="F44" s="171"/>
      <c r="G44" s="171" t="str">
        <f>Inputs!G49</f>
        <v>£m (2017-18 FYA CPIH prices)</v>
      </c>
      <c r="H44" s="350">
        <f>Inputs!F49</f>
        <v>0</v>
      </c>
    </row>
    <row r="45" spans="1:13" s="4" customFormat="1" x14ac:dyDescent="0.35">
      <c r="A45" s="168"/>
      <c r="B45" s="168"/>
      <c r="C45" s="168"/>
      <c r="D45" s="168"/>
      <c r="E45" s="103" t="str">
        <f>Inputs!E50</f>
        <v>Bioresources (sludge)</v>
      </c>
      <c r="F45" s="171"/>
      <c r="G45" s="171" t="str">
        <f>Inputs!G50</f>
        <v>£m (2017-18 FYA CPIH prices)</v>
      </c>
      <c r="H45" s="350">
        <f>Inputs!F50</f>
        <v>0</v>
      </c>
    </row>
    <row r="46" spans="1:13" s="4" customFormat="1" x14ac:dyDescent="0.35">
      <c r="A46" s="168"/>
      <c r="B46" s="168"/>
      <c r="C46" s="168"/>
      <c r="D46" s="168"/>
      <c r="E46" s="103" t="str">
        <f>Inputs!E51</f>
        <v>Residential retail</v>
      </c>
      <c r="F46" s="171"/>
      <c r="G46" s="171" t="str">
        <f>Inputs!G51</f>
        <v>£m (2017-18 FYA CPIH prices)</v>
      </c>
      <c r="H46" s="350">
        <f>Inputs!F51</f>
        <v>0</v>
      </c>
    </row>
    <row r="47" spans="1:13" s="4" customFormat="1" x14ac:dyDescent="0.35">
      <c r="A47" s="168"/>
      <c r="B47" s="168"/>
      <c r="C47" s="168"/>
      <c r="D47" s="168"/>
      <c r="E47" s="103" t="str">
        <f>Inputs!E52</f>
        <v>Business retail</v>
      </c>
      <c r="F47" s="171"/>
      <c r="G47" s="171" t="str">
        <f>Inputs!G52</f>
        <v>£m (2017-18 FYA CPIH prices)</v>
      </c>
      <c r="H47" s="350">
        <f>Inputs!F52</f>
        <v>0</v>
      </c>
    </row>
    <row r="48" spans="1:13" s="4" customFormat="1" x14ac:dyDescent="0.35">
      <c r="A48" s="168"/>
      <c r="B48" s="168"/>
      <c r="C48" s="168"/>
      <c r="D48" s="168"/>
      <c r="E48" s="103" t="str">
        <f>Inputs!E53</f>
        <v>Dummy control</v>
      </c>
      <c r="F48" s="171"/>
      <c r="G48" s="171" t="str">
        <f>Inputs!G53</f>
        <v>£m (2017-18 FYA CPIH prices)</v>
      </c>
      <c r="H48" s="350">
        <f>Inputs!F53</f>
        <v>0</v>
      </c>
    </row>
    <row r="49" spans="1:9" s="4" customFormat="1" x14ac:dyDescent="0.35">
      <c r="A49" s="168"/>
      <c r="B49" s="168"/>
      <c r="C49" s="168"/>
      <c r="D49" s="168"/>
      <c r="E49" s="168"/>
      <c r="F49" s="170"/>
      <c r="G49" s="170"/>
      <c r="H49" s="358"/>
    </row>
    <row r="50" spans="1:9" s="4" customFormat="1" x14ac:dyDescent="0.35">
      <c r="A50" s="168"/>
      <c r="B50" s="168"/>
      <c r="C50" s="168"/>
      <c r="D50" s="169" t="s">
        <v>139</v>
      </c>
      <c r="E50" s="168"/>
      <c r="F50" s="170"/>
      <c r="G50" s="170"/>
      <c r="H50" s="358"/>
    </row>
    <row r="51" spans="1:9" s="4" customFormat="1" x14ac:dyDescent="0.35">
      <c r="A51" s="168"/>
      <c r="B51" s="168"/>
      <c r="C51" s="168"/>
      <c r="D51" s="168"/>
      <c r="E51" s="168" t="s">
        <v>72</v>
      </c>
      <c r="F51" s="170"/>
      <c r="G51" s="170" t="str">
        <f>Inputs!$F$15</f>
        <v>£m (2017-18 FYA CPIH prices)</v>
      </c>
      <c r="H51" s="360">
        <f t="shared" ref="H51:H57" si="0">IF(H31&gt;0,IF(H42&lt;H31,H31-H42,0),H31)</f>
        <v>0</v>
      </c>
    </row>
    <row r="52" spans="1:9" s="4" customFormat="1" x14ac:dyDescent="0.35">
      <c r="A52" s="168"/>
      <c r="B52" s="168"/>
      <c r="C52" s="168"/>
      <c r="D52" s="168"/>
      <c r="E52" s="168" t="s">
        <v>74</v>
      </c>
      <c r="F52" s="170"/>
      <c r="G52" s="170" t="str">
        <f>Inputs!$F$15</f>
        <v>£m (2017-18 FYA CPIH prices)</v>
      </c>
      <c r="H52" s="360">
        <f t="shared" si="0"/>
        <v>0.38169311195248201</v>
      </c>
    </row>
    <row r="53" spans="1:9" s="4" customFormat="1" x14ac:dyDescent="0.35">
      <c r="A53" s="168"/>
      <c r="B53" s="168"/>
      <c r="C53" s="168"/>
      <c r="D53" s="168"/>
      <c r="E53" s="168" t="s">
        <v>76</v>
      </c>
      <c r="F53" s="170"/>
      <c r="G53" s="170" t="str">
        <f>Inputs!$F$15</f>
        <v>£m (2017-18 FYA CPIH prices)</v>
      </c>
      <c r="H53" s="360">
        <f>IF(H33&gt;0,IF(H44&lt;H33,H33-H44,0),H33)</f>
        <v>-0.54396432671520401</v>
      </c>
    </row>
    <row r="54" spans="1:9" s="4" customFormat="1" x14ac:dyDescent="0.35">
      <c r="A54" s="168"/>
      <c r="B54" s="168"/>
      <c r="C54" s="168"/>
      <c r="D54" s="168"/>
      <c r="E54" s="168" t="s">
        <v>82</v>
      </c>
      <c r="F54" s="170"/>
      <c r="G54" s="170" t="str">
        <f>Inputs!$F$15</f>
        <v>£m (2017-18 FYA CPIH prices)</v>
      </c>
      <c r="H54" s="360">
        <f t="shared" si="0"/>
        <v>0</v>
      </c>
    </row>
    <row r="55" spans="1:9" s="4" customFormat="1" x14ac:dyDescent="0.35">
      <c r="A55" s="168"/>
      <c r="B55" s="168"/>
      <c r="C55" s="168"/>
      <c r="D55" s="168"/>
      <c r="E55" s="168" t="s">
        <v>78</v>
      </c>
      <c r="F55" s="170"/>
      <c r="G55" s="170" t="str">
        <f>Inputs!$F$15</f>
        <v>£m (2017-18 FYA CPIH prices)</v>
      </c>
      <c r="H55" s="360">
        <f t="shared" si="0"/>
        <v>0</v>
      </c>
    </row>
    <row r="56" spans="1:9" s="4" customFormat="1" x14ac:dyDescent="0.35">
      <c r="A56" s="168"/>
      <c r="B56" s="168"/>
      <c r="C56" s="168"/>
      <c r="D56" s="168"/>
      <c r="E56" s="168" t="s">
        <v>80</v>
      </c>
      <c r="F56" s="170"/>
      <c r="G56" s="170" t="str">
        <f>Inputs!$F$15</f>
        <v>£m (2017-18 FYA CPIH prices)</v>
      </c>
      <c r="H56" s="360">
        <f t="shared" si="0"/>
        <v>0</v>
      </c>
    </row>
    <row r="57" spans="1:9" s="4" customFormat="1" x14ac:dyDescent="0.35">
      <c r="A57" s="168"/>
      <c r="B57" s="168"/>
      <c r="C57" s="168"/>
      <c r="D57" s="168"/>
      <c r="E57" s="168" t="s">
        <v>84</v>
      </c>
      <c r="F57" s="170"/>
      <c r="G57" s="170" t="str">
        <f>Inputs!$F$15</f>
        <v>£m (2017-18 FYA CPIH prices)</v>
      </c>
      <c r="H57" s="360">
        <f t="shared" si="0"/>
        <v>0</v>
      </c>
    </row>
    <row r="58" spans="1:9" s="4" customFormat="1" x14ac:dyDescent="0.35">
      <c r="A58" s="168"/>
      <c r="B58" s="168"/>
      <c r="C58" s="168"/>
      <c r="D58" s="168"/>
      <c r="E58" s="168"/>
      <c r="F58" s="170"/>
      <c r="G58" s="170"/>
      <c r="H58" s="358"/>
    </row>
    <row r="59" spans="1:9" s="9" customFormat="1" ht="13.15" x14ac:dyDescent="0.35">
      <c r="A59" s="83" t="s">
        <v>140</v>
      </c>
      <c r="B59" s="163"/>
      <c r="C59" s="163"/>
      <c r="D59" s="164"/>
      <c r="E59" s="86"/>
      <c r="F59" s="94"/>
      <c r="G59" s="94"/>
      <c r="H59" s="356"/>
      <c r="I59" s="87"/>
    </row>
    <row r="60" spans="1:9" s="4" customFormat="1" x14ac:dyDescent="0.35">
      <c r="A60" s="168"/>
      <c r="B60" s="168"/>
      <c r="C60" s="168"/>
      <c r="D60" s="168"/>
      <c r="E60" s="168"/>
      <c r="F60" s="170"/>
      <c r="G60" s="170"/>
      <c r="H60" s="358"/>
    </row>
    <row r="61" spans="1:9" s="4" customFormat="1" ht="13.15" x14ac:dyDescent="0.35">
      <c r="A61" s="168"/>
      <c r="B61" s="168"/>
      <c r="C61" s="173" t="s">
        <v>141</v>
      </c>
      <c r="D61" s="168"/>
      <c r="E61" s="168"/>
      <c r="F61" s="170"/>
      <c r="G61" s="170"/>
      <c r="H61" s="358"/>
    </row>
    <row r="62" spans="1:9" s="4" customFormat="1" x14ac:dyDescent="0.35">
      <c r="A62" s="168"/>
      <c r="B62" s="168"/>
      <c r="C62" s="168"/>
      <c r="D62" s="168"/>
      <c r="E62" s="168"/>
      <c r="F62" s="170"/>
      <c r="G62" s="170"/>
      <c r="H62" s="358"/>
    </row>
    <row r="63" spans="1:9" s="4" customFormat="1" x14ac:dyDescent="0.35">
      <c r="A63" s="168"/>
      <c r="B63" s="168"/>
      <c r="C63" s="168"/>
      <c r="D63" s="169" t="str">
        <f>Inputs!D55</f>
        <v>Voluntary deferrals</v>
      </c>
      <c r="E63" s="168"/>
      <c r="F63" s="170"/>
      <c r="G63" s="170"/>
      <c r="H63" s="358"/>
    </row>
    <row r="64" spans="1:9" s="4" customFormat="1" x14ac:dyDescent="0.35">
      <c r="A64" s="168"/>
      <c r="B64" s="168"/>
      <c r="C64" s="168"/>
      <c r="D64" s="168"/>
      <c r="E64" s="103" t="str">
        <f>Inputs!E56</f>
        <v>Water resources</v>
      </c>
      <c r="F64" s="171"/>
      <c r="G64" s="171" t="str">
        <f>Inputs!G56</f>
        <v>£m (2017-18 FYA CPIH prices)</v>
      </c>
      <c r="H64" s="350">
        <f>Inputs!F56</f>
        <v>0</v>
      </c>
    </row>
    <row r="65" spans="1:8" s="4" customFormat="1" x14ac:dyDescent="0.35">
      <c r="A65" s="168"/>
      <c r="B65" s="168"/>
      <c r="C65" s="168"/>
      <c r="D65" s="168"/>
      <c r="E65" s="103" t="str">
        <f>Inputs!E57</f>
        <v>Water network plus</v>
      </c>
      <c r="F65" s="171"/>
      <c r="G65" s="171" t="str">
        <f>Inputs!G57</f>
        <v>£m (2017-18 FYA CPIH prices)</v>
      </c>
      <c r="H65" s="350">
        <f>Inputs!F57</f>
        <v>0</v>
      </c>
    </row>
    <row r="66" spans="1:8" s="4" customFormat="1" x14ac:dyDescent="0.35">
      <c r="A66" s="168"/>
      <c r="B66" s="168"/>
      <c r="C66" s="168"/>
      <c r="D66" s="168"/>
      <c r="E66" s="103" t="str">
        <f>Inputs!E58</f>
        <v>Wastewater network plus</v>
      </c>
      <c r="F66" s="171"/>
      <c r="G66" s="171" t="str">
        <f>Inputs!G58</f>
        <v>£m (2017-18 FYA CPIH prices)</v>
      </c>
      <c r="H66" s="350">
        <f>Inputs!F58</f>
        <v>0</v>
      </c>
    </row>
    <row r="67" spans="1:8" s="4" customFormat="1" x14ac:dyDescent="0.35">
      <c r="A67" s="168"/>
      <c r="B67" s="168"/>
      <c r="C67" s="168"/>
      <c r="D67" s="168"/>
      <c r="E67" s="103" t="str">
        <f>Inputs!E59</f>
        <v>Bioresources (sludge)</v>
      </c>
      <c r="F67" s="171"/>
      <c r="G67" s="171" t="str">
        <f>Inputs!G59</f>
        <v>£m (2017-18 FYA CPIH prices)</v>
      </c>
      <c r="H67" s="350">
        <f>Inputs!F59</f>
        <v>0</v>
      </c>
    </row>
    <row r="68" spans="1:8" s="4" customFormat="1" x14ac:dyDescent="0.35">
      <c r="A68" s="168"/>
      <c r="B68" s="168"/>
      <c r="C68" s="168"/>
      <c r="D68" s="168"/>
      <c r="E68" s="103" t="str">
        <f>Inputs!E60</f>
        <v>Residential retail</v>
      </c>
      <c r="F68" s="171"/>
      <c r="G68" s="171" t="str">
        <f>Inputs!G60</f>
        <v>£m (2017-18 FYA CPIH prices)</v>
      </c>
      <c r="H68" s="350">
        <f>Inputs!F60</f>
        <v>0</v>
      </c>
    </row>
    <row r="69" spans="1:8" s="4" customFormat="1" x14ac:dyDescent="0.35">
      <c r="A69" s="168"/>
      <c r="B69" s="168"/>
      <c r="C69" s="168"/>
      <c r="D69" s="168"/>
      <c r="E69" s="103" t="str">
        <f>Inputs!E61</f>
        <v>Business retail</v>
      </c>
      <c r="F69" s="171"/>
      <c r="G69" s="171" t="str">
        <f>Inputs!G61</f>
        <v>£m (2017-18 FYA CPIH prices)</v>
      </c>
      <c r="H69" s="350">
        <f>Inputs!F61</f>
        <v>0</v>
      </c>
    </row>
    <row r="70" spans="1:8" s="4" customFormat="1" x14ac:dyDescent="0.35">
      <c r="A70" s="168"/>
      <c r="B70" s="168"/>
      <c r="C70" s="168"/>
      <c r="D70" s="168"/>
      <c r="E70" s="103" t="str">
        <f>Inputs!E62</f>
        <v>Dummy control</v>
      </c>
      <c r="F70" s="171"/>
      <c r="G70" s="171" t="str">
        <f>Inputs!G62</f>
        <v>£m (2017-18 FYA CPIH prices)</v>
      </c>
      <c r="H70" s="350">
        <f>Inputs!F62</f>
        <v>0</v>
      </c>
    </row>
    <row r="71" spans="1:8" s="4" customFormat="1" x14ac:dyDescent="0.35">
      <c r="A71" s="168"/>
      <c r="B71" s="168"/>
      <c r="C71" s="168"/>
      <c r="D71" s="168"/>
      <c r="E71" s="168"/>
      <c r="F71" s="170"/>
      <c r="G71" s="170"/>
      <c r="H71" s="358"/>
    </row>
    <row r="72" spans="1:8" s="4" customFormat="1" x14ac:dyDescent="0.35">
      <c r="A72" s="168"/>
      <c r="B72" s="168"/>
      <c r="C72" s="168"/>
      <c r="D72" s="169" t="s">
        <v>142</v>
      </c>
      <c r="E72" s="168"/>
      <c r="F72" s="170"/>
      <c r="G72" s="170"/>
      <c r="H72" s="358"/>
    </row>
    <row r="73" spans="1:8" s="4" customFormat="1" x14ac:dyDescent="0.35">
      <c r="A73" s="168"/>
      <c r="B73" s="168"/>
      <c r="C73" s="168"/>
      <c r="D73" s="168"/>
      <c r="E73" s="168" t="s">
        <v>72</v>
      </c>
      <c r="F73" s="170"/>
      <c r="G73" s="170" t="str">
        <f>Inputs!$F$15</f>
        <v>£m (2017-18 FYA CPIH prices)</v>
      </c>
      <c r="H73" s="358">
        <f>H51-H64</f>
        <v>0</v>
      </c>
    </row>
    <row r="74" spans="1:8" s="4" customFormat="1" x14ac:dyDescent="0.35">
      <c r="A74" s="168"/>
      <c r="B74" s="168"/>
      <c r="C74" s="168"/>
      <c r="D74" s="168"/>
      <c r="E74" s="168" t="s">
        <v>74</v>
      </c>
      <c r="F74" s="170"/>
      <c r="G74" s="170" t="str">
        <f>Inputs!$F$15</f>
        <v>£m (2017-18 FYA CPIH prices)</v>
      </c>
      <c r="H74" s="358">
        <f t="shared" ref="H74:H79" si="1">H52-H65</f>
        <v>0.38169311195248201</v>
      </c>
    </row>
    <row r="75" spans="1:8" s="4" customFormat="1" x14ac:dyDescent="0.35">
      <c r="A75" s="168"/>
      <c r="B75" s="168"/>
      <c r="C75" s="168"/>
      <c r="D75" s="168"/>
      <c r="E75" s="168" t="s">
        <v>76</v>
      </c>
      <c r="F75" s="170"/>
      <c r="G75" s="170" t="str">
        <f>Inputs!$F$15</f>
        <v>£m (2017-18 FYA CPIH prices)</v>
      </c>
      <c r="H75" s="358">
        <f t="shared" si="1"/>
        <v>-0.54396432671520401</v>
      </c>
    </row>
    <row r="76" spans="1:8" s="4" customFormat="1" x14ac:dyDescent="0.35">
      <c r="A76" s="168"/>
      <c r="B76" s="168"/>
      <c r="C76" s="168"/>
      <c r="D76" s="168"/>
      <c r="E76" s="168" t="s">
        <v>82</v>
      </c>
      <c r="F76" s="170"/>
      <c r="G76" s="170" t="str">
        <f>Inputs!$F$15</f>
        <v>£m (2017-18 FYA CPIH prices)</v>
      </c>
      <c r="H76" s="358">
        <f t="shared" si="1"/>
        <v>0</v>
      </c>
    </row>
    <row r="77" spans="1:8" s="4" customFormat="1" x14ac:dyDescent="0.35">
      <c r="A77" s="168"/>
      <c r="B77" s="168"/>
      <c r="C77" s="168"/>
      <c r="D77" s="168"/>
      <c r="E77" s="168" t="s">
        <v>78</v>
      </c>
      <c r="F77" s="170"/>
      <c r="G77" s="170" t="str">
        <f>Inputs!$F$15</f>
        <v>£m (2017-18 FYA CPIH prices)</v>
      </c>
      <c r="H77" s="358">
        <f t="shared" si="1"/>
        <v>0</v>
      </c>
    </row>
    <row r="78" spans="1:8" s="4" customFormat="1" x14ac:dyDescent="0.35">
      <c r="A78" s="168"/>
      <c r="B78" s="168"/>
      <c r="C78" s="168"/>
      <c r="D78" s="168"/>
      <c r="E78" s="168" t="s">
        <v>80</v>
      </c>
      <c r="F78" s="170"/>
      <c r="G78" s="170" t="str">
        <f>Inputs!$F$15</f>
        <v>£m (2017-18 FYA CPIH prices)</v>
      </c>
      <c r="H78" s="358">
        <f t="shared" si="1"/>
        <v>0</v>
      </c>
    </row>
    <row r="79" spans="1:8" s="4" customFormat="1" x14ac:dyDescent="0.35">
      <c r="A79" s="168"/>
      <c r="B79" s="168"/>
      <c r="C79" s="168"/>
      <c r="D79" s="168"/>
      <c r="E79" s="168" t="s">
        <v>84</v>
      </c>
      <c r="F79" s="170"/>
      <c r="G79" s="170" t="str">
        <f>Inputs!$F$15</f>
        <v>£m (2017-18 FYA CPIH prices)</v>
      </c>
      <c r="H79" s="358">
        <f t="shared" si="1"/>
        <v>0</v>
      </c>
    </row>
    <row r="80" spans="1:8" s="4" customFormat="1" x14ac:dyDescent="0.35">
      <c r="A80" s="168"/>
      <c r="B80" s="168"/>
      <c r="C80" s="168"/>
      <c r="D80" s="168"/>
      <c r="E80" s="168"/>
      <c r="F80" s="170"/>
      <c r="G80" s="170"/>
      <c r="H80" s="358"/>
    </row>
    <row r="81" spans="1:8" s="4" customFormat="1" ht="13.15" x14ac:dyDescent="0.35">
      <c r="A81" s="168"/>
      <c r="B81" s="168"/>
      <c r="C81" s="173" t="s">
        <v>143</v>
      </c>
      <c r="D81" s="168"/>
      <c r="E81" s="168"/>
      <c r="F81" s="170"/>
      <c r="G81" s="170"/>
      <c r="H81" s="358"/>
    </row>
    <row r="82" spans="1:8" s="4" customFormat="1" x14ac:dyDescent="0.35">
      <c r="A82" s="168"/>
      <c r="B82" s="168"/>
      <c r="C82" s="168"/>
      <c r="D82" s="168"/>
      <c r="E82" s="168"/>
      <c r="F82" s="170"/>
      <c r="G82" s="170"/>
      <c r="H82" s="358"/>
    </row>
    <row r="83" spans="1:8" s="4" customFormat="1" x14ac:dyDescent="0.35">
      <c r="A83" s="168"/>
      <c r="B83" s="168"/>
      <c r="C83" s="168"/>
      <c r="D83" s="169" t="s">
        <v>144</v>
      </c>
      <c r="E83" s="168"/>
      <c r="F83" s="170"/>
      <c r="G83" s="170"/>
      <c r="H83" s="358"/>
    </row>
    <row r="84" spans="1:8" s="4" customFormat="1" x14ac:dyDescent="0.35">
      <c r="A84" s="168"/>
      <c r="B84" s="168"/>
      <c r="C84" s="168"/>
      <c r="D84" s="168"/>
      <c r="E84" s="103" t="str">
        <f>Inputs!E68</f>
        <v>Discount rate (wholesale allowed return on capital - real CPIH)</v>
      </c>
      <c r="F84" s="171"/>
      <c r="G84" s="171" t="str">
        <f>Inputs!G68</f>
        <v>Percentage</v>
      </c>
      <c r="H84" s="359">
        <f>Inputs!F68</f>
        <v>2.92E-2</v>
      </c>
    </row>
    <row r="85" spans="1:8" s="4" customFormat="1" x14ac:dyDescent="0.35">
      <c r="A85" s="168"/>
      <c r="B85" s="168"/>
      <c r="C85" s="168"/>
      <c r="D85" s="168"/>
      <c r="E85" s="103" t="str">
        <f>Inputs!E69</f>
        <v>Discount rate (appointee allowed return on capital - real CPIH)</v>
      </c>
      <c r="F85" s="171"/>
      <c r="G85" s="171" t="str">
        <f>Inputs!G69</f>
        <v>Percentage</v>
      </c>
      <c r="H85" s="359">
        <f>Inputs!F69</f>
        <v>2.9600000000000001E-2</v>
      </c>
    </row>
    <row r="86" spans="1:8" s="4" customFormat="1" x14ac:dyDescent="0.35">
      <c r="A86" s="168"/>
      <c r="B86" s="168"/>
      <c r="C86" s="168"/>
      <c r="D86" s="168"/>
      <c r="E86" s="103" t="str">
        <f>Inputs!E70</f>
        <v>Years of delay for deferrals</v>
      </c>
      <c r="F86" s="171"/>
      <c r="G86" s="171" t="str">
        <f>Inputs!G70</f>
        <v>Number</v>
      </c>
      <c r="H86" s="359">
        <f>Inputs!F70</f>
        <v>1</v>
      </c>
    </row>
    <row r="87" spans="1:8" s="4" customFormat="1" x14ac:dyDescent="0.35">
      <c r="A87" s="168"/>
      <c r="B87" s="168"/>
      <c r="C87" s="168"/>
      <c r="D87" s="168"/>
      <c r="E87" s="168"/>
      <c r="F87" s="170"/>
      <c r="G87" s="170"/>
      <c r="H87" s="358"/>
    </row>
    <row r="88" spans="1:8" s="4" customFormat="1" x14ac:dyDescent="0.35">
      <c r="A88" s="168"/>
      <c r="B88" s="168"/>
      <c r="C88" s="168"/>
      <c r="D88" s="169" t="s">
        <v>145</v>
      </c>
      <c r="E88" s="168"/>
      <c r="F88" s="170"/>
      <c r="G88" s="170"/>
      <c r="H88" s="358"/>
    </row>
    <row r="89" spans="1:8" s="4" customFormat="1" x14ac:dyDescent="0.35">
      <c r="A89" s="168"/>
      <c r="B89" s="168"/>
      <c r="C89" s="168"/>
      <c r="D89" s="168"/>
      <c r="E89" s="168" t="s">
        <v>72</v>
      </c>
      <c r="F89" s="170"/>
      <c r="G89" s="170"/>
      <c r="H89" s="357">
        <f>H64*((1+H$84)^H$86)</f>
        <v>0</v>
      </c>
    </row>
    <row r="90" spans="1:8" s="4" customFormat="1" x14ac:dyDescent="0.35">
      <c r="A90" s="168"/>
      <c r="B90" s="168"/>
      <c r="C90" s="168"/>
      <c r="D90" s="168"/>
      <c r="E90" s="168" t="s">
        <v>74</v>
      </c>
      <c r="F90" s="170"/>
      <c r="G90" s="170"/>
      <c r="H90" s="357">
        <f t="shared" ref="H90:H91" si="2">H65*((1+H$84)^H$86)</f>
        <v>0</v>
      </c>
    </row>
    <row r="91" spans="1:8" s="4" customFormat="1" x14ac:dyDescent="0.35">
      <c r="A91" s="168"/>
      <c r="B91" s="168"/>
      <c r="C91" s="168"/>
      <c r="D91" s="168"/>
      <c r="E91" s="168" t="s">
        <v>76</v>
      </c>
      <c r="F91" s="170"/>
      <c r="G91" s="170"/>
      <c r="H91" s="357">
        <f t="shared" si="2"/>
        <v>0</v>
      </c>
    </row>
    <row r="92" spans="1:8" s="4" customFormat="1" x14ac:dyDescent="0.35">
      <c r="A92" s="168"/>
      <c r="B92" s="168"/>
      <c r="C92" s="168"/>
      <c r="D92" s="168"/>
      <c r="E92" s="168" t="s">
        <v>82</v>
      </c>
      <c r="F92" s="170"/>
      <c r="G92" s="170"/>
      <c r="H92" s="357">
        <f>H67*((1+H$84)^H$86)</f>
        <v>0</v>
      </c>
    </row>
    <row r="93" spans="1:8" s="4" customFormat="1" x14ac:dyDescent="0.35">
      <c r="A93" s="168"/>
      <c r="B93" s="168"/>
      <c r="C93" s="168"/>
      <c r="D93" s="168"/>
      <c r="E93" s="168" t="s">
        <v>84</v>
      </c>
      <c r="F93" s="170"/>
      <c r="G93" s="170"/>
      <c r="H93" s="357">
        <f>H70*((1+H$84)^H$86)</f>
        <v>0</v>
      </c>
    </row>
    <row r="94" spans="1:8" s="4" customFormat="1" x14ac:dyDescent="0.35">
      <c r="A94" s="168"/>
      <c r="B94" s="168"/>
      <c r="C94" s="168"/>
      <c r="D94" s="168"/>
      <c r="E94" s="168"/>
      <c r="F94" s="170"/>
      <c r="G94" s="170"/>
      <c r="H94" s="358"/>
    </row>
    <row r="95" spans="1:8" s="4" customFormat="1" x14ac:dyDescent="0.35">
      <c r="A95" s="168"/>
      <c r="B95" s="168"/>
      <c r="C95" s="168"/>
      <c r="D95" s="169" t="s">
        <v>146</v>
      </c>
      <c r="E95" s="168"/>
      <c r="F95" s="170"/>
      <c r="G95" s="170"/>
      <c r="H95" s="358"/>
    </row>
    <row r="96" spans="1:8" s="4" customFormat="1" x14ac:dyDescent="0.35">
      <c r="A96" s="168"/>
      <c r="B96" s="168"/>
      <c r="C96" s="168"/>
      <c r="D96" s="168"/>
      <c r="E96" s="168" t="s">
        <v>78</v>
      </c>
      <c r="F96" s="170"/>
      <c r="G96" s="170"/>
      <c r="H96" s="358">
        <f>H68*((1+H$85)^H$86)</f>
        <v>0</v>
      </c>
    </row>
    <row r="97" spans="1:9" s="4" customFormat="1" x14ac:dyDescent="0.35">
      <c r="A97" s="168"/>
      <c r="B97" s="168"/>
      <c r="C97" s="168"/>
      <c r="D97" s="168"/>
      <c r="E97" s="168" t="s">
        <v>80</v>
      </c>
      <c r="F97" s="170"/>
      <c r="G97" s="170"/>
      <c r="H97" s="358">
        <f>H69*((1+H$85)^H$86)</f>
        <v>0</v>
      </c>
    </row>
    <row r="98" spans="1:9" s="4" customFormat="1" x14ac:dyDescent="0.35">
      <c r="A98" s="168"/>
      <c r="B98" s="168"/>
      <c r="C98" s="168"/>
      <c r="D98" s="168"/>
      <c r="E98" s="168"/>
      <c r="F98" s="170"/>
      <c r="G98" s="170"/>
      <c r="H98" s="358"/>
    </row>
    <row r="99" spans="1:9" s="4" customFormat="1" x14ac:dyDescent="0.35">
      <c r="A99" s="168"/>
      <c r="B99" s="168"/>
      <c r="C99" s="168"/>
      <c r="D99" s="169" t="s">
        <v>145</v>
      </c>
      <c r="E99" s="168"/>
      <c r="F99" s="170"/>
      <c r="G99" s="170"/>
      <c r="H99" s="358"/>
    </row>
    <row r="100" spans="1:9" s="4" customFormat="1" x14ac:dyDescent="0.35">
      <c r="A100" s="168"/>
      <c r="B100" s="168"/>
      <c r="C100" s="168"/>
      <c r="D100" s="168"/>
      <c r="E100" s="172" t="s">
        <v>72</v>
      </c>
      <c r="F100" s="174"/>
      <c r="G100" s="174" t="str">
        <f>Inputs!$F$15</f>
        <v>£m (2017-18 FYA CPIH prices)</v>
      </c>
      <c r="H100" s="362">
        <f>H89</f>
        <v>0</v>
      </c>
    </row>
    <row r="101" spans="1:9" s="4" customFormat="1" x14ac:dyDescent="0.35">
      <c r="A101" s="168"/>
      <c r="B101" s="168"/>
      <c r="C101" s="168"/>
      <c r="D101" s="168"/>
      <c r="E101" s="172" t="s">
        <v>74</v>
      </c>
      <c r="F101" s="174"/>
      <c r="G101" s="174" t="str">
        <f>Inputs!$F$15</f>
        <v>£m (2017-18 FYA CPIH prices)</v>
      </c>
      <c r="H101" s="362">
        <f t="shared" ref="H101:H103" si="3">H90</f>
        <v>0</v>
      </c>
    </row>
    <row r="102" spans="1:9" s="4" customFormat="1" x14ac:dyDescent="0.35">
      <c r="A102" s="168"/>
      <c r="B102" s="168"/>
      <c r="C102" s="168"/>
      <c r="D102" s="168"/>
      <c r="E102" s="172" t="s">
        <v>76</v>
      </c>
      <c r="F102" s="174"/>
      <c r="G102" s="174" t="str">
        <f>Inputs!$F$15</f>
        <v>£m (2017-18 FYA CPIH prices)</v>
      </c>
      <c r="H102" s="362">
        <f t="shared" si="3"/>
        <v>0</v>
      </c>
    </row>
    <row r="103" spans="1:9" s="4" customFormat="1" x14ac:dyDescent="0.35">
      <c r="A103" s="168"/>
      <c r="B103" s="168"/>
      <c r="C103" s="168"/>
      <c r="D103" s="168"/>
      <c r="E103" s="172" t="s">
        <v>82</v>
      </c>
      <c r="F103" s="174"/>
      <c r="G103" s="174" t="str">
        <f>Inputs!$F$15</f>
        <v>£m (2017-18 FYA CPIH prices)</v>
      </c>
      <c r="H103" s="362">
        <f t="shared" si="3"/>
        <v>0</v>
      </c>
    </row>
    <row r="104" spans="1:9" s="4" customFormat="1" x14ac:dyDescent="0.35">
      <c r="A104" s="168"/>
      <c r="B104" s="168"/>
      <c r="C104" s="168"/>
      <c r="D104" s="168"/>
      <c r="E104" s="172" t="s">
        <v>78</v>
      </c>
      <c r="F104" s="174"/>
      <c r="G104" s="174" t="str">
        <f>Inputs!$F$15</f>
        <v>£m (2017-18 FYA CPIH prices)</v>
      </c>
      <c r="H104" s="362">
        <f>H96</f>
        <v>0</v>
      </c>
    </row>
    <row r="105" spans="1:9" s="4" customFormat="1" x14ac:dyDescent="0.35">
      <c r="A105" s="168"/>
      <c r="B105" s="168"/>
      <c r="C105" s="168"/>
      <c r="D105" s="168"/>
      <c r="E105" s="172" t="s">
        <v>80</v>
      </c>
      <c r="F105" s="174"/>
      <c r="G105" s="174" t="str">
        <f>Inputs!$F$15</f>
        <v>£m (2017-18 FYA CPIH prices)</v>
      </c>
      <c r="H105" s="362">
        <f>H97</f>
        <v>0</v>
      </c>
    </row>
    <row r="106" spans="1:9" s="4" customFormat="1" x14ac:dyDescent="0.35">
      <c r="A106" s="168"/>
      <c r="B106" s="168"/>
      <c r="C106" s="168"/>
      <c r="D106" s="168"/>
      <c r="E106" s="172" t="s">
        <v>84</v>
      </c>
      <c r="F106" s="174"/>
      <c r="G106" s="174" t="str">
        <f>Inputs!$F$15</f>
        <v>£m (2017-18 FYA CPIH prices)</v>
      </c>
      <c r="H106" s="362">
        <f>H93</f>
        <v>0</v>
      </c>
    </row>
    <row r="107" spans="1:9" s="4" customFormat="1" x14ac:dyDescent="0.35">
      <c r="A107" s="168"/>
      <c r="B107" s="168"/>
      <c r="C107" s="168"/>
      <c r="D107" s="168"/>
      <c r="E107" s="168"/>
      <c r="F107" s="170"/>
      <c r="G107" s="170"/>
      <c r="H107" s="358"/>
    </row>
    <row r="108" spans="1:9" s="9" customFormat="1" ht="13.15" x14ac:dyDescent="0.35">
      <c r="A108" s="83" t="s">
        <v>147</v>
      </c>
      <c r="B108" s="163"/>
      <c r="C108" s="163"/>
      <c r="D108" s="164"/>
      <c r="E108" s="86"/>
      <c r="F108" s="94"/>
      <c r="G108" s="94"/>
      <c r="H108" s="356"/>
      <c r="I108" s="87"/>
    </row>
    <row r="109" spans="1:9" s="4" customFormat="1" x14ac:dyDescent="0.35">
      <c r="A109" s="168"/>
      <c r="B109" s="168"/>
      <c r="C109" s="168"/>
      <c r="D109" s="168"/>
      <c r="E109" s="168"/>
      <c r="F109" s="170"/>
      <c r="G109" s="170"/>
      <c r="H109" s="358"/>
    </row>
    <row r="110" spans="1:9" s="4" customFormat="1" ht="13.15" x14ac:dyDescent="0.35">
      <c r="A110" s="168"/>
      <c r="B110" s="168"/>
      <c r="C110" s="173" t="s">
        <v>148</v>
      </c>
      <c r="D110" s="168"/>
      <c r="E110" s="168"/>
      <c r="F110" s="170"/>
      <c r="G110" s="170"/>
      <c r="H110" s="358"/>
    </row>
    <row r="111" spans="1:9" s="4" customFormat="1" ht="13.15" x14ac:dyDescent="0.35">
      <c r="A111" s="168"/>
      <c r="B111" s="168"/>
      <c r="C111" s="173"/>
      <c r="D111" s="168"/>
      <c r="E111" s="103" t="str">
        <f>Index!E18</f>
        <v>CPIH deflation factor from 2019-20 FYA to 2017-18 Nov</v>
      </c>
      <c r="F111" s="101">
        <f>Index!F18</f>
        <v>0.99538363578478173</v>
      </c>
      <c r="G111" s="103" t="str">
        <f>Index!G18</f>
        <v>Factor</v>
      </c>
      <c r="H111" s="358"/>
    </row>
    <row r="112" spans="1:9" s="4" customFormat="1" ht="13.15" x14ac:dyDescent="0.35">
      <c r="A112" s="168"/>
      <c r="B112" s="168"/>
      <c r="C112" s="173"/>
      <c r="D112" s="168"/>
      <c r="E112" s="168"/>
      <c r="F112" s="170"/>
      <c r="G112" s="170"/>
      <c r="H112" s="358"/>
    </row>
    <row r="113" spans="1:8" s="4" customFormat="1" x14ac:dyDescent="0.35">
      <c r="A113" s="168"/>
      <c r="B113" s="168"/>
      <c r="C113" s="168"/>
      <c r="D113" s="157" t="s">
        <v>149</v>
      </c>
      <c r="E113" s="139"/>
      <c r="F113" s="139"/>
      <c r="G113" s="139"/>
      <c r="H113" s="363"/>
    </row>
    <row r="114" spans="1:8" s="99" customFormat="1" x14ac:dyDescent="0.35">
      <c r="A114" s="97"/>
      <c r="B114" s="97"/>
      <c r="C114" s="97"/>
      <c r="D114" s="315"/>
      <c r="E114" s="168" t="s">
        <v>72</v>
      </c>
      <c r="F114" s="315"/>
      <c r="G114" s="315" t="str">
        <f t="shared" ref="G114:H114" si="4">G73</f>
        <v>£m (2017-18 FYA CPIH prices)</v>
      </c>
      <c r="H114" s="364">
        <f t="shared" si="4"/>
        <v>0</v>
      </c>
    </row>
    <row r="115" spans="1:8" s="99" customFormat="1" x14ac:dyDescent="0.35">
      <c r="A115" s="97"/>
      <c r="B115" s="97"/>
      <c r="C115" s="97"/>
      <c r="D115" s="315"/>
      <c r="E115" s="168" t="s">
        <v>74</v>
      </c>
      <c r="F115" s="315"/>
      <c r="G115" s="315" t="str">
        <f t="shared" ref="G115:H120" si="5">G74</f>
        <v>£m (2017-18 FYA CPIH prices)</v>
      </c>
      <c r="H115" s="364">
        <f t="shared" si="5"/>
        <v>0.38169311195248201</v>
      </c>
    </row>
    <row r="116" spans="1:8" s="99" customFormat="1" x14ac:dyDescent="0.35">
      <c r="A116" s="97"/>
      <c r="B116" s="97"/>
      <c r="C116" s="97"/>
      <c r="D116" s="315"/>
      <c r="E116" s="168" t="s">
        <v>76</v>
      </c>
      <c r="F116" s="315"/>
      <c r="G116" s="315" t="str">
        <f t="shared" si="5"/>
        <v>£m (2017-18 FYA CPIH prices)</v>
      </c>
      <c r="H116" s="364">
        <f t="shared" si="5"/>
        <v>-0.54396432671520401</v>
      </c>
    </row>
    <row r="117" spans="1:8" s="99" customFormat="1" x14ac:dyDescent="0.35">
      <c r="A117" s="97"/>
      <c r="B117" s="97"/>
      <c r="C117" s="97"/>
      <c r="D117" s="315"/>
      <c r="E117" s="168" t="s">
        <v>82</v>
      </c>
      <c r="F117" s="315"/>
      <c r="G117" s="315" t="str">
        <f t="shared" si="5"/>
        <v>£m (2017-18 FYA CPIH prices)</v>
      </c>
      <c r="H117" s="364">
        <f t="shared" si="5"/>
        <v>0</v>
      </c>
    </row>
    <row r="118" spans="1:8" s="99" customFormat="1" x14ac:dyDescent="0.35">
      <c r="A118" s="97"/>
      <c r="B118" s="97"/>
      <c r="C118" s="97"/>
      <c r="D118" s="315"/>
      <c r="E118" s="168" t="s">
        <v>78</v>
      </c>
      <c r="F118" s="315"/>
      <c r="G118" s="315" t="str">
        <f t="shared" si="5"/>
        <v>£m (2017-18 FYA CPIH prices)</v>
      </c>
      <c r="H118" s="364">
        <f t="shared" si="5"/>
        <v>0</v>
      </c>
    </row>
    <row r="119" spans="1:8" s="99" customFormat="1" x14ac:dyDescent="0.35">
      <c r="A119" s="97"/>
      <c r="B119" s="97"/>
      <c r="C119" s="97"/>
      <c r="D119" s="315"/>
      <c r="E119" s="168" t="s">
        <v>80</v>
      </c>
      <c r="F119" s="315"/>
      <c r="G119" s="315" t="str">
        <f t="shared" si="5"/>
        <v>£m (2017-18 FYA CPIH prices)</v>
      </c>
      <c r="H119" s="364">
        <f t="shared" si="5"/>
        <v>0</v>
      </c>
    </row>
    <row r="120" spans="1:8" s="99" customFormat="1" x14ac:dyDescent="0.35">
      <c r="A120" s="97"/>
      <c r="B120" s="97"/>
      <c r="C120" s="97"/>
      <c r="D120" s="315"/>
      <c r="E120" s="168" t="s">
        <v>84</v>
      </c>
      <c r="F120" s="315"/>
      <c r="G120" s="315" t="str">
        <f t="shared" si="5"/>
        <v>£m (2017-18 FYA CPIH prices)</v>
      </c>
      <c r="H120" s="364">
        <f t="shared" si="5"/>
        <v>0</v>
      </c>
    </row>
    <row r="121" spans="1:8" s="4" customFormat="1" x14ac:dyDescent="0.35">
      <c r="A121" s="168"/>
      <c r="B121" s="168"/>
      <c r="C121" s="168"/>
      <c r="D121" s="168"/>
      <c r="E121" s="168"/>
      <c r="F121" s="170"/>
      <c r="G121" s="170"/>
      <c r="H121" s="358"/>
    </row>
    <row r="122" spans="1:8" x14ac:dyDescent="0.35">
      <c r="D122" s="157" t="s">
        <v>149</v>
      </c>
    </row>
    <row r="123" spans="1:8" s="140" customFormat="1" x14ac:dyDescent="0.35">
      <c r="A123" s="175"/>
      <c r="B123" s="175"/>
      <c r="C123" s="175"/>
      <c r="D123" s="175"/>
      <c r="E123" s="172" t="s">
        <v>72</v>
      </c>
      <c r="F123" s="175"/>
      <c r="G123" s="175" t="str">
        <f>Inputs!$F$16</f>
        <v>£m (2017-18 Nov CPIH prices)</v>
      </c>
      <c r="H123" s="365">
        <f>H114*$F$111</f>
        <v>0</v>
      </c>
    </row>
    <row r="124" spans="1:8" s="140" customFormat="1" x14ac:dyDescent="0.35">
      <c r="A124" s="175"/>
      <c r="B124" s="175"/>
      <c r="C124" s="175"/>
      <c r="D124" s="175"/>
      <c r="E124" s="172" t="s">
        <v>74</v>
      </c>
      <c r="F124" s="175"/>
      <c r="G124" s="175" t="str">
        <f>Inputs!$F$16</f>
        <v>£m (2017-18 Nov CPIH prices)</v>
      </c>
      <c r="H124" s="365">
        <f t="shared" ref="H124:H129" si="6">H115*$F$111</f>
        <v>0.37993107752926925</v>
      </c>
    </row>
    <row r="125" spans="1:8" s="140" customFormat="1" x14ac:dyDescent="0.35">
      <c r="A125" s="175"/>
      <c r="B125" s="175"/>
      <c r="C125" s="175"/>
      <c r="D125" s="175"/>
      <c r="E125" s="172" t="s">
        <v>76</v>
      </c>
      <c r="F125" s="175"/>
      <c r="G125" s="175" t="str">
        <f>Inputs!$F$16</f>
        <v>£m (2017-18 Nov CPIH prices)</v>
      </c>
      <c r="H125" s="365">
        <f t="shared" si="6"/>
        <v>-0.54145318926300068</v>
      </c>
    </row>
    <row r="126" spans="1:8" s="140" customFormat="1" x14ac:dyDescent="0.35">
      <c r="A126" s="175"/>
      <c r="B126" s="175"/>
      <c r="C126" s="175"/>
      <c r="D126" s="175"/>
      <c r="E126" s="172" t="s">
        <v>82</v>
      </c>
      <c r="F126" s="175"/>
      <c r="G126" s="175" t="str">
        <f>Inputs!$F$16</f>
        <v>£m (2017-18 Nov CPIH prices)</v>
      </c>
      <c r="H126" s="365">
        <f t="shared" si="6"/>
        <v>0</v>
      </c>
    </row>
    <row r="127" spans="1:8" s="140" customFormat="1" x14ac:dyDescent="0.35">
      <c r="A127" s="175"/>
      <c r="B127" s="175"/>
      <c r="C127" s="175"/>
      <c r="D127" s="175"/>
      <c r="E127" s="172" t="s">
        <v>78</v>
      </c>
      <c r="F127" s="175"/>
      <c r="G127" s="175" t="str">
        <f>Inputs!$F$16</f>
        <v>£m (2017-18 Nov CPIH prices)</v>
      </c>
      <c r="H127" s="365">
        <f t="shared" si="6"/>
        <v>0</v>
      </c>
    </row>
    <row r="128" spans="1:8" s="140" customFormat="1" x14ac:dyDescent="0.35">
      <c r="A128" s="175"/>
      <c r="B128" s="175"/>
      <c r="C128" s="175"/>
      <c r="D128" s="175"/>
      <c r="E128" s="172" t="s">
        <v>80</v>
      </c>
      <c r="F128" s="175"/>
      <c r="G128" s="175" t="str">
        <f>Inputs!$F$16</f>
        <v>£m (2017-18 Nov CPIH prices)</v>
      </c>
      <c r="H128" s="365">
        <f t="shared" si="6"/>
        <v>0</v>
      </c>
    </row>
    <row r="129" spans="1:9" s="140" customFormat="1" x14ac:dyDescent="0.35">
      <c r="A129" s="175"/>
      <c r="B129" s="175"/>
      <c r="C129" s="175"/>
      <c r="D129" s="175"/>
      <c r="E129" s="172" t="s">
        <v>84</v>
      </c>
      <c r="F129" s="175"/>
      <c r="G129" s="175" t="str">
        <f>Inputs!$F$16</f>
        <v>£m (2017-18 Nov CPIH prices)</v>
      </c>
      <c r="H129" s="365">
        <f t="shared" si="6"/>
        <v>0</v>
      </c>
    </row>
    <row r="131" spans="1:9" s="33" customFormat="1" ht="13.15" x14ac:dyDescent="0.35">
      <c r="A131" s="130" t="s">
        <v>127</v>
      </c>
      <c r="B131" s="176"/>
      <c r="C131" s="177"/>
      <c r="D131" s="178"/>
      <c r="E131" s="179"/>
      <c r="F131" s="179"/>
      <c r="G131" s="179"/>
      <c r="H131" s="366"/>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rintOptions headings="1"/>
  <pageMargins left="0.7" right="0.7" top="0.75" bottom="0.75" header="0.3" footer="0.3"/>
  <pageSetup paperSize="9" scale="29"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outlinePr summaryBelow="0" summaryRight="0"/>
    <pageSetUpPr fitToPage="1"/>
  </sheetPr>
  <dimension ref="A1:T108"/>
  <sheetViews>
    <sheetView zoomScaleNormal="100" workbookViewId="0"/>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resources</v>
      </c>
      <c r="B1" s="183"/>
      <c r="C1" s="184"/>
      <c r="D1" s="180"/>
      <c r="E1" s="180"/>
      <c r="F1" s="180"/>
      <c r="G1" s="180"/>
      <c r="H1" s="91" t="str">
        <f>Inputs!F9</f>
        <v>Wessex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213"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s="213" customFormat="1" ht="13.15" x14ac:dyDescent="0.35">
      <c r="A8" s="214"/>
      <c r="B8" s="215"/>
      <c r="C8" s="216"/>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0.37993107752926925</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-0.54145318926300068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tr">
        <f ca="1">A1</f>
        <v>Water resources</v>
      </c>
    </row>
    <row r="19" spans="1:20" s="213" customFormat="1" ht="13.15" x14ac:dyDescent="0.35">
      <c r="A19" s="214"/>
      <c r="B19" s="215"/>
      <c r="C19" s="216"/>
      <c r="E19" s="213" t="s">
        <v>153</v>
      </c>
      <c r="G19" s="213" t="str">
        <f ca="1">VLOOKUP($F18,$E$10:$H$16,3,FALSE)</f>
        <v>£m (2017-18 Nov CPIH prices)</v>
      </c>
      <c r="H19" s="213">
        <f ca="1">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ca="1"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ca="1" si="2"/>
        <v>0</v>
      </c>
      <c r="Q29" s="213">
        <f t="shared" si="2"/>
        <v>0</v>
      </c>
      <c r="R29" s="213">
        <f t="shared" si="2"/>
        <v>0</v>
      </c>
      <c r="S29" s="213">
        <f t="shared" si="2"/>
        <v>0</v>
      </c>
      <c r="T29" s="213">
        <f t="shared" si="2"/>
        <v>0</v>
      </c>
    </row>
    <row r="30" spans="1:20" s="213" customFormat="1" ht="13.15" x14ac:dyDescent="0.35">
      <c r="A30" s="214"/>
      <c r="B30" s="215"/>
      <c r="C30" s="216"/>
    </row>
    <row r="31" spans="1:20" s="213"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s="213" customFormat="1" ht="13.15" x14ac:dyDescent="0.35">
      <c r="A32" s="214"/>
      <c r="B32" s="215"/>
      <c r="C32" s="216"/>
    </row>
    <row r="33" spans="1:20" s="213" customFormat="1" ht="13.15" x14ac:dyDescent="0.35">
      <c r="A33" s="214"/>
      <c r="B33" s="215"/>
      <c r="E33" s="219" t="str">
        <f xml:space="preserve"> Inputs!E$93</f>
        <v>Allowed revenue starting point in FD</v>
      </c>
      <c r="F33" s="219">
        <f xml:space="preserve"> Inputs!F$93</f>
        <v>0</v>
      </c>
      <c r="G33" s="219" t="str">
        <f xml:space="preserve"> Inputs!G$93</f>
        <v>£m (nominal)</v>
      </c>
      <c r="H33" s="219">
        <f xml:space="preserve"> Inputs!H$93</f>
        <v>0</v>
      </c>
      <c r="I33" s="219">
        <f xml:space="preserve"> Inputs!I$93</f>
        <v>0</v>
      </c>
      <c r="J33" s="219">
        <f xml:space="preserve"> Inputs!J$93</f>
        <v>0</v>
      </c>
      <c r="K33" s="219">
        <f xml:space="preserve"> Inputs!K$93</f>
        <v>0</v>
      </c>
      <c r="L33" s="219">
        <f xml:space="preserve"> Inputs!L$93</f>
        <v>0</v>
      </c>
      <c r="M33" s="219">
        <f xml:space="preserve"> Inputs!M$93</f>
        <v>0</v>
      </c>
      <c r="N33" s="219">
        <f xml:space="preserve"> Inputs!N$93</f>
        <v>18.364776633526738</v>
      </c>
      <c r="O33" s="219">
        <f xml:space="preserve"> Inputs!O$93</f>
        <v>0</v>
      </c>
      <c r="P33" s="219">
        <f xml:space="preserve"> Inputs!P$93</f>
        <v>0</v>
      </c>
      <c r="Q33" s="219">
        <f xml:space="preserve"> Inputs!Q$93</f>
        <v>0</v>
      </c>
      <c r="R33" s="219">
        <f xml:space="preserve"> Inputs!R$93</f>
        <v>0</v>
      </c>
      <c r="S33" s="219">
        <f xml:space="preserve"> Inputs!S$93</f>
        <v>0</v>
      </c>
      <c r="T33" s="219">
        <f xml:space="preserve"> Inputs!T$93</f>
        <v>0</v>
      </c>
    </row>
    <row r="34" spans="1:20" s="213" customFormat="1" ht="13.15" x14ac:dyDescent="0.35">
      <c r="A34" s="214"/>
      <c r="B34" s="215"/>
      <c r="E34" s="213" t="str">
        <f xml:space="preserve"> E33</f>
        <v>Allowed revenue starting point in FD</v>
      </c>
      <c r="H34" s="213">
        <f xml:space="preserve"> SUM( J33:T33 )</f>
        <v>18.364776633526738</v>
      </c>
      <c r="I34" s="219"/>
      <c r="J34" s="219"/>
      <c r="K34" s="219"/>
      <c r="L34" s="219"/>
      <c r="M34" s="219"/>
      <c r="N34" s="219"/>
      <c r="O34" s="219"/>
      <c r="P34" s="219"/>
      <c r="Q34" s="219"/>
      <c r="R34" s="219"/>
      <c r="S34" s="219"/>
      <c r="T34" s="219"/>
    </row>
    <row r="35" spans="1:20" s="213" customFormat="1" ht="13.15" x14ac:dyDescent="0.35">
      <c r="A35" s="214"/>
      <c r="B35" s="215"/>
      <c r="C35" s="216"/>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213" customFormat="1" ht="13.15" x14ac:dyDescent="0.35">
      <c r="A36" s="214"/>
      <c r="B36" s="215"/>
      <c r="E36" s="233" t="str">
        <f xml:space="preserve"> Inputs!E$94</f>
        <v>K factors (last determined)</v>
      </c>
      <c r="F36" s="233">
        <f xml:space="preserve"> Inputs!F$94</f>
        <v>0</v>
      </c>
      <c r="G36" s="233" t="str">
        <f xml:space="preserve"> Inputs!G$94</f>
        <v>Number</v>
      </c>
      <c r="H36" s="233">
        <f xml:space="preserve"> Inputs!H$94</f>
        <v>0</v>
      </c>
      <c r="I36" s="233">
        <f xml:space="preserve"> Inputs!I$94</f>
        <v>0</v>
      </c>
      <c r="J36" s="219">
        <f xml:space="preserve"> Inputs!J$94</f>
        <v>0</v>
      </c>
      <c r="K36" s="219">
        <f xml:space="preserve"> Inputs!K$94</f>
        <v>0</v>
      </c>
      <c r="L36" s="219">
        <f xml:space="preserve"> Inputs!L$94</f>
        <v>0</v>
      </c>
      <c r="M36" s="219">
        <f xml:space="preserve"> Inputs!M$94</f>
        <v>0</v>
      </c>
      <c r="N36" s="219">
        <f xml:space="preserve"> Inputs!N$94</f>
        <v>0</v>
      </c>
      <c r="O36" s="219">
        <f xml:space="preserve"> Inputs!O$94</f>
        <v>0</v>
      </c>
      <c r="P36" s="219">
        <f xml:space="preserve"> Inputs!P$94</f>
        <v>3.95</v>
      </c>
      <c r="Q36" s="219">
        <f xml:space="preserve"> Inputs!Q$94</f>
        <v>0.4</v>
      </c>
      <c r="R36" s="219">
        <f xml:space="preserve"> Inputs!R$94</f>
        <v>0.5</v>
      </c>
      <c r="S36" s="219">
        <f xml:space="preserve"> Inputs!S$94</f>
        <v>0.44</v>
      </c>
      <c r="T36" s="219">
        <f xml:space="preserve"> Inputs!T$94</f>
        <v>0</v>
      </c>
    </row>
    <row r="37" spans="1:20" s="213" customFormat="1" ht="13.15" x14ac:dyDescent="0.35">
      <c r="A37" s="214"/>
      <c r="B37" s="215"/>
      <c r="E37" s="316" t="s">
        <v>159</v>
      </c>
      <c r="F37" s="316"/>
      <c r="G37" s="316" t="s">
        <v>130</v>
      </c>
      <c r="H37" s="316"/>
      <c r="I37" s="316"/>
      <c r="J37" s="270">
        <f>J36/100</f>
        <v>0</v>
      </c>
      <c r="K37" s="270">
        <f t="shared" ref="K37:T37" si="3">K36/100</f>
        <v>0</v>
      </c>
      <c r="L37" s="270">
        <f t="shared" si="3"/>
        <v>0</v>
      </c>
      <c r="M37" s="270">
        <f t="shared" si="3"/>
        <v>0</v>
      </c>
      <c r="N37" s="270">
        <f t="shared" si="3"/>
        <v>0</v>
      </c>
      <c r="O37" s="270">
        <f t="shared" si="3"/>
        <v>0</v>
      </c>
      <c r="P37" s="270">
        <f t="shared" si="3"/>
        <v>3.95E-2</v>
      </c>
      <c r="Q37" s="270">
        <f t="shared" si="3"/>
        <v>4.0000000000000001E-3</v>
      </c>
      <c r="R37" s="270">
        <f t="shared" si="3"/>
        <v>5.0000000000000001E-3</v>
      </c>
      <c r="S37" s="270">
        <f t="shared" si="3"/>
        <v>4.4000000000000003E-3</v>
      </c>
      <c r="T37" s="270">
        <f t="shared" si="3"/>
        <v>0</v>
      </c>
    </row>
    <row r="38" spans="1:20" s="219" customFormat="1" ht="13.15" x14ac:dyDescent="0.35">
      <c r="A38" s="217"/>
      <c r="B38" s="218"/>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116.29307418494955</v>
      </c>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18.639647004094023</v>
      </c>
      <c r="P39" s="213">
        <f xml:space="preserve"> IF(P35=1, $H34 * (1+P38+P37), O39 *  (1+P38+P37))</f>
        <v>19.375913060755739</v>
      </c>
      <c r="Q39" s="213">
        <f xml:space="preserve"> IF(Q35=1, $H34 * (1+Q38+Q37), P39 *  (1+Q38+Q37))</f>
        <v>19.453416712998763</v>
      </c>
      <c r="R39" s="213">
        <f t="shared" si="4"/>
        <v>19.550683796563753</v>
      </c>
      <c r="S39" s="213">
        <f t="shared" si="4"/>
        <v>19.636706805268634</v>
      </c>
      <c r="T39" s="213">
        <f t="shared" si="4"/>
        <v>19.636706805268634</v>
      </c>
    </row>
    <row r="40" spans="1:20" s="213" customFormat="1" ht="13.15" x14ac:dyDescent="0.35">
      <c r="A40" s="214"/>
      <c r="B40" s="215"/>
      <c r="C40" s="216"/>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ca="1"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ca="1"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ca="1"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ca="1"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ca="1" si="8"/>
        <v>0</v>
      </c>
      <c r="I50" s="213">
        <f t="shared" si="8"/>
        <v>0</v>
      </c>
      <c r="J50" s="213">
        <f t="shared" si="8"/>
        <v>0</v>
      </c>
      <c r="K50" s="213">
        <f t="shared" si="8"/>
        <v>0</v>
      </c>
      <c r="L50" s="213">
        <f t="shared" si="8"/>
        <v>0</v>
      </c>
      <c r="M50" s="213">
        <f t="shared" si="8"/>
        <v>0</v>
      </c>
      <c r="N50" s="213">
        <f t="shared" si="8"/>
        <v>0</v>
      </c>
      <c r="O50" s="213">
        <f t="shared" si="8"/>
        <v>0</v>
      </c>
      <c r="P50" s="213">
        <f t="shared" ca="1"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ca="1"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ca="1"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ca="1" si="11"/>
        <v>0</v>
      </c>
      <c r="I54" s="213">
        <f t="shared" si="11"/>
        <v>0</v>
      </c>
      <c r="J54" s="221">
        <f t="shared" si="11"/>
        <v>0</v>
      </c>
      <c r="K54" s="221">
        <f t="shared" si="11"/>
        <v>0</v>
      </c>
      <c r="L54" s="221">
        <f t="shared" si="11"/>
        <v>0</v>
      </c>
      <c r="M54" s="221">
        <f t="shared" si="11"/>
        <v>0</v>
      </c>
      <c r="N54" s="221">
        <f t="shared" si="11"/>
        <v>0</v>
      </c>
      <c r="O54" s="221">
        <f t="shared" si="11"/>
        <v>0</v>
      </c>
      <c r="P54" s="221">
        <f t="shared" ca="1"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ca="1" si="12"/>
        <v>0</v>
      </c>
      <c r="I55" s="213">
        <f t="shared" si="12"/>
        <v>0</v>
      </c>
      <c r="J55" s="221">
        <f t="shared" si="12"/>
        <v>0</v>
      </c>
      <c r="K55" s="221">
        <f t="shared" si="12"/>
        <v>0</v>
      </c>
      <c r="L55" s="221">
        <f t="shared" si="12"/>
        <v>0</v>
      </c>
      <c r="M55" s="221">
        <f t="shared" si="12"/>
        <v>0</v>
      </c>
      <c r="N55" s="221">
        <f t="shared" si="12"/>
        <v>0</v>
      </c>
      <c r="O55" s="221">
        <f t="shared" si="12"/>
        <v>0</v>
      </c>
      <c r="P55" s="221">
        <f t="shared" ca="1"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ca="1"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ca="1"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116.29307418494955</v>
      </c>
      <c r="I58" s="213">
        <f t="shared" si="14"/>
        <v>0</v>
      </c>
      <c r="J58" s="221">
        <f t="shared" si="14"/>
        <v>0</v>
      </c>
      <c r="K58" s="221">
        <f t="shared" si="14"/>
        <v>0</v>
      </c>
      <c r="L58" s="221">
        <f t="shared" si="14"/>
        <v>0</v>
      </c>
      <c r="M58" s="221">
        <f t="shared" si="14"/>
        <v>0</v>
      </c>
      <c r="N58" s="221">
        <f t="shared" si="14"/>
        <v>0</v>
      </c>
      <c r="O58" s="221">
        <f t="shared" si="14"/>
        <v>18.639647004094023</v>
      </c>
      <c r="P58" s="221">
        <f t="shared" si="14"/>
        <v>19.375913060755739</v>
      </c>
      <c r="Q58" s="221">
        <f t="shared" si="14"/>
        <v>19.453416712998763</v>
      </c>
      <c r="R58" s="221">
        <f t="shared" si="14"/>
        <v>19.550683796563753</v>
      </c>
      <c r="S58" s="221">
        <f t="shared" si="14"/>
        <v>19.636706805268634</v>
      </c>
      <c r="T58" s="221">
        <f t="shared" si="14"/>
        <v>19.636706805268634</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ca="1" si="15"/>
        <v>0</v>
      </c>
      <c r="I59" s="213">
        <f t="shared" si="15"/>
        <v>0</v>
      </c>
      <c r="J59" s="221">
        <f t="shared" si="15"/>
        <v>0</v>
      </c>
      <c r="K59" s="221">
        <f t="shared" si="15"/>
        <v>0</v>
      </c>
      <c r="L59" s="221">
        <f t="shared" si="15"/>
        <v>0</v>
      </c>
      <c r="M59" s="221">
        <f t="shared" si="15"/>
        <v>0</v>
      </c>
      <c r="N59" s="221">
        <f t="shared" si="15"/>
        <v>0</v>
      </c>
      <c r="O59" s="221">
        <f t="shared" si="15"/>
        <v>0</v>
      </c>
      <c r="P59" s="221">
        <f t="shared" ca="1"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ca="1" xml:space="preserve"> SUM( J60:T60 )</f>
        <v>116.29307418494955</v>
      </c>
      <c r="J60" s="221">
        <f xml:space="preserve"> J58 + J59</f>
        <v>0</v>
      </c>
      <c r="K60" s="221">
        <f t="shared" ref="K60:T60" si="16" xml:space="preserve"> K58 + K59</f>
        <v>0</v>
      </c>
      <c r="L60" s="221">
        <f t="shared" si="16"/>
        <v>0</v>
      </c>
      <c r="M60" s="221">
        <f t="shared" si="16"/>
        <v>0</v>
      </c>
      <c r="N60" s="221">
        <f t="shared" si="16"/>
        <v>0</v>
      </c>
      <c r="O60" s="221">
        <f t="shared" si="16"/>
        <v>18.639647004094023</v>
      </c>
      <c r="P60" s="221">
        <f t="shared" ca="1" si="16"/>
        <v>19.375913060755739</v>
      </c>
      <c r="Q60" s="221">
        <f t="shared" si="16"/>
        <v>19.453416712998763</v>
      </c>
      <c r="R60" s="221">
        <f t="shared" si="16"/>
        <v>19.550683796563753</v>
      </c>
      <c r="S60" s="221">
        <f t="shared" si="16"/>
        <v>19.636706805268634</v>
      </c>
      <c r="T60" s="221">
        <f t="shared" si="16"/>
        <v>19.636706805268634</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ca="1" si="17"/>
        <v>116.29307418494955</v>
      </c>
      <c r="I63" s="213">
        <f t="shared" si="17"/>
        <v>0</v>
      </c>
      <c r="J63" s="213">
        <f t="shared" si="17"/>
        <v>0</v>
      </c>
      <c r="K63" s="213">
        <f t="shared" si="17"/>
        <v>0</v>
      </c>
      <c r="L63" s="213">
        <f t="shared" si="17"/>
        <v>0</v>
      </c>
      <c r="M63" s="213">
        <f t="shared" si="17"/>
        <v>0</v>
      </c>
      <c r="N63" s="213">
        <f t="shared" si="17"/>
        <v>0</v>
      </c>
      <c r="O63" s="213">
        <f t="shared" si="17"/>
        <v>18.639647004094023</v>
      </c>
      <c r="P63" s="213">
        <f t="shared" ca="1" si="17"/>
        <v>19.375913060755739</v>
      </c>
      <c r="Q63" s="213">
        <f t="shared" si="17"/>
        <v>19.453416712998763</v>
      </c>
      <c r="R63" s="213">
        <f t="shared" si="17"/>
        <v>19.550683796563753</v>
      </c>
      <c r="S63" s="213">
        <f t="shared" si="17"/>
        <v>19.636706805268634</v>
      </c>
      <c r="T63" s="213">
        <f t="shared" si="17"/>
        <v>19.636706805268634</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ca="1" si="18"/>
        <v>3.9500000000000091E-2</v>
      </c>
      <c r="Q64" s="268">
        <f t="shared" ca="1" si="18"/>
        <v>4.0000000000000036E-3</v>
      </c>
      <c r="R64" s="268">
        <f t="shared" si="18"/>
        <v>4.9999999999998934E-3</v>
      </c>
      <c r="S64" s="268">
        <f t="shared" si="18"/>
        <v>4.3999999999999595E-3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ca="1" si="21"/>
        <v>3.9500000000000091E-2</v>
      </c>
      <c r="Q69" s="270">
        <f t="shared" ca="1" si="21"/>
        <v>4.0000000000000036E-3</v>
      </c>
      <c r="R69" s="270">
        <f t="shared" si="21"/>
        <v>4.9999999999998934E-3</v>
      </c>
      <c r="S69" s="270">
        <f t="shared" si="21"/>
        <v>4.3999999999999595E-3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ca="1" si="23"/>
        <v>3.9500000000000091E-2</v>
      </c>
      <c r="Q72" s="268">
        <f t="shared" ca="1" si="23"/>
        <v>4.0000000000000036E-3</v>
      </c>
      <c r="R72" s="268">
        <f t="shared" si="23"/>
        <v>4.9999999999998934E-3</v>
      </c>
      <c r="S72" s="268">
        <f t="shared" si="23"/>
        <v>4.3999999999999595E-3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ca="1" si="24"/>
        <v>3.9500000000000091E-2</v>
      </c>
      <c r="Q74" s="270">
        <f t="shared" ca="1" si="24"/>
        <v>4.0000000000000036E-3</v>
      </c>
      <c r="R74" s="270">
        <f t="shared" si="24"/>
        <v>4.9999999999998934E-3</v>
      </c>
      <c r="S74" s="270">
        <f t="shared" si="24"/>
        <v>4.3999999999999595E-3</v>
      </c>
      <c r="T74" s="270">
        <f t="shared" si="24"/>
        <v>0</v>
      </c>
    </row>
    <row r="75" spans="1:20" s="213" customFormat="1" ht="13.15" x14ac:dyDescent="0.35">
      <c r="A75" s="214"/>
      <c r="B75" s="215"/>
      <c r="E75" s="221" t="str">
        <f ca="1">CONCATENATE("Revised K - ",F18)</f>
        <v>Revised K - Water resources</v>
      </c>
      <c r="G75" s="221" t="s">
        <v>130</v>
      </c>
      <c r="J75" s="319">
        <f>IF(J74&gt;=0,ROUNDUP(ROUNDDOWN(J74,5),4),ROUNDDOWN(ROUNDUP(J74,5),4))</f>
        <v>0</v>
      </c>
      <c r="K75" s="319">
        <f t="shared" ref="K75:T75" si="25">IF(K74&gt;=0,ROUNDUP(ROUNDDOWN(K74,5),4),ROUNDDOWN(ROUNDUP(K74,5),4))</f>
        <v>0</v>
      </c>
      <c r="L75" s="319">
        <f>IF(L74&gt;=0,ROUNDUP(ROUNDDOWN(L74,5),4),ROUNDDOWN(ROUNDUP(L74,5),4))</f>
        <v>0</v>
      </c>
      <c r="M75" s="319">
        <f t="shared" si="25"/>
        <v>0</v>
      </c>
      <c r="N75" s="319">
        <f t="shared" si="25"/>
        <v>0</v>
      </c>
      <c r="O75" s="319">
        <f t="shared" si="25"/>
        <v>0</v>
      </c>
      <c r="P75" s="319">
        <f ca="1">IF(P74&gt;=0,ROUNDUP(ROUNDDOWN(P74,5),4),ROUNDDOWN(ROUNDUP(P74,5),4))</f>
        <v>3.95E-2</v>
      </c>
      <c r="Q75" s="319">
        <f t="shared" ca="1" si="25"/>
        <v>4.0000000000000001E-3</v>
      </c>
      <c r="R75" s="319">
        <f t="shared" si="25"/>
        <v>5.0000000000000001E-3</v>
      </c>
      <c r="S75" s="319">
        <f t="shared" si="25"/>
        <v>4.4000000000000003E-3</v>
      </c>
      <c r="T75" s="319">
        <f t="shared" si="25"/>
        <v>0</v>
      </c>
    </row>
    <row r="76" spans="1:20" s="242" customFormat="1" ht="13.15" x14ac:dyDescent="0.35">
      <c r="A76" s="240"/>
      <c r="B76" s="241"/>
      <c r="E76" s="318" t="str">
        <f ca="1">CONCATENATE("Revised K - ",F18)</f>
        <v>Revised K - Water resources</v>
      </c>
      <c r="G76" s="318" t="s">
        <v>172</v>
      </c>
      <c r="H76" s="243"/>
      <c r="I76" s="243"/>
      <c r="J76" s="242">
        <f>J75*100</f>
        <v>0</v>
      </c>
      <c r="K76" s="242">
        <f t="shared" ref="K76:T76" si="26">K75*100</f>
        <v>0</v>
      </c>
      <c r="L76" s="242">
        <f t="shared" si="26"/>
        <v>0</v>
      </c>
      <c r="M76" s="242">
        <f t="shared" si="26"/>
        <v>0</v>
      </c>
      <c r="N76" s="242">
        <f t="shared" si="26"/>
        <v>0</v>
      </c>
      <c r="O76" s="242">
        <f t="shared" si="26"/>
        <v>0</v>
      </c>
      <c r="P76" s="242">
        <f t="shared" ca="1" si="26"/>
        <v>3.95</v>
      </c>
      <c r="Q76" s="242">
        <f t="shared" ca="1" si="26"/>
        <v>0.4</v>
      </c>
      <c r="R76" s="242">
        <f t="shared" si="26"/>
        <v>0.5</v>
      </c>
      <c r="S76" s="242">
        <f t="shared" si="26"/>
        <v>0.44</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s="213" customFormat="1"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x14ac:dyDescent="0.3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F4FA8D3F-37B2-43F3-8C4E-A5D49A742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14C2B2-1ED8-4507-A7FB-C8E199F0C06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Residential retail</vt:lpstr>
      <vt:lpstr>Business retail</vt:lpstr>
      <vt:lpstr>Bioresources (sludge)</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2020-09-17T17:15:49Z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ies>
</file>