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<sst xmlns="http://schemas.openxmlformats.org/spreadsheetml/2006/main" count="1387" uniqueCount="479">
  <si>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</si>
  <si>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</si>
  <si>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</si>
  <si>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</si>
  <si>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</si>
  <si>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</si>
  <si>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</si>
  <si>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</si>
  <si>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</si>
  <si>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</si>
  <si>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</si>
  <si>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</si>
  <si>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</si>
  <si>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</si>
  <si>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</si>
  <si>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</si>
  <si>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</si>
  <si>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</si>
  <si>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</si>
  <si>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</si>
  <si>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</si>
  <si>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</si>
  <si>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</si>
  <si>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</si>
  <si>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</si>
  <si>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</si>
  <si>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</si>
  <si>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</si>
  <si>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</si>
  <si>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</si>
  <si>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</si>
  <si>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</si>
  <si>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</si>
  <si>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</si>
  <si>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</si>
  <si>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</si>
  <si>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</si>
  <si>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</si>
  <si>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</si>
  <si>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</si>
  <si>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</si>
  <si>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</si>
  <si>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</si>
  <si>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</si>
  <si>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</si>
  <si>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</si>
  <si>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</si>
  <si>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</si>
  <si>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</si>
  <si>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</si>
  <si>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</si>
  <si>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</si>
  <si>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</si>
  <si>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</si>
  <si>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</si>
  <si>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</si>
  <si>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</si>
  <si>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</si>
  <si>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</si>
  <si>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</si>
  <si>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</si>
  <si>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</si>
  <si>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</si>
  <si>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</si>
  <si>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</si>
  <si>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</si>
  <si>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</si>
  <si>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</si>
  <si>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</si>
  <si>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</si>
  <si>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</si>
  <si>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</si>
  <si>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</si>
  <si>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</si>
  <si>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</si>
  <si>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</si>
  <si>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</si>
  <si>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</si>
  <si>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</si>
  <si>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</si>
  <si>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</si>
  <si>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</si>
  <si>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</si>
  <si>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</si>
  <si>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</si>
  <si>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</si>
  <si>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</si>
  <si>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</si>
  <si>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</si>
  <si>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</si>
  <si>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</si>
  <si>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</si>
  <si>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</si>
  <si>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</si>
  <si>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</si>
  <si>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</si>
  <si>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</si>
  <si>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</si>
  <si>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</si>
  <si>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</si>
  <si>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</si>
  <si>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</si>
  <si>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</si>
  <si>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</si>
  <si>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</si>
  <si>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</si>
  <si>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</si>
  <si>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</si>
  <si>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</si>
  <si>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</si>
  <si>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</si>
  <si>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</si>
  <si>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</si>
  <si>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</si>
  <si>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</si>
  <si>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</si>
  <si>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</si>
  <si>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</si>
  <si>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</si>
  <si>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</si>
  <si>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</si>
  <si>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</si>
  <si>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</si>
  <si>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</si>
  <si>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</si>
  <si>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</si>
  <si>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</si>
  <si>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</si>
  <si>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</si>
  <si>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</si>
  <si>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</si>
  <si>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</si>
  <si>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</si>
  <si>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</si>
  <si>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</si>
  <si>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</si>
  <si>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</si>
  <si>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</si>
  <si>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</si>
  <si>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</si>
  <si>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</si>
  <si>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</si>
  <si>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</si>
  <si>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</si>
  <si>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</si>
  <si>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</si>
  <si>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</si>
  <si>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</si>
  <si>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</si>
  <si>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</si>
  <si>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</si>
  <si>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</si>
  <si>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</si>
  <si>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</si>
  <si>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</si>
  <si>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</si>
  <si>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</si>
  <si>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</si>
  <si>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</si>
  <si>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</si>
  <si>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</si>
  <si>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</si>
  <si>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</si>
  <si>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</si>
  <si>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</si>
  <si>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</si>
  <si>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</si>
  <si>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</si>
  <si>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</si>
  <si>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</si>
  <si>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</si>
  <si>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</si>
  <si>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</si>
  <si>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</si>
  <si>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</si>
  <si>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</si>
  <si>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</si>
  <si>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</si>
  <si>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</si>
  <si>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</si>
  <si>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</si>
  <si>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</si>
  <si>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</si>
  <si>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</si>
  <si>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</si>
  <si>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</si>
  <si>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</si>
  <si>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</si>
  <si>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</si>
  <si>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</si>
  <si>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</si>
  <si>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</si>
  <si>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</si>
  <si>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</si>
  <si>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</si>
  <si>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</si>
  <si>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</si>
  <si>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</si>
  <si>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</si>
  <si>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</si>
  <si>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</si>
  <si>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</si>
  <si>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</si>
  <si>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</si>
  <si>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</si>
  <si>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</si>
  <si>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</si>
  <si>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</si>
  <si>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</si>
  <si>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</si>
  <si>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</si>
  <si>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</si>
  <si>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</si>
  <si>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</si>
  <si>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</si>
  <si>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</si>
  <si>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</si>
  <si>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</si>
  <si>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</si>
  <si>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</si>
  <si>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</si>
  <si>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</si>
  <si>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</si>
  <si>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</si>
  <si>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</si>
  <si>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</si>
  <si>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</si>
  <si>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</si>
  <si>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</si>
  <si>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</si>
  <si>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</si>
  <si>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</si>
  <si>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</si>
  <si>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</si>
  <si>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</si>
  <si>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</si>
  <si>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</si>
  <si>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</si>
  <si>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</si>
  <si>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</si>
  <si>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</si>
  <si>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</si>
  <si>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</si>
  <si>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</si>
  <si>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</si>
  <si>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</si>
  <si>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</si>
  <si>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</si>
  <si>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</si>
  <si>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</si>
  <si>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</si>
  <si>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</si>
  <si>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</si>
  <si>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</si>
  <si>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</si>
  <si>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</si>
  <si>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</si>
  <si>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</si>
  <si>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</si>
  <si>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</si>
  <si>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</si>
  <si>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</si>
  <si>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</si>
  <si>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</si>
  <si>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</si>
  <si>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</si>
  <si>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</si>
  <si>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</si>
  <si>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</si>
  <si>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</si>
  <si>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</si>
  <si>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</si>
  <si>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</si>
  <si>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</si>
  <si>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</si>
  <si>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</si>
  <si>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</si>
  <si>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</si>
  <si>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</si>
  <si>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</si>
  <si>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</si>
  <si>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</si>
  <si>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</si>
  <si>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</si>
  <si>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</si>
  <si>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</si>
  <si>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</si>
  <si>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</si>
  <si>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</si>
  <si>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</si>
  <si>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</si>
  <si>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</si>
  <si>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</si>
  <si>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</si>
  <si>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</si>
  <si>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</si>
  <si>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</si>
  <si>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</si>
  <si>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</si>
  <si>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</si>
  <si>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</si>
  <si>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</si>
  <si>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</si>
  <si>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</si>
  <si>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</si>
  <si>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</si>
  <si>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</si>
  <si>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</si>
  <si>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</si>
  <si>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</si>
  <si>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</si>
  <si>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</si>
  <si>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</si>
  <si>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</si>
  <si>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</si>
  <si>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</si>
  <si>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</si>
  <si>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</si>
  <si>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</si>
  <si>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</si>
  <si>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</si>
  <si>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</si>
  <si>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</si>
  <si>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</si>
  <si>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</si>
  <si>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</si>
  <si>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</si>
  <si>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</si>
  <si>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</si>
  <si>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</si>
  <si>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</si>
  <si>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</si>
  <si>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</si>
  <si>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</si>
  <si>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</si>
  <si>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</si>
  <si>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</si>
  <si>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</si>
  <si>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</si>
  <si>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</si>
  <si>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</si>
  <si>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</si>
  <si>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</si>
  <si>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</si>
  <si>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</si>
  <si>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</si>
  <si>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</si>
  <si>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</si>
  <si>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</si>
  <si>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</si>
  <si>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</si>
  <si>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</si>
  <si>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</si>
  <si>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</si>
  <si>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</si>
  <si>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</si>
  <si>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</si>
  <si>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</si>
  <si>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</si>
  <si>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</si>
  <si>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</si>
  <si>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</si>
  <si>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</si>
  <si>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</si>
  <si>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</si>
  <si>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</si>
  <si>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</si>
  <si>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</si>
  <si>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</si>
  <si>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</si>
  <si>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</si>
  <si>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</si>
  <si>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</si>
  <si>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</si>
  <si>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</si>
  <si>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</si>
  <si>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</si>
  <si>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</si>
  <si>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</si>
  <si>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</si>
  <si>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</si>
  <si>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</si>
  <si>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</si>
  <si>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</si>
  <si>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</si>
  <si>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</si>
  <si>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</si>
  <si>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</si>
  <si>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</si>
  <si>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</si>
  <si>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</si>
  <si>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</si>
  <si>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</si>
  <si>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</si>
  <si>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</si>
  <si>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</si>
  <si>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</si>
  <si>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</si>
  <si>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</si>
  <si>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</si>
  <si>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</si>
  <si>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</si>
  <si>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</si>
  <si>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</si>
  <si>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</si>
  <si>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</si>
  <si>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</si>
  <si>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</si>
  <si>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</si>
  <si>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</si>
  <si>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</si>
  <si>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</si>
  <si>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</si>
  <si>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</si>
  <si>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</si>
  <si>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</si>
  <si>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</si>
  <si>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</si>
  <si>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</si>
  <si>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</si>
  <si>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</si>
  <si>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</si>
  <si>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</si>
  <si>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</si>
  <si>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</si>
  <si>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</si>
  <si>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</si>
  <si>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</si>
  <si>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</si>
  <si>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</si>
  <si>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</si>
  <si>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</si>
  <si>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</si>
  <si>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</si>
  <si>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</si>
  <si>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</si>
  <si>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</si>
  <si>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</si>
  <si>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</si>
  <si>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</si>
  <si>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</si>
  <si>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</si>
  <si>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</si>
  <si>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</si>
  <si>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</si>
  <si>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</si>
  <si>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</si>
  <si>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</si>
  <si>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</si>
  <si>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</si>
  <si>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</si>
  <si>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</si>
  <si>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</si>
  <si>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</si>
  <si>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</si>
  <si>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</si>
  <si>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</si>
  <si>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</si>
  <si>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</si>
  <si>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</si>
  <si>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</si>
  <si>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</si>
  <si>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</si>
  <si>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</si>
  <si>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</si>
  <si>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</si>
  <si>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</si>
  <si>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</si>
  <si>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</si>
  <si>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PRT</t>
  </si>
  <si>
    <t>Change log</t>
  </si>
  <si>
    <t>#</t>
  </si>
  <si>
    <t>Issue</t>
  </si>
  <si>
    <t>Change</t>
  </si>
  <si>
    <t>Sheet</t>
  </si>
  <si>
    <t>Row</t>
  </si>
  <si>
    <t>PR19_PD006_RunBY</t>
  </si>
  <si>
    <t>PRT-BYR-06</t>
  </si>
  <si>
    <t>Align to FD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</si>
</sst>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9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F39" sqref="F39"/>
      <selection pane="bottomLeft"/>
    </sheetView>
  </sheetViews>
  <sheetFormatPr defaultRowHeight="15"/>
  <cols>
    <col min="1" max="1" width="3.710937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96.5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96.5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27.185855998165199</v>
      </c>
      <c r="K12" s="217">
        <v>29.4274960109429</v>
      </c>
      <c r="L12" s="217">
        <v>29.432520541437601</v>
      </c>
      <c r="M12" s="217">
        <v>27.9804312284719</v>
      </c>
      <c r="N12" s="217">
        <v>26.677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26.789701842134999</v>
      </c>
      <c r="K14" s="217">
        <v>29.087902632119199</v>
      </c>
      <c r="L14" s="217">
        <v>29.092971447271299</v>
      </c>
      <c r="M14" s="217">
        <v>27.628083868300401</v>
      </c>
      <c r="N14" s="217">
        <v>26.312999999999999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27.542000000000002</v>
      </c>
      <c r="K16" s="217">
        <v>31.6509999999999</v>
      </c>
      <c r="L16" s="217">
        <v>27.995999999999999</v>
      </c>
      <c r="M16" s="217">
        <v>37.442</v>
      </c>
      <c r="N16" s="217">
        <v>42.603000000000002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0.84399999999999997</v>
      </c>
      <c r="K18" s="217">
        <v>0.56399999999999995</v>
      </c>
      <c r="L18" s="217">
        <v>0.73199999999999998</v>
      </c>
      <c r="M18" s="217">
        <v>0.82</v>
      </c>
      <c r="N18" s="217">
        <v>0.97799999999999998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1.0489999999999999</v>
      </c>
      <c r="M19" s="217">
        <v>-0.06</v>
      </c>
      <c r="N19" s="217">
        <v>2.7E-2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2.1999999999999999E-2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0.82913999999999999</v>
      </c>
      <c r="K28" s="218">
        <v>0.72192000000000001</v>
      </c>
      <c r="L28" s="218">
        <v>0.71338000000000001</v>
      </c>
      <c r="M28" s="218">
        <v>0.74433000000000005</v>
      </c>
      <c r="N28" s="218">
        <v>0.75749999999999995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0.125</v>
      </c>
      <c r="K30" s="217">
        <v>0.34399999999999997</v>
      </c>
      <c r="L30" s="217">
        <v>0.67500000000000004</v>
      </c>
      <c r="M30" s="217">
        <v>0.61199999999999999</v>
      </c>
      <c r="N30" s="217">
        <v>5.0279999999999996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F39" sqref="F39"/>
      <selection pane="topRight" activeCell="F39" sqref="F39"/>
      <selection pane="bottomLeft" activeCell="F39" sqref="F3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F39" sqref="F39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7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7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>
        <v>5.0279999999999996</v>
      </c>
      <c r="O21" s="217"/>
      <c r="P21" s="217"/>
      <c r="Q21" t="s">
        <v>477</v>
      </c>
    </row>
    <row r="22" spans="1:17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>
        <v>0.77856999999999998</v>
      </c>
      <c r="O28" s="218"/>
      <c r="P28" s="218"/>
      <c r="Q28" t="s">
        <v>478</v>
      </c>
    </row>
    <row r="29" spans="1:17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>
        <v>0.68400000000000005</v>
      </c>
      <c r="O30" s="217"/>
      <c r="P30" s="217"/>
      <c r="Q30" t="s">
        <v>477</v>
      </c>
    </row>
    <row r="31" spans="1:17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F39" sqref="F39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PRT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PRT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0</v>
      </c>
      <c r="K5" s="264">
        <f>IF(InpOverride!K5="",F_Inputs!K5,InpOverride!K5)</f>
        <v>0</v>
      </c>
      <c r="L5" s="264">
        <f>IF(InpOverride!L5="",F_Inputs!L5,InpOverride!L5)</f>
        <v>0</v>
      </c>
      <c r="M5" s="264">
        <f>IF(InpOverride!M5="",F_Inputs!M5,InpOverride!M5)</f>
        <v>0</v>
      </c>
      <c r="N5" s="264">
        <f>IF(InpOverride!N5="",F_Inputs!N5,InpOverride!N5)</f>
        <v>0</v>
      </c>
      <c r="O5" s="217"/>
      <c r="P5" s="217"/>
    </row>
    <row r="6" spans="1:16">
      <c r="A6" t="str">
        <f>F_Inputs!A6</f>
        <v>PRT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PRT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96.5</v>
      </c>
    </row>
    <row r="8" spans="1:16">
      <c r="A8" t="str">
        <f>F_Inputs!A8</f>
        <v>PRT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PRT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96.5</v>
      </c>
    </row>
    <row r="10" spans="1:16">
      <c r="A10" t="str">
        <f>F_Inputs!A10</f>
        <v>PRT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PRT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PRT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27.185855998165199</v>
      </c>
      <c r="K12" s="264">
        <f>IF(InpOverride!K12="",F_Inputs!K12,InpOverride!K12)</f>
        <v>29.4274960109429</v>
      </c>
      <c r="L12" s="264">
        <f>IF(InpOverride!L12="",F_Inputs!L12,InpOverride!L12)</f>
        <v>29.432520541437601</v>
      </c>
      <c r="M12" s="264">
        <f>IF(InpOverride!M12="",F_Inputs!M12,InpOverride!M12)</f>
        <v>27.9804312284719</v>
      </c>
      <c r="N12" s="264">
        <f>IF(InpOverride!N12="",F_Inputs!N12,InpOverride!N12)</f>
        <v>26.677</v>
      </c>
      <c r="O12" s="217"/>
      <c r="P12" s="217"/>
    </row>
    <row r="13" spans="1:16">
      <c r="A13" t="str">
        <f>F_Inputs!A13</f>
        <v>PRT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PRT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26.789701842134999</v>
      </c>
      <c r="K14" s="264">
        <f>IF(InpOverride!K14="",F_Inputs!K14,InpOverride!K14)</f>
        <v>29.087902632119199</v>
      </c>
      <c r="L14" s="264">
        <f>IF(InpOverride!L14="",F_Inputs!L14,InpOverride!L14)</f>
        <v>29.092971447271299</v>
      </c>
      <c r="M14" s="264">
        <f>IF(InpOverride!M14="",F_Inputs!M14,InpOverride!M14)</f>
        <v>27.628083868300401</v>
      </c>
      <c r="N14" s="264">
        <f>IF(InpOverride!N14="",F_Inputs!N14,InpOverride!N14)</f>
        <v>26.312999999999999</v>
      </c>
      <c r="O14" s="217"/>
      <c r="P14" s="217"/>
    </row>
    <row r="15" spans="1:16">
      <c r="A15" t="str">
        <f>F_Inputs!A15</f>
        <v>PRT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PRT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27.542000000000002</v>
      </c>
      <c r="K16" s="264">
        <f>IF(InpOverride!K16="",F_Inputs!K16,InpOverride!K16)</f>
        <v>31.6509999999999</v>
      </c>
      <c r="L16" s="264">
        <f>IF(InpOverride!L16="",F_Inputs!L16,InpOverride!L16)</f>
        <v>27.995999999999999</v>
      </c>
      <c r="M16" s="264">
        <f>IF(InpOverride!M16="",F_Inputs!M16,InpOverride!M16)</f>
        <v>37.442</v>
      </c>
      <c r="N16" s="264">
        <f>IF(InpOverride!N16="",F_Inputs!N16,InpOverride!N16)</f>
        <v>42.603000000000002</v>
      </c>
      <c r="O16" s="217"/>
      <c r="P16" s="217"/>
    </row>
    <row r="17" spans="1:16">
      <c r="A17" t="str">
        <f>F_Inputs!A17</f>
        <v>PRT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PRT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0.84399999999999997</v>
      </c>
      <c r="K18" s="264">
        <f>IF(InpOverride!K18="",F_Inputs!K18,InpOverride!K18)</f>
        <v>0.56399999999999995</v>
      </c>
      <c r="L18" s="264">
        <f>IF(InpOverride!L18="",F_Inputs!L18,InpOverride!L18)</f>
        <v>0.73199999999999998</v>
      </c>
      <c r="M18" s="264">
        <f>IF(InpOverride!M18="",F_Inputs!M18,InpOverride!M18)</f>
        <v>0.82</v>
      </c>
      <c r="N18" s="264">
        <f>IF(InpOverride!N18="",F_Inputs!N18,InpOverride!N18)</f>
        <v>0.97799999999999998</v>
      </c>
      <c r="O18" s="217"/>
      <c r="P18" s="217"/>
    </row>
    <row r="19" spans="1:16">
      <c r="A19" t="str">
        <f>F_Inputs!A19</f>
        <v>PRT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1.0489999999999999</v>
      </c>
      <c r="M19" s="264">
        <f>IF(InpOverride!M19="",F_Inputs!M19,InpOverride!M19)</f>
        <v>-0.06</v>
      </c>
      <c r="N19" s="264">
        <f>IF(InpOverride!N19="",F_Inputs!N19,InpOverride!N19)</f>
        <v>2.7E-2</v>
      </c>
      <c r="O19" s="217"/>
      <c r="P19" s="217"/>
    </row>
    <row r="20" spans="1:16">
      <c r="A20" t="str">
        <f>F_Inputs!A20</f>
        <v>PRT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</v>
      </c>
      <c r="K20" s="264">
        <f>IF(InpOverride!K20="",F_Inputs!K20,InpOverride!K20)</f>
        <v>0</v>
      </c>
      <c r="L20" s="264">
        <f>IF(InpOverride!L20="",F_Inputs!L20,InpOverride!L20)</f>
        <v>0</v>
      </c>
      <c r="M20" s="264">
        <f>IF(InpOverride!M20="",F_Inputs!M20,InpOverride!M20)</f>
        <v>0</v>
      </c>
      <c r="N20" s="264">
        <f>IF(InpOverride!N20="",F_Inputs!N20,InpOverride!N20)</f>
        <v>0</v>
      </c>
      <c r="O20" s="217"/>
      <c r="P20" s="217"/>
    </row>
    <row r="21" spans="1:16">
      <c r="A21" t="str">
        <f>F_Inputs!A21</f>
        <v>PRT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2.1999999999999999E-2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5.0279999999999996</v>
      </c>
      <c r="O21" s="217"/>
      <c r="P21" s="217"/>
    </row>
    <row r="22" spans="1:16">
      <c r="A22" t="str">
        <f>F_Inputs!A22</f>
        <v>PRT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PRT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PRT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PRT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PRT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PRT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PRT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0.82913999999999999</v>
      </c>
      <c r="K28" s="264">
        <f>IF(InpOverride!K28="",F_Inputs!K28,InpOverride!K28)</f>
        <v>0.72192000000000001</v>
      </c>
      <c r="L28" s="264">
        <f>IF(InpOverride!L28="",F_Inputs!L28,InpOverride!L28)</f>
        <v>0.71338000000000001</v>
      </c>
      <c r="M28" s="264">
        <f>IF(InpOverride!M28="",F_Inputs!M28,InpOverride!M28)</f>
        <v>0.74433000000000005</v>
      </c>
      <c r="N28" s="264">
        <f>IF(InpOverride!N28="",F_Inputs!N28,InpOverride!N28)</f>
        <v>0.77856999999999998</v>
      </c>
      <c r="O28" s="218"/>
      <c r="P28" s="218"/>
    </row>
    <row r="29" spans="1:16">
      <c r="A29" t="str">
        <f>F_Inputs!A29</f>
        <v>PRT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PRT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0.125</v>
      </c>
      <c r="K30" s="264">
        <f>IF(InpOverride!K30="",F_Inputs!K30,InpOverride!K30)</f>
        <v>0.34399999999999997</v>
      </c>
      <c r="L30" s="264">
        <f>IF(InpOverride!L30="",F_Inputs!L30,InpOverride!L30)</f>
        <v>0.67500000000000004</v>
      </c>
      <c r="M30" s="264">
        <f>IF(InpOverride!M30="",F_Inputs!M30,InpOverride!M30)</f>
        <v>0.61199999999999999</v>
      </c>
      <c r="N30" s="264">
        <f>IF(InpOverride!N30="",F_Inputs!N30,InpOverride!N30)</f>
        <v>0.68400000000000005</v>
      </c>
      <c r="O30" s="217"/>
      <c r="P30" s="217"/>
    </row>
    <row r="31" spans="1:16">
      <c r="A31" t="str">
        <f>F_Inputs!A31</f>
        <v>PRT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PRT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PRT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PRT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PRT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PRT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PRT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PRT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PRT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PRT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PRT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PRT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PRT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PRT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PRT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F39" sqref="F39"/>
      <selection pane="topRight" activeCell="F39" sqref="F39"/>
      <selection pane="bottomLeft" activeCell="F39" sqref="F39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-0.50543560514869723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-0.50543560514869723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-0.19431899693459009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-0.19431899693459009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15:12:36</v>
      </c>
      <c r="G10" s="259" t="str">
        <f ca="1">CONCATENATE("[…]", TEXT(NOW(),"dd/mm/yyy hh:mm:ss"))</f>
        <v>[…]17/09/2020 15:12:36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menu_PRT_BYRun1</v>
      </c>
      <c r="G11" s="262" t="str">
        <f ca="1">MID(CELL("filename",F1),SEARCH("[",CELL("filename",F1))+1,SEARCH(".",CELL("filename",F1))-1-SEARCH("[",CELL("filename",F1)))</f>
        <v>Totex menu_PRT_BYRun1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1" customWidth="1"/>
    <col min="3" max="4" width="50.7109375" style="278" customWidth="1"/>
    <col min="5" max="5" width="15.85546875" style="278" customWidth="1"/>
    <col min="6" max="6" width="14.7109375" style="278" customWidth="1"/>
    <col min="7" max="7" width="0" style="271" hidden="1" customWidth="1"/>
    <col min="8" max="16383" width="9.140625" style="271" hidden="1"/>
    <col min="16384" max="16384" width="9" style="271" hidden="1" customWidth="1"/>
  </cols>
  <sheetData>
    <row r="1" spans="1:6" s="1" customFormat="1" ht="33.75">
      <c r="A1" s="1" t="s">
        <v>470</v>
      </c>
    </row>
    <row r="2" spans="1:6">
      <c r="A2" s="269"/>
      <c r="B2" s="269"/>
      <c r="C2" s="270"/>
      <c r="D2" s="270"/>
      <c r="E2" s="270"/>
      <c r="F2" s="270"/>
    </row>
    <row r="3" spans="1:6" ht="15.75">
      <c r="A3" s="269"/>
      <c r="B3" s="272" t="s">
        <v>471</v>
      </c>
      <c r="C3" s="272" t="s">
        <v>472</v>
      </c>
      <c r="D3" s="272" t="s">
        <v>473</v>
      </c>
      <c r="E3" s="272" t="s">
        <v>474</v>
      </c>
      <c r="F3" s="272" t="s">
        <v>475</v>
      </c>
    </row>
    <row r="4" spans="1:6">
      <c r="A4" s="269"/>
      <c r="B4" s="269"/>
      <c r="C4" s="270"/>
      <c r="D4" s="270"/>
      <c r="E4" s="270"/>
      <c r="F4" s="270"/>
    </row>
    <row r="5" spans="1:6" s="277" customFormat="1">
      <c r="A5" s="273"/>
      <c r="B5" s="274"/>
      <c r="C5" s="275"/>
      <c r="D5" s="275"/>
      <c r="E5" s="275"/>
      <c r="F5" s="276"/>
    </row>
    <row r="6" spans="1:6">
      <c r="A6" s="269"/>
      <c r="B6" s="269"/>
      <c r="C6" s="270"/>
      <c r="D6" s="270"/>
      <c r="E6" s="270"/>
      <c r="F6" s="270"/>
    </row>
    <row r="7" spans="1:6">
      <c r="A7" s="269"/>
      <c r="B7" s="269"/>
      <c r="C7" s="270"/>
      <c r="D7" s="270"/>
      <c r="E7" s="270"/>
      <c r="F7" s="270"/>
    </row>
    <row r="8" spans="1:6">
      <c r="A8" s="269"/>
      <c r="B8" s="269"/>
      <c r="C8" s="270"/>
      <c r="D8" s="270"/>
      <c r="E8" s="270"/>
      <c r="F8" s="270"/>
    </row>
    <row r="9" spans="1:6">
      <c r="A9" s="269"/>
      <c r="B9" s="269"/>
      <c r="C9" s="270"/>
      <c r="D9" s="270"/>
      <c r="E9" s="270"/>
      <c r="F9" s="270"/>
    </row>
    <row r="10" spans="1:6">
      <c r="A10" s="269"/>
      <c r="B10" s="269"/>
      <c r="C10" s="270"/>
      <c r="D10" s="270"/>
      <c r="E10" s="270"/>
      <c r="F10" s="270"/>
    </row>
    <row r="11" spans="1:6">
      <c r="A11" s="269"/>
      <c r="B11" s="269"/>
      <c r="C11" s="270"/>
      <c r="D11" s="270"/>
      <c r="E11" s="270"/>
      <c r="F11" s="270"/>
    </row>
    <row r="12" spans="1:6">
      <c r="A12" s="269"/>
      <c r="B12" s="269"/>
      <c r="C12" s="270"/>
      <c r="D12" s="270"/>
      <c r="E12" s="270"/>
      <c r="F12" s="270"/>
    </row>
    <row r="13" spans="1:6">
      <c r="A13" s="269"/>
      <c r="B13" s="269"/>
      <c r="C13" s="270"/>
      <c r="D13" s="270"/>
      <c r="E13" s="270"/>
      <c r="F13" s="270"/>
    </row>
    <row r="14" spans="1:6">
      <c r="A14" s="269"/>
      <c r="B14" s="269"/>
      <c r="C14" s="270"/>
      <c r="D14" s="270"/>
      <c r="E14" s="270"/>
      <c r="F14" s="270"/>
    </row>
    <row r="15" spans="1:6">
      <c r="A15" s="269"/>
      <c r="B15" s="269"/>
      <c r="C15" s="270"/>
      <c r="D15" s="270"/>
      <c r="E15" s="270"/>
      <c r="F15" s="270"/>
    </row>
    <row r="16" spans="1:6">
      <c r="A16" s="269"/>
      <c r="B16" s="269"/>
      <c r="C16" s="270"/>
      <c r="D16" s="270"/>
      <c r="E16" s="270"/>
      <c r="F16" s="270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F39" sqref="F39"/>
      <selection pane="topRight" activeCell="F39" sqref="F39"/>
      <selection pane="bottomLeft" activeCell="F39" sqref="F39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37.4257812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PRT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3.7599999999999995E-2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96.5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0</v>
      </c>
      <c r="M26" s="35">
        <f>InpActive!K5</f>
        <v>0</v>
      </c>
      <c r="N26" s="35">
        <f>InpActive!L5</f>
        <v>0</v>
      </c>
      <c r="O26" s="35">
        <f>InpActive!M5</f>
        <v>0</v>
      </c>
      <c r="P26" s="35">
        <f>InpActive!N5</f>
        <v>0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96.5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26.789701842134999</v>
      </c>
      <c r="M40" s="35">
        <f>InpActive!K14</f>
        <v>29.087902632119199</v>
      </c>
      <c r="N40" s="35">
        <f>InpActive!L14</f>
        <v>29.092971447271299</v>
      </c>
      <c r="O40" s="35">
        <f>InpActive!M14</f>
        <v>27.628083868300401</v>
      </c>
      <c r="P40" s="35">
        <f>InpActive!N14</f>
        <v>26.312999999999999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27.185855998165199</v>
      </c>
      <c r="M46" s="35">
        <f>InpActive!K12</f>
        <v>29.4274960109429</v>
      </c>
      <c r="N46" s="35">
        <f>InpActive!L12</f>
        <v>29.432520541437601</v>
      </c>
      <c r="O46" s="35">
        <f>InpActive!M12</f>
        <v>27.9804312284719</v>
      </c>
      <c r="P46" s="35">
        <f>InpActive!N12</f>
        <v>26.677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27.542000000000002</v>
      </c>
      <c r="M52" s="35">
        <f>InpActive!K16</f>
        <v>31.6509999999999</v>
      </c>
      <c r="N52" s="35">
        <f>InpActive!L16</f>
        <v>27.995999999999999</v>
      </c>
      <c r="O52" s="35">
        <f>InpActive!M16</f>
        <v>37.442</v>
      </c>
      <c r="P52" s="35">
        <f>InpActive!N16</f>
        <v>42.603000000000002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0.84399999999999997</v>
      </c>
      <c r="M60" s="35">
        <f>InpActive!K18</f>
        <v>0.56399999999999995</v>
      </c>
      <c r="N60" s="35">
        <f>InpActive!L18</f>
        <v>0.73199999999999998</v>
      </c>
      <c r="O60" s="35">
        <f>InpActive!M18</f>
        <v>0.82</v>
      </c>
      <c r="P60" s="35">
        <f>InpActive!N18</f>
        <v>0.97799999999999998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1.0489999999999999</v>
      </c>
      <c r="O61" s="35">
        <f>InpActive!M19</f>
        <v>-0.06</v>
      </c>
      <c r="P61" s="35">
        <f>InpActive!N19</f>
        <v>2.7E-2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</v>
      </c>
      <c r="M62" s="35">
        <f>InpActive!K20</f>
        <v>0</v>
      </c>
      <c r="N62" s="35">
        <f>InpActive!L20</f>
        <v>0</v>
      </c>
      <c r="O62" s="35">
        <f>InpActive!M20</f>
        <v>0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2.1999999999999999E-2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5.0279999999999996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0.125</v>
      </c>
      <c r="M64" s="221">
        <f>InpActive!K30</f>
        <v>0.34399999999999997</v>
      </c>
      <c r="N64" s="221">
        <f>InpActive!L30</f>
        <v>0.67500000000000004</v>
      </c>
      <c r="O64" s="221">
        <f>InpActive!M30</f>
        <v>0.61199999999999999</v>
      </c>
      <c r="P64" s="221">
        <f>InpActive!N30</f>
        <v>0.68400000000000005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0.82913999999999999</v>
      </c>
      <c r="M125" s="173">
        <f>InpActive!K28</f>
        <v>0.72192000000000001</v>
      </c>
      <c r="N125" s="173">
        <f>InpActive!L28</f>
        <v>0.71338000000000001</v>
      </c>
      <c r="O125" s="173">
        <f>InpActive!M28</f>
        <v>0.74433000000000005</v>
      </c>
      <c r="P125" s="173">
        <f>InpActive!N28</f>
        <v>0.77856999999999998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0.5069999999999999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0.99124999999999996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F39" sqref="F39"/>
      <selection pane="topRight" activeCell="F39" sqref="F39"/>
      <selection pane="bottomLeft" activeCell="F39" sqref="F39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25.975223628420913</v>
      </c>
      <c r="M14" s="50">
        <f>Actual.Totex.Water/Indexation.Average</f>
        <v>29.224347023491205</v>
      </c>
      <c r="N14" s="50">
        <f>Actual.Totex.Water/Indexation.Average</f>
        <v>24.917110430749638</v>
      </c>
      <c r="O14" s="50">
        <f>Actual.Totex.Water/Indexation.Average</f>
        <v>32.336222666705879</v>
      </c>
      <c r="P14" s="50">
        <f>Actual.Totex.Water/Indexation.Average</f>
        <v>35.865088253003414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0.93462517666709477</v>
      </c>
      <c r="M18" s="50">
        <f>SUM(INDEX(Actual.Exclusions.Water,,M6))/Indexation.Average</f>
        <v>0.83838447749929212</v>
      </c>
      <c r="N18" s="50">
        <f>SUM(INDEX(Actual.Exclusions.Water,,N6))/Indexation.Average</f>
        <v>2.1858988147564338</v>
      </c>
      <c r="O18" s="50">
        <f>SUM(INDEX(Actual.Exclusions.Water,,O6))/Indexation.Average</f>
        <v>1.1849072565226342</v>
      </c>
      <c r="P18" s="50">
        <f>SUM(INDEX(Actual.Exclusions.Water,,P6))/Indexation.Average</f>
        <v>5.6546674599306135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25.040598451753819</v>
      </c>
      <c r="M30" s="212">
        <f t="shared" ref="M30:P30" si="2">M14-M18+M22</f>
        <v>28.385962545991912</v>
      </c>
      <c r="N30" s="212">
        <f t="shared" si="2"/>
        <v>22.731211615993203</v>
      </c>
      <c r="O30" s="212">
        <f t="shared" si="2"/>
        <v>31.151315410183244</v>
      </c>
      <c r="P30" s="212">
        <f t="shared" si="2"/>
        <v>30.210420793072799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25.040598451753819</v>
      </c>
      <c r="M32" s="77">
        <f>SUM(M30:M31)</f>
        <v>28.385962545991912</v>
      </c>
      <c r="N32" s="77">
        <f t="shared" ref="N32:P32" si="4">SUM(N30:N31)</f>
        <v>22.731211615993203</v>
      </c>
      <c r="O32" s="77">
        <f t="shared" si="4"/>
        <v>31.151315410183244</v>
      </c>
      <c r="P32" s="77">
        <f t="shared" si="4"/>
        <v>30.210420793072799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0.5069999999999999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99.125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0.43137500000000006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0.5069999999999999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99.125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0.43137500000000006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0.98997815608180595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98.997815608180588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0.49585748665244206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4.9585748665244202E-3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0.68880386490102152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0.11556407632150988</v>
      </c>
      <c r="M97" s="147">
        <f>FD.AddInc.Coeff.Water/100*Baseline.Totex.Water</f>
        <v>0.12547793997930423</v>
      </c>
      <c r="N97" s="147">
        <f>FD.AddInc.Coeff.Water/100*Baseline.Totex.Water</f>
        <v>0.12549980558066659</v>
      </c>
      <c r="O97" s="147">
        <f>FD.AddInc.Coeff.Water/100*Baseline.Totex.Water</f>
        <v>0.11918064678688087</v>
      </c>
      <c r="P97" s="147">
        <f>FD.AddInc.Coeff.Water/100*Baseline.Totex.Water</f>
        <v>0.11350770375000001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8.9573692482660006E-2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1.7274665914583688E-2</v>
      </c>
      <c r="M105" s="147">
        <f>IF(SUM(Baseline.Totex.Water)=0,0,$G101*(Baseline.Totex.Water/SUM(Baseline.Totex.Water)))</f>
        <v>1.8756602932231567E-2</v>
      </c>
      <c r="N105" s="147">
        <f>IF(SUM(Baseline.Totex.Water)=0,0,$G101*(Baseline.Totex.Water/SUM(Baseline.Totex.Water)))</f>
        <v>1.8759871430285454E-2</v>
      </c>
      <c r="O105" s="147">
        <f>IF(SUM(Baseline.Totex.Water)=0,0,$G101*(Baseline.Totex.Water/SUM(Baseline.Totex.Water)))</f>
        <v>1.7815275492702266E-2</v>
      </c>
      <c r="P105" s="147">
        <f>IF(SUM(Baseline.Totex.Water)=0,0,$G101*(Baseline.Totex.Water/SUM(Baseline.Totex.Water)))</f>
        <v>1.6967276712857041E-2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2.0023016689056938E-2</v>
      </c>
      <c r="M109" s="147">
        <f>M105*(1+WACC)^Calcs!M7</f>
        <v>2.0952896799666255E-2</v>
      </c>
      <c r="N109" s="147">
        <f>N105*(1+WACC)^Calcs!N7</f>
        <v>2.0197135717676201E-2</v>
      </c>
      <c r="O109" s="147">
        <f>O105*(1+WACC)^Calcs!O7</f>
        <v>1.8485129851227872E-2</v>
      </c>
      <c r="P109" s="147">
        <f>P105*(1+WACC)^Calcs!P7</f>
        <v>1.6967276712857041E-2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9.66254557704843E-2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26.555291951016319</v>
      </c>
      <c r="M136" s="147">
        <f>Baseline.Totex.Water*(FD.AllExp.Coeff.Water/100)</f>
        <v>28.833383484088156</v>
      </c>
      <c r="N136" s="147">
        <f>Baseline.Totex.Water*(FD.AllExp.Coeff.Water/100)</f>
        <v>28.838407947107676</v>
      </c>
      <c r="O136" s="147">
        <f>Baseline.Totex.Water*(FD.AllExp.Coeff.Water/100)</f>
        <v>27.386338134452771</v>
      </c>
      <c r="P136" s="147">
        <f>Baseline.Totex.Water*(FD.AllExp.Coeff.Water/100)</f>
        <v>26.082761249999997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27.185855998165199</v>
      </c>
      <c r="M140" s="147">
        <f>Inputs!M46</f>
        <v>29.4274960109429</v>
      </c>
      <c r="N140" s="147">
        <f>Inputs!N46</f>
        <v>29.432520541437601</v>
      </c>
      <c r="O140" s="147">
        <f>Inputs!O46</f>
        <v>27.9804312284719</v>
      </c>
      <c r="P140" s="147">
        <f>Inputs!P46</f>
        <v>26.677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0.63056404714888004</v>
      </c>
      <c r="M144" s="147">
        <f t="shared" ref="M144:P144" si="5">M140-M136</f>
        <v>0.59411252685474381</v>
      </c>
      <c r="N144" s="147">
        <f t="shared" si="5"/>
        <v>0.5941125943299248</v>
      </c>
      <c r="O144" s="147">
        <f t="shared" si="5"/>
        <v>0.59409309401912935</v>
      </c>
      <c r="P144" s="147">
        <f t="shared" si="5"/>
        <v>0.59423875000000237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26.555291951016319</v>
      </c>
      <c r="M148" s="147">
        <f>Baseline.Totex.Water*(AllExp.Coeff.Water/100)</f>
        <v>28.833383484088156</v>
      </c>
      <c r="N148" s="147">
        <f>Baseline.Totex.Water*(AllExp.Coeff.Water/100)</f>
        <v>28.838407947107676</v>
      </c>
      <c r="O148" s="147">
        <f>Baseline.Totex.Water*(AllExp.Coeff.Water/100)</f>
        <v>27.386338134452771</v>
      </c>
      <c r="P148" s="147">
        <f>Baseline.Totex.Water*(AllExp.Coeff.Water/100)</f>
        <v>26.082761249999997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27.185855998165199</v>
      </c>
      <c r="M152" s="147">
        <f t="shared" ref="M152:P152" si="7">M148+M144</f>
        <v>29.4274960109429</v>
      </c>
      <c r="N152" s="147">
        <f t="shared" si="7"/>
        <v>29.432520541437601</v>
      </c>
      <c r="O152" s="147">
        <f t="shared" si="7"/>
        <v>27.9804312284719</v>
      </c>
      <c r="P152" s="147">
        <f t="shared" si="7"/>
        <v>26.677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-1.5146934992624992</v>
      </c>
      <c r="M162" s="209">
        <f>(Actual.Totex.Water-SUM(Inputs!M60:M64))/Indexation.Average-M148</f>
        <v>-0.4474209380962435</v>
      </c>
      <c r="N162" s="209">
        <f>(Actual.Totex.Water-SUM(Inputs!N60:N64))/Indexation.Average-N148</f>
        <v>-6.1071963311144692</v>
      </c>
      <c r="O162" s="209">
        <f>(Actual.Totex.Water-SUM(Inputs!O60:O64))/Indexation.Average-O148</f>
        <v>3.7649772757304767</v>
      </c>
      <c r="P162" s="209">
        <f>(Actual.Totex.Water-SUM(Inputs!P60:P64))/Indexation.Average-P148</f>
        <v>4.1276595430728058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-1.5146934992624992</v>
      </c>
      <c r="M166" s="147">
        <f t="shared" ref="L166:P167" si="10">M162+M156</f>
        <v>-0.4474209380962435</v>
      </c>
      <c r="N166" s="147">
        <f t="shared" si="10"/>
        <v>-6.1071963311144692</v>
      </c>
      <c r="O166" s="147">
        <f t="shared" si="10"/>
        <v>3.7649772757304767</v>
      </c>
      <c r="P166" s="147">
        <f t="shared" si="10"/>
        <v>4.1276595430728058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-1.7556769760123019</v>
      </c>
      <c r="M170" s="147">
        <f>M166*(1+WACC)^Calcs!M7</f>
        <v>-0.4998114411128653</v>
      </c>
      <c r="N170" s="147">
        <f>N166*(1+WACC)^Calcs!N7</f>
        <v>-6.5750916050993542</v>
      </c>
      <c r="O170" s="147">
        <f>O166*(1+WACC)^Calcs!O7</f>
        <v>3.9065404212979429</v>
      </c>
      <c r="P170" s="147">
        <f>P166*(1+WACC)^Calcs!P7</f>
        <v>4.1276595430728058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-0.79638005785377164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0.75599715862012429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-0.50543560514869723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-0.19431899693459009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J8" activePane="bottomRight" state="frozen"/>
      <selection activeCell="F39" sqref="F39"/>
      <selection pane="topRight" activeCell="F39" sqref="F39"/>
      <selection pane="bottomLeft" activeCell="F39" sqref="F3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P11" s="84">
        <f>Calcs!P197</f>
        <v>-0.50543560514869723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P12" s="84">
        <f>Calcs!P198</f>
        <v>0</v>
      </c>
    </row>
    <row r="13" spans="1:22" s="3" customFormat="1" ht="12.75">
      <c r="E13" s="87"/>
      <c r="F13" s="3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P14" s="150">
        <f>SUM(P11:P12)</f>
        <v>-0.50543560514869723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P18" s="84">
        <f>Calcs!P202</f>
        <v>-0.19431899693459009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P19" s="84">
        <f>Calcs!P203</f>
        <v>0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P21" s="150">
        <f>SUM(P18:P19)</f>
        <v>-0.19431899693459009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F39" sqref="F39"/>
      <selection pane="topRight" activeCell="F39" sqref="F39"/>
      <selection pane="bottomLeft" activeCell="F39" sqref="F39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2019-12-05T11:31:12Z</dcterms:created>
  <dcterms:modified xsi:type="dcterms:W3CDTF">2020-09-17T14:12:55Z</dcterms:modified>
  <cp:category/>
  <cp:contentStatus/>
</cp:coreProperties>
</file>