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19" l="1"/>
  <c r="F56" i="19"/>
  <c r="F30" i="16" l="1"/>
  <c r="F36" i="19"/>
  <c r="F37" i="19"/>
  <c r="F38" i="19"/>
  <c r="F39" i="19"/>
  <c r="F40" i="19"/>
  <c r="F41" i="19"/>
  <c r="F35" i="19"/>
  <c r="F16" i="19" l="1"/>
  <c r="E16" i="32" l="1"/>
  <c r="F16" i="32"/>
  <c r="B5" i="41" l="1"/>
  <c r="A1" i="4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58" i="19" s="1"/>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L67" i="31" l="1"/>
  <c r="L75" i="31" s="1"/>
  <c r="P67" i="31"/>
  <c r="P75" i="31" s="1"/>
  <c r="T67" i="31"/>
  <c r="T75" i="31" s="1"/>
  <c r="M67" i="31"/>
  <c r="M75" i="31" s="1"/>
  <c r="Q67" i="31"/>
  <c r="Q75" i="31" s="1"/>
  <c r="J67" i="31"/>
  <c r="N67" i="31"/>
  <c r="N75" i="31" s="1"/>
  <c r="R67" i="31"/>
  <c r="R75" i="31" s="1"/>
  <c r="K67" i="31"/>
  <c r="O67" i="31"/>
  <c r="O75" i="31" s="1"/>
  <c r="S67" i="31"/>
  <c r="S75" i="31" s="1"/>
  <c r="J67" i="17"/>
  <c r="K67" i="17" s="1"/>
  <c r="L67" i="17"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J75" i="17"/>
  <c r="J71" i="17"/>
  <c r="J72" i="17" s="1"/>
  <c r="J74" i="17" s="1"/>
  <c r="J76" i="17" s="1"/>
  <c r="J11" i="16" s="1"/>
  <c r="K75" i="17"/>
  <c r="K71" i="17"/>
  <c r="K72" i="17" s="1"/>
  <c r="K74" i="17" s="1"/>
  <c r="J67" i="30"/>
  <c r="K67" i="30" s="1"/>
  <c r="L67" i="30" s="1"/>
  <c r="J75" i="31"/>
  <c r="J76" i="31" s="1"/>
  <c r="J13" i="16" s="1"/>
  <c r="J71" i="31"/>
  <c r="J72" i="31" s="1"/>
  <c r="J74" i="31" s="1"/>
  <c r="K75" i="31"/>
  <c r="K71" i="31"/>
  <c r="K72" i="31" s="1"/>
  <c r="K74" i="31" s="1"/>
  <c r="J67" i="29"/>
  <c r="J75" i="29" s="1"/>
  <c r="J76" i="29" s="1"/>
  <c r="J10" i="16"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K76" i="17" l="1"/>
  <c r="K11" i="16" s="1"/>
  <c r="L75" i="30"/>
  <c r="M67" i="30"/>
  <c r="K67" i="29"/>
  <c r="L67" i="29" s="1"/>
  <c r="M75" i="17"/>
  <c r="N67" i="17"/>
  <c r="K76" i="31"/>
  <c r="K13" i="16" s="1"/>
  <c r="K75" i="30"/>
  <c r="K71" i="30"/>
  <c r="K72" i="30" s="1"/>
  <c r="K74" i="30" s="1"/>
  <c r="J75" i="30"/>
  <c r="J76" i="30" s="1"/>
  <c r="J12" i="16" s="1"/>
  <c r="J71" i="30"/>
  <c r="J72" i="30" s="1"/>
  <c r="J74" i="30" s="1"/>
  <c r="J71" i="29"/>
  <c r="J72" i="29" s="1"/>
  <c r="J74" i="29" s="1"/>
  <c r="G15" i="26"/>
  <c r="G11" i="29"/>
  <c r="G11" i="25"/>
  <c r="G13" i="17"/>
  <c r="G13" i="27"/>
  <c r="G19" i="27" s="1"/>
  <c r="G29" i="27" s="1"/>
  <c r="G34" i="27" s="1"/>
  <c r="G15" i="29"/>
  <c r="G11" i="17"/>
  <c r="G19" i="17" s="1"/>
  <c r="G29" i="17" s="1"/>
  <c r="G42" i="17" s="1"/>
  <c r="G13" i="30"/>
  <c r="K71" i="29" l="1"/>
  <c r="K72" i="29" s="1"/>
  <c r="K74" i="29" s="1"/>
  <c r="K75" i="29"/>
  <c r="L75" i="29"/>
  <c r="M67" i="29"/>
  <c r="M75" i="30"/>
  <c r="N67" i="30"/>
  <c r="N75" i="17"/>
  <c r="O67" i="17"/>
  <c r="K76" i="30"/>
  <c r="K12" i="16" s="1"/>
  <c r="G53" i="27"/>
  <c r="G56" i="27" s="1"/>
  <c r="A1" i="16"/>
  <c r="N75" i="30" l="1"/>
  <c r="O67" i="30"/>
  <c r="O75" i="17"/>
  <c r="P67" i="17"/>
  <c r="M75" i="29"/>
  <c r="N67" i="29"/>
  <c r="F81" i="8"/>
  <c r="E81" i="8"/>
  <c r="G81" i="8"/>
  <c r="E82" i="8"/>
  <c r="G82" i="8"/>
  <c r="Q67" i="17" l="1"/>
  <c r="O75" i="30"/>
  <c r="P67" i="30"/>
  <c r="N75" i="29"/>
  <c r="O67" i="29"/>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Q67" i="30" l="1"/>
  <c r="O75" i="29"/>
  <c r="P67" i="29"/>
  <c r="R67" i="17"/>
  <c r="J35" i="30"/>
  <c r="J39" i="30" s="1"/>
  <c r="J35" i="17"/>
  <c r="J39" i="17" s="1"/>
  <c r="J35" i="29"/>
  <c r="J39" i="29" s="1"/>
  <c r="J35" i="31"/>
  <c r="J39" i="31" s="1"/>
  <c r="J58" i="31" s="1"/>
  <c r="J60" i="31" s="1"/>
  <c r="J51" i="8"/>
  <c r="J53" i="8" s="1"/>
  <c r="J57" i="8" s="1"/>
  <c r="F31" i="8"/>
  <c r="F16" i="8"/>
  <c r="F17" i="8" s="1"/>
  <c r="F19" i="8" s="1"/>
  <c r="F37" i="8"/>
  <c r="F47" i="8"/>
  <c r="K10" i="8"/>
  <c r="K5" i="32" s="1"/>
  <c r="S67" i="17" l="1"/>
  <c r="R67" i="30"/>
  <c r="Q67" i="29"/>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S67" i="30" l="1"/>
  <c r="R67" i="29"/>
  <c r="T67" i="17"/>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S67" i="29" l="1"/>
  <c r="T67" i="30"/>
  <c r="L29" i="29"/>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T67" i="29" l="1"/>
  <c r="L76" i="3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75" i="30" s="1"/>
  <c r="P63" i="29"/>
  <c r="P64" i="29" s="1"/>
  <c r="P69" i="29" s="1"/>
  <c r="P72" i="29" s="1"/>
  <c r="P74" i="29" s="1"/>
  <c r="P75"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5"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75"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75"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S63" i="29"/>
  <c r="S64" i="29" s="1"/>
  <c r="S69" i="29" s="1"/>
  <c r="S72" i="29" s="1"/>
  <c r="T54" i="29"/>
  <c r="T50" i="29"/>
  <c r="T52" i="29" s="1"/>
  <c r="H44" i="29"/>
  <c r="R74" i="29"/>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R75" i="29" l="1"/>
  <c r="R76" i="29" s="1"/>
  <c r="R10" i="16" s="1"/>
  <c r="I4" i="40" s="1"/>
  <c r="Q75" i="29"/>
  <c r="Q76" i="29" s="1"/>
  <c r="Q10" i="16" s="1"/>
  <c r="H4" i="40" s="1"/>
  <c r="J22" i="40"/>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75" i="29" l="1"/>
  <c r="S76" i="29" s="1"/>
  <c r="S10" i="16" s="1"/>
  <c r="J4" i="40" s="1"/>
  <c r="T63" i="31"/>
  <c r="T64" i="31" s="1"/>
  <c r="T69" i="31" s="1"/>
  <c r="T72" i="31" s="1"/>
  <c r="T74" i="31" s="1"/>
  <c r="T63" i="30"/>
  <c r="T64" i="30" s="1"/>
  <c r="T69" i="30" s="1"/>
  <c r="T72" i="30" s="1"/>
  <c r="T74" i="30" s="1"/>
  <c r="T75"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T75" i="29" s="1"/>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<sst xmlns="http://schemas.openxmlformats.org/spreadsheetml/2006/main" count="1145" uniqueCount="462">
  <si>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</si>
  <si>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</si>
  <si>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</si>
  <si>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</si>
  <si>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</si>
  <si>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</si>
  <si>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</si>
  <si>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</si>
  <si>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</si>
  <si>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</si>
  <si>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</si>
  <si>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</si>
  <si>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</si>
  <si>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</si>
  <si>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</si>
  <si>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</si>
  <si>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</si>
  <si>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</si>
  <si>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</si>
  <si>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</si>
  <si>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</si>
  <si>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</si>
  <si>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</si>
  <si>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</si>
  <si>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</si>
  <si>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</si>
  <si>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</si>
  <si>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</si>
  <si>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</si>
  <si>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</si>
  <si>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</si>
  <si>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</si>
  <si>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</si>
  <si>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</si>
  <si>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</si>
  <si>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</si>
  <si>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</si>
  <si>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</si>
  <si>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</si>
  <si>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</si>
  <si>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</si>
  <si>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</si>
  <si>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</si>
  <si>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</si>
  <si>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</si>
  <si>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</si>
  <si>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</si>
  <si>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</si>
  <si>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</si>
  <si>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</si>
  <si>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</si>
  <si>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</si>
  <si>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</si>
  <si>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</si>
  <si>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</si>
  <si>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</si>
  <si>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</si>
  <si>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</si>
  <si>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</si>
  <si>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</si>
  <si>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</si>
  <si>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</si>
  <si>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</si>
  <si>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</si>
  <si>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</si>
  <si>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</si>
  <si>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</si>
  <si>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</si>
  <si>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</si>
  <si>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</si>
  <si>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</si>
  <si>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</si>
  <si>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</si>
  <si>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</si>
  <si>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</si>
  <si>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</si>
  <si>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</si>
  <si>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</si>
  <si>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</si>
  <si>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</si>
  <si>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</si>
  <si>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</si>
  <si>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</si>
  <si>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</si>
  <si>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</si>
  <si>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</si>
  <si>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</si>
  <si>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</si>
  <si>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</si>
  <si>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</si>
  <si>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</si>
  <si>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</si>
  <si>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</si>
  <si>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</si>
  <si>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</si>
  <si>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</si>
  <si>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</si>
  <si>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</si>
  <si>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</si>
  <si>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</si>
  <si>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</si>
  <si>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</si>
  <si>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</si>
  <si>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</si>
  <si>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</si>
  <si>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</si>
  <si>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</si>
  <si>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</si>
  <si>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</si>
  <si>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</si>
  <si>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</si>
  <si>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</si>
  <si>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</si>
  <si>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</si>
  <si>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</si>
  <si>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</si>
  <si>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</si>
  <si>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</si>
  <si>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</si>
  <si>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</si>
  <si>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</si>
  <si>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</si>
  <si>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</si>
  <si>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</si>
  <si>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</si>
  <si>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</si>
  <si>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</si>
  <si>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</si>
  <si>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</si>
  <si>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</si>
  <si>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</si>
  <si>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</si>
  <si>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</si>
  <si>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</si>
  <si>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</si>
  <si>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</si>
  <si>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</si>
  <si>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</si>
  <si>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</si>
  <si>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</si>
  <si>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</si>
  <si>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</si>
  <si>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</si>
  <si>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</si>
  <si>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</si>
  <si>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</si>
  <si>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</si>
  <si>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</si>
  <si>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</si>
  <si>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</si>
  <si>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</si>
  <si>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</si>
  <si>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</si>
  <si>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</si>
  <si>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</si>
  <si>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</si>
  <si>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</si>
  <si>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</si>
  <si>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</si>
  <si>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</si>
  <si>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</si>
  <si>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</si>
  <si>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</si>
  <si>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</si>
  <si>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</si>
  <si>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</si>
  <si>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</si>
  <si>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</si>
  <si>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</si>
  <si>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</si>
  <si>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</si>
  <si>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</si>
  <si>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</si>
  <si>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</si>
  <si>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</si>
  <si>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</si>
  <si>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</si>
  <si>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</si>
  <si>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</si>
  <si>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</si>
  <si>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</si>
  <si>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</si>
  <si>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</si>
  <si>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</si>
  <si>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</si>
  <si>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</si>
  <si>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</si>
  <si>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</si>
  <si>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</si>
  <si>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</si>
  <si>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</si>
  <si>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</si>
  <si>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</si>
  <si>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</si>
  <si>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</si>
  <si>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</si>
  <si>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</si>
  <si>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</si>
  <si>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</si>
  <si>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</si>
  <si>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</si>
  <si>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</si>
  <si>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</si>
  <si>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</si>
  <si>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</si>
  <si>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</si>
  <si>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</si>
  <si>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</si>
  <si>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</si>
  <si>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</si>
  <si>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</si>
  <si>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</si>
  <si>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</si>
  <si>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</si>
  <si>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</si>
  <si>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</si>
  <si>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</si>
  <si>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</si>
  <si>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</si>
  <si>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</si>
  <si>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</si>
  <si>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</si>
  <si>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</si>
  <si>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</si>
  <si>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</si>
  <si>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</si>
  <si>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</si>
  <si>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</si>
  <si>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</si>
  <si>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</si>
  <si>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</si>
  <si>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</si>
  <si>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</si>
  <si>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</si>
  <si>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</si>
  <si>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</si>
  <si>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</si>
  <si>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</si>
  <si>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</si>
  <si>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</si>
  <si>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</si>
  <si>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</si>
  <si>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</si>
  <si>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</si>
  <si>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</si>
  <si>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</si>
  <si>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</si>
  <si>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</si>
  <si>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</si>
  <si>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</si>
  <si>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</si>
  <si>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</si>
  <si>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</si>
  <si>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</si>
  <si>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</si>
  <si>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</si>
  <si>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</si>
  <si>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</si>
  <si>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</si>
  <si>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</si>
  <si>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</si>
  <si>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</si>
  <si>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</si>
  <si>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</si>
  <si>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</si>
  <si>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</si>
  <si>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</si>
  <si>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</si>
  <si>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</si>
  <si>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</si>
  <si>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</si>
  <si>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</si>
  <si>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</si>
  <si>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</si>
  <si>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</si>
  <si>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</si>
  <si>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</si>
  <si>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</si>
  <si>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</si>
  <si>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</si>
  <si>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</si>
  <si>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</si>
  <si>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</si>
  <si>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</si>
  <si>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</si>
  <si>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</si>
  <si>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</si>
  <si>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</si>
  <si>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</si>
  <si>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</si>
  <si>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</si>
  <si>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</si>
  <si>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</si>
  <si>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</si>
  <si>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</si>
  <si>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</si>
  <si>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</si>
  <si>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</si>
  <si>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</si>
  <si>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</si>
  <si>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</si>
  <si>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</si>
  <si>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</si>
  <si>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</si>
  <si>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</si>
  <si>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</si>
  <si>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</si>
  <si>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</si>
  <si>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</si>
  <si>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</si>
  <si>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</si>
  <si>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</si>
  <si>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</si>
  <si>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</si>
  <si>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</si>
  <si>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</si>
  <si>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</si>
  <si>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</si>
  <si>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</si>
  <si>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</si>
  <si>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</si>
  <si>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</si>
  <si>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</si>
  <si>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</si>
  <si>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</si>
  <si>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</si>
  <si>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</si>
  <si>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</si>
  <si>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</si>
  <si>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</si>
  <si>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</si>
  <si>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</si>
  <si>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</si>
  <si>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</si>
  <si>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</si>
  <si>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</si>
  <si>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</si>
  <si>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</si>
  <si>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</si>
  <si>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</si>
  <si>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</si>
  <si>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</si>
  <si>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</si>
  <si>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</si>
  <si>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</si>
  <si>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</si>
  <si>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</si>
  <si>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</si>
  <si>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</si>
  <si>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</si>
  <si>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</si>
  <si>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</si>
  <si>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</si>
  <si>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</si>
  <si>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</si>
  <si>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</si>
  <si>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</si>
  <si>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</si>
  <si>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</si>
  <si>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</si>
  <si>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</si>
  <si>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</si>
  <si>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</si>
  <si>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</si>
  <si>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</si>
  <si>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</si>
  <si>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</si>
  <si>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</si>
  <si>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</si>
  <si>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</si>
  <si>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</si>
  <si>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</si>
  <si>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</si>
  <si>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</si>
  <si>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</si>
  <si>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</si>
  <si>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</si>
  <si>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</si>
  <si>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</si>
  <si>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</si>
  <si>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</si>
  <si>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</si>
  <si>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</si>
  <si>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</si>
  <si>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</si>
  <si>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</si>
  <si>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</si>
  <si>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</si>
  <si>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</si>
  <si>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</si>
  <si>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</si>
  <si>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</si>
  <si>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</si>
  <si>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</si>
  <si>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</si>
  <si>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</si>
  <si>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</si>
  <si>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</si>
  <si>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</si>
  <si>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</si>
  <si>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</si>
  <si>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</si>
  <si>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</si>
  <si>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</si>
  <si>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</si>
  <si>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</si>
  <si>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</si>
  <si>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</si>
  <si>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</si>
  <si>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</si>
  <si>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</si>
  <si>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</si>
  <si>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</si>
  <si>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</si>
  <si>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</si>
  <si>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</si>
  <si>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</si>
  <si>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</si>
  <si>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</si>
  <si>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</si>
  <si>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</si>
  <si>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</si>
  <si>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</si>
  <si>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</si>
  <si>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</si>
  <si>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</si>
  <si>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</si>
  <si>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</si>
  <si>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</si>
  <si>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</si>
  <si>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</si>
  <si>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</si>
  <si>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</si>
  <si>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</si>
  <si>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</si>
  <si>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</si>
  <si>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</si>
  <si>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</si>
  <si>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</si>
  <si>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</si>
  <si>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</si>
  <si>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</si>
  <si>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</si>
  <si>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</si>
  <si>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</si>
  <si>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</si>
  <si>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</si>
  <si>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</si>
  <si>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</si>
  <si>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</si>
  <si>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</si>
  <si>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</si>
  <si>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</si>
  <si>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</si>
  <si>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</si>
  <si>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</si>
  <si>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</si>
  <si>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</si>
  <si>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</si>
  <si>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</si>
  <si>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Ensured indexation adjustments to the K-based controls only apply where there is an ODI payment due.</t>
  </si>
  <si>
    <t>Water resources
Water network plus
Wastewater network plus
Dummy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</si>
</sst>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8">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0" fontId="22" fillId="49" borderId="0" xfId="66" applyNumberFormat="1" applyFont="1" applyFill="1" applyAlignment="1">
      <alignment horizontal="left" vertical="center"/>
    </xf>
    <xf numFmtId="176" fontId="18" fillId="49" borderId="0" xfId="2" applyFont="1" applyFill="1" applyBorder="1">
      <alignment vertical="top"/>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185" fontId="0" fillId="47" borderId="0" xfId="0" applyNumberFormat="1" applyFill="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FCEABF"/>
      <color rgb="FF0000FF"/>
      <color rgb="FFE0DCD8"/>
      <color rgb="FF7FBBE4"/>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model_SVE_BYRun2.xlsx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0"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1" t="s">
        <v>126</v>
      </c>
      <c r="B26" s="381" t="s">
        <v>379</v>
      </c>
      <c r="C26" s="381" t="s">
        <v>370</v>
      </c>
      <c r="D26" s="381" t="s">
        <v>371</v>
      </c>
      <c r="E26" s="316"/>
      <c r="F26" s="316"/>
    </row>
    <row r="27" spans="1:6" ht="87.6" customHeight="1" x14ac:dyDescent="0.25">
      <c r="A27" s="381" t="s">
        <v>17</v>
      </c>
      <c r="B27" s="381" t="s">
        <v>381</v>
      </c>
      <c r="C27" s="381" t="s">
        <v>378</v>
      </c>
      <c r="D27" s="381" t="s">
        <v>371</v>
      </c>
      <c r="E27" s="316"/>
      <c r="F27" s="316"/>
    </row>
    <row r="28" spans="1:6" ht="59.4" customHeight="1" x14ac:dyDescent="0.25">
      <c r="A28" s="381" t="s">
        <v>17</v>
      </c>
      <c r="B28" s="381" t="s">
        <v>460</v>
      </c>
      <c r="C28" s="381" t="s">
        <v>461</v>
      </c>
      <c r="D28" s="381" t="s">
        <v>371</v>
      </c>
      <c r="E28" s="316"/>
      <c r="F28" s="316"/>
    </row>
    <row r="29" spans="1:6" ht="9" customHeight="1" x14ac:dyDescent="0.25">
      <c r="A29" s="379"/>
      <c r="B29" s="379"/>
      <c r="C29" s="379"/>
      <c r="D29" s="379"/>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3"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657.81465688881156</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657.81465688881156</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-0.5</v>
      </c>
      <c r="Q36" s="218">
        <f xml:space="preserve"> Inputs!Q$98</f>
        <v>-1.63</v>
      </c>
      <c r="R36" s="218">
        <f xml:space="preserve"> Inputs!R$98</f>
        <v>-1.7000000000000002</v>
      </c>
      <c r="S36" s="218">
        <f xml:space="preserve"> Inputs!S$98</f>
        <v>0.27999999999999903</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-5.0000000000000001E-3</v>
      </c>
      <c r="Q37" s="312">
        <f t="shared" si="3"/>
        <v>-1.6299999999999999E-2</v>
      </c>
      <c r="R37" s="312">
        <f t="shared" si="3"/>
        <v>-1.7000000000000001E-2</v>
      </c>
      <c r="S37" s="312">
        <f t="shared" si="3"/>
        <v>2.7999999999999904E-3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3937.289715612158</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667.66033931184336</v>
      </c>
      <c r="P39" s="212">
        <f xml:space="preserve"> IF(P35=1, $H34 * (1+P38+P37), O39 *  (1+P38+P37))</f>
        <v>668.6295236753607</v>
      </c>
      <c r="Q39" s="212">
        <f t="shared" si="4"/>
        <v>657.73086243945238</v>
      </c>
      <c r="R39" s="212">
        <f t="shared" si="4"/>
        <v>646.54943777798167</v>
      </c>
      <c r="S39" s="212">
        <f t="shared" si="4"/>
        <v>648.35977620375991</v>
      </c>
      <c r="T39" s="212">
        <f t="shared" si="4"/>
        <v>648.35977620375991</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3937.289715612158</v>
      </c>
      <c r="I58" s="212">
        <f t="shared" si="14"/>
        <v>0</v>
      </c>
      <c r="J58" s="220">
        <f t="shared" si="14"/>
        <v>0</v>
      </c>
      <c r="K58" s="220">
        <f t="shared" si="14"/>
        <v>0</v>
      </c>
      <c r="L58" s="220">
        <f t="shared" si="14"/>
        <v>0</v>
      </c>
      <c r="M58" s="220">
        <f t="shared" si="14"/>
        <v>0</v>
      </c>
      <c r="N58" s="220">
        <f t="shared" si="14"/>
        <v>0</v>
      </c>
      <c r="O58" s="220">
        <f t="shared" si="14"/>
        <v>667.66033931184336</v>
      </c>
      <c r="P58" s="220">
        <f t="shared" si="14"/>
        <v>668.6295236753607</v>
      </c>
      <c r="Q58" s="220">
        <f t="shared" si="14"/>
        <v>657.73086243945238</v>
      </c>
      <c r="R58" s="220">
        <f t="shared" si="14"/>
        <v>646.54943777798167</v>
      </c>
      <c r="S58" s="220">
        <f t="shared" si="14"/>
        <v>648.35977620375991</v>
      </c>
      <c r="T58" s="220">
        <f t="shared" si="14"/>
        <v>648.35977620375991</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3937.289715612158</v>
      </c>
      <c r="J60" s="220">
        <f xml:space="preserve"> J58 + J59</f>
        <v>0</v>
      </c>
      <c r="K60" s="220">
        <f t="shared" ref="K60:T60" si="16" xml:space="preserve"> K58 + K59</f>
        <v>0</v>
      </c>
      <c r="L60" s="220">
        <f t="shared" si="16"/>
        <v>0</v>
      </c>
      <c r="M60" s="220">
        <f t="shared" si="16"/>
        <v>0</v>
      </c>
      <c r="N60" s="220">
        <f t="shared" si="16"/>
        <v>0</v>
      </c>
      <c r="O60" s="220">
        <f t="shared" si="16"/>
        <v>667.66033931184336</v>
      </c>
      <c r="P60" s="220">
        <f t="shared" si="16"/>
        <v>668.6295236753607</v>
      </c>
      <c r="Q60" s="220">
        <f t="shared" si="16"/>
        <v>657.73086243945238</v>
      </c>
      <c r="R60" s="220">
        <f t="shared" si="16"/>
        <v>646.54943777798167</v>
      </c>
      <c r="S60" s="220">
        <f t="shared" si="16"/>
        <v>648.35977620375991</v>
      </c>
      <c r="T60" s="220">
        <f t="shared" si="16"/>
        <v>648.35977620375991</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3937.289715612158</v>
      </c>
      <c r="I63" s="212">
        <f t="shared" si="17"/>
        <v>0</v>
      </c>
      <c r="J63" s="212">
        <f t="shared" si="17"/>
        <v>0</v>
      </c>
      <c r="K63" s="212">
        <f t="shared" si="17"/>
        <v>0</v>
      </c>
      <c r="L63" s="212">
        <f t="shared" si="17"/>
        <v>0</v>
      </c>
      <c r="M63" s="212">
        <f t="shared" si="17"/>
        <v>0</v>
      </c>
      <c r="N63" s="212">
        <f t="shared" si="17"/>
        <v>0</v>
      </c>
      <c r="O63" s="212">
        <f t="shared" si="17"/>
        <v>667.66033931184336</v>
      </c>
      <c r="P63" s="212">
        <f t="shared" si="17"/>
        <v>668.6295236753607</v>
      </c>
      <c r="Q63" s="212">
        <f t="shared" si="17"/>
        <v>657.73086243945238</v>
      </c>
      <c r="R63" s="212">
        <f t="shared" si="17"/>
        <v>646.54943777798167</v>
      </c>
      <c r="S63" s="212">
        <f t="shared" si="17"/>
        <v>648.35977620375991</v>
      </c>
      <c r="T63" s="212">
        <f t="shared" si="17"/>
        <v>648.35977620375991</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1.4516129032260405E-3</v>
      </c>
      <c r="Q64" s="267">
        <f t="shared" si="18"/>
        <v>-1.629999999999987E-2</v>
      </c>
      <c r="R64" s="267">
        <f t="shared" si="18"/>
        <v>-1.7000000000000015E-2</v>
      </c>
      <c r="S64" s="267">
        <f t="shared" si="18"/>
        <v>2.7999999999999137E-3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1.4516129032260405E-3</v>
      </c>
      <c r="Q69" s="269">
        <f t="shared" si="21"/>
        <v>-1.629999999999987E-2</v>
      </c>
      <c r="R69" s="269">
        <f t="shared" si="21"/>
        <v>-1.7000000000000015E-2</v>
      </c>
      <c r="S69" s="269">
        <f t="shared" si="21"/>
        <v>2.7999999999999137E-3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-5.0000000000000001E-3</v>
      </c>
      <c r="Q75" s="401">
        <f t="shared" si="25"/>
        <v>-1.6299999999999999E-2</v>
      </c>
      <c r="R75" s="401">
        <f t="shared" si="25"/>
        <v>-1.7000000000000001E-2</v>
      </c>
      <c r="S75" s="401">
        <f t="shared" si="25"/>
        <v>2.7999999999999904E-3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-0.5</v>
      </c>
      <c r="Q76" s="241">
        <f t="shared" si="26"/>
        <v>-1.63</v>
      </c>
      <c r="R76" s="241">
        <f t="shared" si="26"/>
        <v>-1.7000000000000002</v>
      </c>
      <c r="S76" s="241">
        <f t="shared" si="26"/>
        <v>0.27999999999999903</v>
      </c>
      <c r="T76" s="241">
        <f t="shared" si="26"/>
        <v>0</v>
      </c>
    </row>
    <row r="77" spans="1:20" s="212" customFormat="1" x14ac:dyDescent="0.25">
      <c r="A77" s="213"/>
      <c r="B77" s="214"/>
      <c r="E77" s="220"/>
      <c r="G77" s="220"/>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728.18551849598873</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728.18551849598873</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-1.8499999999999999</v>
      </c>
      <c r="Q36" s="218">
        <f xml:space="preserve"> Inputs!Q$102</f>
        <v>-1.29</v>
      </c>
      <c r="R36" s="218">
        <f xml:space="preserve"> Inputs!R$102</f>
        <v>-0.98</v>
      </c>
      <c r="S36" s="218">
        <f xml:space="preserve"> Inputs!S$102</f>
        <v>1.02</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-1.8499999999999999E-2</v>
      </c>
      <c r="Q37" s="260">
        <f t="shared" si="3"/>
        <v>-1.29E-2</v>
      </c>
      <c r="R37" s="260">
        <f t="shared" si="3"/>
        <v>-9.7999999999999997E-3</v>
      </c>
      <c r="S37" s="260">
        <f t="shared" si="3"/>
        <v>1.0200000000000001E-2</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4345.6746712768927</v>
      </c>
      <c r="J39" s="212">
        <f t="shared" ref="J39:T39" si="4" xml:space="preserve"> IF(J35=1, $H34 * (1+J38+J37), I39 *  (1+J38+J37))</f>
        <v>0</v>
      </c>
      <c r="K39" s="212">
        <f t="shared" si="4"/>
        <v>0</v>
      </c>
      <c r="L39" s="212">
        <f t="shared" si="4"/>
        <v>0</v>
      </c>
      <c r="M39" s="212">
        <f t="shared" si="4"/>
        <v>0</v>
      </c>
      <c r="N39" s="212">
        <f t="shared" si="4"/>
        <v>0</v>
      </c>
      <c r="O39" s="212">
        <f t="shared" si="4"/>
        <v>739.08445983924025</v>
      </c>
      <c r="P39" s="212">
        <f t="shared" si="4"/>
        <v>730.17968416988697</v>
      </c>
      <c r="Q39" s="212">
        <f t="shared" si="4"/>
        <v>720.76036624409539</v>
      </c>
      <c r="R39" s="212">
        <f t="shared" si="4"/>
        <v>713.69691465490325</v>
      </c>
      <c r="S39" s="212">
        <f t="shared" si="4"/>
        <v>720.97662318438324</v>
      </c>
      <c r="T39" s="212">
        <f t="shared" si="4"/>
        <v>720.97662318438324</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4345.6746712768927</v>
      </c>
      <c r="I58" s="212">
        <f t="shared" si="14"/>
        <v>0</v>
      </c>
      <c r="J58" s="220">
        <f t="shared" si="14"/>
        <v>0</v>
      </c>
      <c r="K58" s="220">
        <f t="shared" si="14"/>
        <v>0</v>
      </c>
      <c r="L58" s="220">
        <f t="shared" si="14"/>
        <v>0</v>
      </c>
      <c r="M58" s="220">
        <f t="shared" si="14"/>
        <v>0</v>
      </c>
      <c r="N58" s="220">
        <f t="shared" si="14"/>
        <v>0</v>
      </c>
      <c r="O58" s="220">
        <f t="shared" si="14"/>
        <v>739.08445983924025</v>
      </c>
      <c r="P58" s="220">
        <f t="shared" si="14"/>
        <v>730.17968416988697</v>
      </c>
      <c r="Q58" s="220">
        <f t="shared" si="14"/>
        <v>720.76036624409539</v>
      </c>
      <c r="R58" s="220">
        <f t="shared" si="14"/>
        <v>713.69691465490325</v>
      </c>
      <c r="S58" s="220">
        <f t="shared" si="14"/>
        <v>720.97662318438324</v>
      </c>
      <c r="T58" s="220">
        <f t="shared" si="14"/>
        <v>720.97662318438324</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4345.6746712768927</v>
      </c>
      <c r="J60" s="220">
        <f xml:space="preserve"> J58 + J59</f>
        <v>0</v>
      </c>
      <c r="K60" s="220">
        <f t="shared" ref="K60:T60" si="16" xml:space="preserve"> K58 + K59</f>
        <v>0</v>
      </c>
      <c r="L60" s="220">
        <f t="shared" si="16"/>
        <v>0</v>
      </c>
      <c r="M60" s="220">
        <f t="shared" si="16"/>
        <v>0</v>
      </c>
      <c r="N60" s="220">
        <f t="shared" si="16"/>
        <v>0</v>
      </c>
      <c r="O60" s="220">
        <f t="shared" si="16"/>
        <v>739.08445983924025</v>
      </c>
      <c r="P60" s="220">
        <f t="shared" si="16"/>
        <v>730.17968416988697</v>
      </c>
      <c r="Q60" s="220">
        <f t="shared" si="16"/>
        <v>720.76036624409539</v>
      </c>
      <c r="R60" s="220">
        <f t="shared" si="16"/>
        <v>713.69691465490325</v>
      </c>
      <c r="S60" s="220">
        <f t="shared" si="16"/>
        <v>720.97662318438324</v>
      </c>
      <c r="T60" s="220">
        <f t="shared" si="16"/>
        <v>720.97662318438324</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4345.6746712768927</v>
      </c>
      <c r="I63" s="212">
        <f t="shared" si="17"/>
        <v>0</v>
      </c>
      <c r="J63" s="212">
        <f t="shared" si="17"/>
        <v>0</v>
      </c>
      <c r="K63" s="212">
        <f t="shared" si="17"/>
        <v>0</v>
      </c>
      <c r="L63" s="212">
        <f t="shared" si="17"/>
        <v>0</v>
      </c>
      <c r="M63" s="212">
        <f t="shared" si="17"/>
        <v>0</v>
      </c>
      <c r="N63" s="212">
        <f t="shared" si="17"/>
        <v>0</v>
      </c>
      <c r="O63" s="212">
        <f t="shared" si="17"/>
        <v>739.08445983924025</v>
      </c>
      <c r="P63" s="212">
        <f t="shared" si="17"/>
        <v>730.17968416988697</v>
      </c>
      <c r="Q63" s="212">
        <f t="shared" si="17"/>
        <v>720.76036624409539</v>
      </c>
      <c r="R63" s="212">
        <f t="shared" si="17"/>
        <v>713.69691465490325</v>
      </c>
      <c r="S63" s="212">
        <f t="shared" si="17"/>
        <v>720.97662318438324</v>
      </c>
      <c r="T63" s="212">
        <f t="shared" si="17"/>
        <v>720.97662318438324</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-1.2048387096774027E-2</v>
      </c>
      <c r="Q64" s="267">
        <f t="shared" si="18"/>
        <v>-1.2900000000000023E-2</v>
      </c>
      <c r="R64" s="267">
        <f t="shared" si="18"/>
        <v>-9.8000000000000309E-3</v>
      </c>
      <c r="S64" s="267">
        <f t="shared" si="18"/>
        <v>1.0199999999999987E-2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-1.2048387096774027E-2</v>
      </c>
      <c r="Q69" s="269">
        <f t="shared" si="21"/>
        <v>-1.2900000000000023E-2</v>
      </c>
      <c r="R69" s="269">
        <f t="shared" si="21"/>
        <v>-9.8000000000000309E-3</v>
      </c>
      <c r="S69" s="269">
        <f t="shared" si="21"/>
        <v>1.0199999999999987E-2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-1.8499999999999999E-2</v>
      </c>
      <c r="Q75" s="401">
        <f t="shared" si="25"/>
        <v>-1.29E-2</v>
      </c>
      <c r="R75" s="401">
        <f t="shared" si="25"/>
        <v>-9.7999999999999997E-3</v>
      </c>
      <c r="S75" s="401">
        <f t="shared" si="25"/>
        <v>1.0200000000000001E-2</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-1.8499999999999999</v>
      </c>
      <c r="Q76" s="241">
        <f t="shared" si="26"/>
        <v>-1.29</v>
      </c>
      <c r="R76" s="241">
        <f t="shared" si="26"/>
        <v>-0.98</v>
      </c>
      <c r="S76" s="241">
        <f t="shared" si="26"/>
        <v>1.02</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76.856833247754935</v>
      </c>
      <c r="Q57" s="218">
        <f>Inputs!Q105</f>
        <v>77.205174889998574</v>
      </c>
      <c r="R57" s="218">
        <f>Inputs!R105</f>
        <v>77.395179422131463</v>
      </c>
      <c r="S57" s="218">
        <f>Inputs!S105</f>
        <v>77.743521064375102</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76.856833247754935</v>
      </c>
      <c r="Q58" s="241">
        <f>Q56+Q57</f>
        <v>77.205174889998574</v>
      </c>
      <c r="R58" s="241">
        <f t="shared" ref="R58:T58" si="21">R56+R57</f>
        <v>77.395179422131463</v>
      </c>
      <c r="S58" s="241">
        <f t="shared" si="21"/>
        <v>77.743521064375102</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105.067003212149</v>
      </c>
      <c r="Q51" s="218">
        <f>Inputs!Q108</f>
        <v>106.06165767437101</v>
      </c>
      <c r="R51" s="218">
        <f>Inputs!R108</f>
        <v>107.007583049243</v>
      </c>
      <c r="S51" s="218">
        <f>Inputs!S108</f>
        <v>107.922253003295</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105.067003212149</v>
      </c>
      <c r="Q53" s="241">
        <f t="shared" si="12"/>
        <v>106.06165767437101</v>
      </c>
      <c r="R53" s="241">
        <f t="shared" si="12"/>
        <v>107.007583049243</v>
      </c>
      <c r="S53" s="241">
        <f t="shared" si="12"/>
        <v>107.922253003295</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19921875" style="132" customWidth="1"/>
    <col min="2" max="2" width="14.59765625" style="132" customWidth="1"/>
    <col min="3" max="3" width="11.5976562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Severn Trent Water</v>
      </c>
    </row>
    <row r="2" spans="1:7" x14ac:dyDescent="0.25"/>
    <row r="3" spans="1:7" x14ac:dyDescent="0.25">
      <c r="A3" s="7" t="s">
        <v>196</v>
      </c>
      <c r="B3" s="392" t="s">
        <v>372</v>
      </c>
      <c r="C3" s="392" t="s">
        <v>373</v>
      </c>
      <c r="D3" s="7" t="s">
        <v>197</v>
      </c>
      <c r="E3" s="7" t="s">
        <v>198</v>
      </c>
      <c r="F3" s="7" t="s">
        <v>199</v>
      </c>
      <c r="G3" s="7" t="s">
        <v>200</v>
      </c>
    </row>
    <row r="4" spans="1:7" x14ac:dyDescent="0.25">
      <c r="A4" s="8"/>
      <c r="B4" s="389"/>
      <c r="C4" s="389"/>
      <c r="D4" s="8"/>
      <c r="E4" s="8"/>
      <c r="F4" s="8"/>
      <c r="G4" s="8"/>
    </row>
    <row r="5" spans="1:7" x14ac:dyDescent="0.25">
      <c r="A5" s="8" t="s">
        <v>201</v>
      </c>
      <c r="B5" s="390">
        <v>2021</v>
      </c>
      <c r="C5" s="391">
        <v>44286</v>
      </c>
      <c r="D5" s="8" t="s">
        <v>202</v>
      </c>
      <c r="E5" s="8" t="s">
        <v>203</v>
      </c>
      <c r="F5" s="8" t="b">
        <v>1</v>
      </c>
      <c r="G5" s="8" t="s">
        <v>204</v>
      </c>
    </row>
    <row r="6" spans="1:7" x14ac:dyDescent="0.25">
      <c r="A6" s="8" t="s">
        <v>205</v>
      </c>
      <c r="B6" s="390">
        <v>2022</v>
      </c>
      <c r="C6" s="391">
        <v>44651</v>
      </c>
      <c r="D6" s="8" t="s">
        <v>206</v>
      </c>
      <c r="E6" s="8" t="s">
        <v>207</v>
      </c>
      <c r="F6" s="8" t="b">
        <v>0</v>
      </c>
      <c r="G6" s="8" t="s">
        <v>208</v>
      </c>
    </row>
    <row r="7" spans="1:7" x14ac:dyDescent="0.25">
      <c r="A7" s="8" t="s">
        <v>209</v>
      </c>
      <c r="B7" s="390">
        <v>2023</v>
      </c>
      <c r="C7" s="391">
        <v>45016</v>
      </c>
      <c r="D7" s="8" t="s">
        <v>210</v>
      </c>
      <c r="E7" s="8" t="s">
        <v>211</v>
      </c>
      <c r="F7" s="8"/>
      <c r="G7" s="8"/>
    </row>
    <row r="8" spans="1:7" x14ac:dyDescent="0.25">
      <c r="A8" s="8" t="s">
        <v>212</v>
      </c>
      <c r="B8" s="390">
        <v>2024</v>
      </c>
      <c r="C8" s="391">
        <v>45382</v>
      </c>
      <c r="D8" s="8" t="s">
        <v>213</v>
      </c>
      <c r="E8" s="8" t="s">
        <v>214</v>
      </c>
      <c r="F8" s="136"/>
      <c r="G8" s="136"/>
    </row>
    <row r="9" spans="1:7" x14ac:dyDescent="0.25">
      <c r="A9" s="8" t="s">
        <v>215</v>
      </c>
      <c r="B9" s="390">
        <v>2025</v>
      </c>
      <c r="C9" s="391">
        <v>45747</v>
      </c>
      <c r="D9" s="8" t="s">
        <v>216</v>
      </c>
      <c r="E9" s="8" t="s">
        <v>217</v>
      </c>
      <c r="F9" s="135"/>
      <c r="G9" s="135"/>
    </row>
    <row r="10" spans="1:7" x14ac:dyDescent="0.25">
      <c r="A10" s="8" t="s">
        <v>218</v>
      </c>
      <c r="B10" s="8"/>
      <c r="C10" s="8"/>
      <c r="D10" s="8" t="s">
        <v>219</v>
      </c>
      <c r="E10" s="8" t="s">
        <v>220</v>
      </c>
      <c r="F10" s="135"/>
      <c r="G10" s="135"/>
    </row>
    <row r="11" spans="1:7" x14ac:dyDescent="0.25">
      <c r="A11" s="135"/>
      <c r="B11" s="136"/>
      <c r="C11" s="134"/>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3.45</v>
      </c>
      <c r="Q10" s="335">
        <f ca="1" xml:space="preserve"> 'Water resources'!Q76</f>
        <v>6.02</v>
      </c>
      <c r="R10" s="335">
        <f ca="1" xml:space="preserve"> 'Water resources'!R76</f>
        <v>5.9499999999999904</v>
      </c>
      <c r="S10" s="335">
        <f ca="1" xml:space="preserve"> 'Water resources'!S76</f>
        <v>-7.8</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-0.5</v>
      </c>
      <c r="Q11" s="335">
        <f xml:space="preserve"> 'Water network plus'!Q$76</f>
        <v>-1.63</v>
      </c>
      <c r="R11" s="335">
        <f xml:space="preserve"> 'Water network plus'!R$76</f>
        <v>-1.7000000000000002</v>
      </c>
      <c r="S11" s="335">
        <f xml:space="preserve"> 'Water network plus'!S$76</f>
        <v>0.27999999999999903</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-1.8499999999999999</v>
      </c>
      <c r="Q12" s="335">
        <f xml:space="preserve"> 'Wastewater network plus'!Q$76</f>
        <v>-1.29</v>
      </c>
      <c r="R12" s="335">
        <f xml:space="preserve"> 'Wastewater network plus'!R$76</f>
        <v>-0.98</v>
      </c>
      <c r="S12" s="335">
        <f xml:space="preserve"> 'Wastewater network plus'!S$76</f>
        <v>1.02</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76.856833247754935</v>
      </c>
      <c r="Q16" s="337">
        <f xml:space="preserve"> 'Bioresources (sludge)'!Q$58</f>
        <v>77.205174889998574</v>
      </c>
      <c r="R16" s="337">
        <f xml:space="preserve"> 'Bioresources (sludge)'!R$58</f>
        <v>77.395179422131463</v>
      </c>
      <c r="S16" s="337">
        <f xml:space="preserve"> 'Bioresources (sludge)'!S$58</f>
        <v>77.743521064375102</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105.067003212149</v>
      </c>
      <c r="Q19" s="335">
        <f xml:space="preserve"> 'Residential retail'!Q$53</f>
        <v>106.06165767437101</v>
      </c>
      <c r="R19" s="335">
        <f xml:space="preserve"> 'Residential retail'!R$53</f>
        <v>107.007583049243</v>
      </c>
      <c r="S19" s="335">
        <f xml:space="preserve"> 'Residential retail'!S$53</f>
        <v>107.922253003295</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3" t="s">
        <v>376</v>
      </c>
      <c r="D30" s="394"/>
      <c r="E30" s="201"/>
      <c r="F30" s="395">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0.43355858159778538</v>
      </c>
      <c r="I31" s="218">
        <f xml:space="preserve"> 'Abatements and deferrals'!I$100</f>
        <v>0</v>
      </c>
      <c r="O31" s="396">
        <f>IF($F$30=O4,$H$31,0)</f>
        <v>0.43355858159778538</v>
      </c>
      <c r="P31" s="396">
        <f>IF($F$30=P4,$H$31,0)</f>
        <v>0</v>
      </c>
      <c r="Q31" s="396">
        <f>IF($F$30=Q4,$H$31,0)</f>
        <v>0</v>
      </c>
      <c r="R31" s="396">
        <f>IF($F$30=R4,$H$31,0)</f>
        <v>0</v>
      </c>
      <c r="S31" s="396">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-1.6905618633650881</v>
      </c>
      <c r="I32" s="218">
        <f xml:space="preserve"> 'Abatements and deferrals'!I$101</f>
        <v>0</v>
      </c>
      <c r="O32" s="396">
        <f>IF($F$30=O4,$H$32,0)</f>
        <v>-1.6905618633650881</v>
      </c>
      <c r="P32" s="396">
        <f>IF($F$30=P4,$H$32,0)</f>
        <v>0</v>
      </c>
      <c r="Q32" s="396">
        <f>IF($F$30=Q4,$H$32,0)</f>
        <v>0</v>
      </c>
      <c r="R32" s="396">
        <f>IF($F$30=R4,$H$32,0)</f>
        <v>0</v>
      </c>
      <c r="S32" s="396">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-16.922865682527025</v>
      </c>
      <c r="I33" s="218">
        <f xml:space="preserve"> 'Abatements and deferrals'!I$102</f>
        <v>0</v>
      </c>
      <c r="O33" s="396">
        <f>IF($F$30=O4,$H$33,0)</f>
        <v>-16.922865682527025</v>
      </c>
      <c r="P33" s="396">
        <f>IF($F$30=P4,$H$33,0)</f>
        <v>0</v>
      </c>
      <c r="Q33" s="396">
        <f>IF($F$30=Q4,$H$33,0)</f>
        <v>0</v>
      </c>
      <c r="R33" s="396">
        <f>IF($F$30=R4,$H$33,0)</f>
        <v>0</v>
      </c>
      <c r="S33" s="396">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6">
        <f>IF($F$30=O4,$H$34,0)</f>
        <v>0</v>
      </c>
      <c r="P34" s="396">
        <f>IF($F$30=P4,$H$34,0)</f>
        <v>0</v>
      </c>
      <c r="Q34" s="396">
        <f>IF($F$30=Q4,$H$34,0)</f>
        <v>0</v>
      </c>
      <c r="R34" s="396">
        <f>IF($F$30=R4,$H$34,0)</f>
        <v>0</v>
      </c>
      <c r="S34" s="396">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6">
        <f>IF($F$30=O4,$H$35,0)</f>
        <v>0</v>
      </c>
      <c r="P35" s="396">
        <f>IF($F$30=P4,$H$35,0)</f>
        <v>0</v>
      </c>
      <c r="Q35" s="396">
        <f>IF($F$30=Q4,$H$35,0)</f>
        <v>0</v>
      </c>
      <c r="R35" s="396">
        <f>IF($F$30=R4,$H$35,0)</f>
        <v>0</v>
      </c>
      <c r="S35" s="396">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6">
        <f>IF($F$30=O4,$H$36,0)</f>
        <v>0</v>
      </c>
      <c r="P36" s="396">
        <f>IF($F$30=P4,$H$36,0)</f>
        <v>0</v>
      </c>
      <c r="Q36" s="396">
        <f>IF($F$30=Q4,$H$36,0)</f>
        <v>0</v>
      </c>
      <c r="R36" s="396">
        <f>IF($F$30=R4,$H$36,0)</f>
        <v>0</v>
      </c>
      <c r="S36" s="396">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6">
        <f>IF($F$30=O4,$H$37,0)</f>
        <v>0</v>
      </c>
      <c r="P37" s="396">
        <f>IF($F$30=P4,$H$37,0)</f>
        <v>0</v>
      </c>
      <c r="Q37" s="396">
        <f>IF($F$30=Q4,$H$37,0)</f>
        <v>0</v>
      </c>
      <c r="R37" s="396">
        <f>IF($F$30=R4,$H$37,0)</f>
        <v>0</v>
      </c>
      <c r="S37" s="396">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1" bestFit="1" customWidth="1"/>
    <col min="5" max="5" width="17.59765625" style="334" bestFit="1" customWidth="1"/>
    <col min="6" max="10" width="19.8984375" style="334" customWidth="1"/>
    <col min="11" max="16384" width="9" style="334"/>
  </cols>
  <sheetData>
    <row r="1" spans="1:10" x14ac:dyDescent="0.25">
      <c r="A1" s="333"/>
      <c r="B1" s="333"/>
      <c r="C1" s="333" t="s">
        <v>318</v>
      </c>
      <c r="D1" s="408"/>
      <c r="E1" s="333"/>
      <c r="F1" s="412"/>
      <c r="G1" s="412"/>
      <c r="H1" s="412"/>
      <c r="I1" s="412"/>
      <c r="J1" s="412"/>
    </row>
    <row r="2" spans="1:10" x14ac:dyDescent="0.25">
      <c r="A2" s="333" t="s">
        <v>198</v>
      </c>
      <c r="B2" s="333" t="s">
        <v>15</v>
      </c>
      <c r="C2" s="333" t="s">
        <v>310</v>
      </c>
      <c r="D2" s="408" t="s">
        <v>85</v>
      </c>
      <c r="E2" s="333" t="s">
        <v>311</v>
      </c>
      <c r="F2" s="402" t="s">
        <v>205</v>
      </c>
      <c r="G2" s="402" t="s">
        <v>209</v>
      </c>
      <c r="H2" s="402" t="s">
        <v>212</v>
      </c>
      <c r="I2" s="402" t="s">
        <v>215</v>
      </c>
      <c r="J2" s="402" t="s">
        <v>218</v>
      </c>
    </row>
    <row r="3" spans="1:10" x14ac:dyDescent="0.25">
      <c r="A3" s="333"/>
      <c r="B3" s="333"/>
      <c r="C3" s="333"/>
      <c r="D3" s="408"/>
      <c r="E3" s="333"/>
      <c r="F3" s="412"/>
      <c r="G3" s="412"/>
      <c r="H3" s="412"/>
      <c r="I3" s="412"/>
      <c r="J3" s="412"/>
    </row>
    <row r="4" spans="1:10" x14ac:dyDescent="0.25">
      <c r="A4" s="333"/>
      <c r="B4" s="333" t="s">
        <v>320</v>
      </c>
      <c r="C4" s="353" t="s">
        <v>332</v>
      </c>
      <c r="D4" s="409" t="s">
        <v>316</v>
      </c>
      <c r="E4" s="333" t="s">
        <v>312</v>
      </c>
      <c r="F4" s="413">
        <f ca="1">Outputs!O10</f>
        <v>0</v>
      </c>
      <c r="G4" s="413">
        <f ca="1">Outputs!P10</f>
        <v>3.45</v>
      </c>
      <c r="H4" s="413">
        <f ca="1">Outputs!Q10</f>
        <v>6.02</v>
      </c>
      <c r="I4" s="413">
        <f ca="1">Outputs!R10</f>
        <v>5.9499999999999904</v>
      </c>
      <c r="J4" s="413">
        <f ca="1">Outputs!S10</f>
        <v>-7.8</v>
      </c>
    </row>
    <row r="5" spans="1:10" x14ac:dyDescent="0.25">
      <c r="A5" s="333"/>
      <c r="B5" s="333" t="s">
        <v>321</v>
      </c>
      <c r="C5" s="353" t="s">
        <v>333</v>
      </c>
      <c r="D5" s="409" t="s">
        <v>316</v>
      </c>
      <c r="E5" s="333" t="s">
        <v>312</v>
      </c>
      <c r="F5" s="413">
        <f>Outputs!O11</f>
        <v>0</v>
      </c>
      <c r="G5" s="413">
        <f>Outputs!P11</f>
        <v>-0.5</v>
      </c>
      <c r="H5" s="413">
        <f>Outputs!Q11</f>
        <v>-1.63</v>
      </c>
      <c r="I5" s="413">
        <f>Outputs!R11</f>
        <v>-1.7000000000000002</v>
      </c>
      <c r="J5" s="413">
        <f>Outputs!S11</f>
        <v>0.27999999999999903</v>
      </c>
    </row>
    <row r="6" spans="1:10" x14ac:dyDescent="0.25">
      <c r="A6" s="333"/>
      <c r="B6" s="333" t="s">
        <v>322</v>
      </c>
      <c r="C6" s="353" t="s">
        <v>334</v>
      </c>
      <c r="D6" s="409" t="s">
        <v>316</v>
      </c>
      <c r="E6" s="333" t="s">
        <v>312</v>
      </c>
      <c r="F6" s="413">
        <f>Outputs!O12</f>
        <v>0</v>
      </c>
      <c r="G6" s="413">
        <f>Outputs!P12</f>
        <v>-1.8499999999999999</v>
      </c>
      <c r="H6" s="413">
        <f>Outputs!Q12</f>
        <v>-1.29</v>
      </c>
      <c r="I6" s="413">
        <f>Outputs!R12</f>
        <v>-0.98</v>
      </c>
      <c r="J6" s="413">
        <f>Outputs!S12</f>
        <v>1.02</v>
      </c>
    </row>
    <row r="7" spans="1:10" x14ac:dyDescent="0.25">
      <c r="A7" s="333"/>
      <c r="B7" s="333" t="s">
        <v>323</v>
      </c>
      <c r="C7" s="353" t="s">
        <v>335</v>
      </c>
      <c r="D7" s="409" t="s">
        <v>316</v>
      </c>
      <c r="E7" s="333" t="s">
        <v>312</v>
      </c>
      <c r="F7" s="413">
        <f>Outputs!O13</f>
        <v>0</v>
      </c>
      <c r="G7" s="413">
        <f>Outputs!P13</f>
        <v>0</v>
      </c>
      <c r="H7" s="413">
        <f>Outputs!Q13</f>
        <v>0</v>
      </c>
      <c r="I7" s="413">
        <f>Outputs!R13</f>
        <v>0</v>
      </c>
      <c r="J7" s="413">
        <f>Outputs!S13</f>
        <v>0</v>
      </c>
    </row>
    <row r="8" spans="1:10" x14ac:dyDescent="0.25">
      <c r="A8" s="333"/>
      <c r="B8" s="333" t="s">
        <v>324</v>
      </c>
      <c r="C8" s="354" t="s">
        <v>336</v>
      </c>
      <c r="D8" s="410" t="s">
        <v>314</v>
      </c>
      <c r="E8" s="333" t="s">
        <v>312</v>
      </c>
      <c r="F8" s="414">
        <f>Outputs!O16</f>
        <v>0</v>
      </c>
      <c r="G8" s="414">
        <f>Outputs!P16</f>
        <v>76.856833247754935</v>
      </c>
      <c r="H8" s="414">
        <f>Outputs!Q16</f>
        <v>77.205174889998574</v>
      </c>
      <c r="I8" s="414">
        <f>Outputs!R16</f>
        <v>77.395179422131463</v>
      </c>
      <c r="J8" s="414">
        <f>Outputs!S16</f>
        <v>77.743521064375102</v>
      </c>
    </row>
    <row r="9" spans="1:10" x14ac:dyDescent="0.25">
      <c r="A9" s="333"/>
      <c r="B9" s="356" t="s">
        <v>343</v>
      </c>
      <c r="C9" s="354" t="s">
        <v>337</v>
      </c>
      <c r="D9" s="410" t="s">
        <v>314</v>
      </c>
      <c r="E9" s="333" t="s">
        <v>312</v>
      </c>
      <c r="F9" s="414">
        <f>Outputs!O19</f>
        <v>0</v>
      </c>
      <c r="G9" s="414">
        <f>Outputs!P19</f>
        <v>105.067003212149</v>
      </c>
      <c r="H9" s="414">
        <f>Outputs!Q19</f>
        <v>106.06165767437101</v>
      </c>
      <c r="I9" s="414">
        <f>Outputs!R19</f>
        <v>107.007583049243</v>
      </c>
      <c r="J9" s="414">
        <f>Outputs!S19</f>
        <v>107.922253003295</v>
      </c>
    </row>
    <row r="10" spans="1:10" x14ac:dyDescent="0.25">
      <c r="A10" s="333"/>
      <c r="B10" s="356" t="s">
        <v>344</v>
      </c>
      <c r="C10" s="355" t="s">
        <v>338</v>
      </c>
      <c r="D10" s="410" t="s">
        <v>314</v>
      </c>
      <c r="E10" s="333" t="s">
        <v>312</v>
      </c>
      <c r="F10" s="414">
        <f>Outputs!O22</f>
        <v>0</v>
      </c>
      <c r="G10" s="414">
        <f>Outputs!P22</f>
        <v>0</v>
      </c>
      <c r="H10" s="414">
        <f>Outputs!Q22</f>
        <v>0</v>
      </c>
      <c r="I10" s="414">
        <f>Outputs!R22</f>
        <v>0</v>
      </c>
      <c r="J10" s="414">
        <f>Outputs!S22</f>
        <v>0</v>
      </c>
    </row>
    <row r="11" spans="1:10" x14ac:dyDescent="0.25">
      <c r="A11" s="333"/>
      <c r="B11" s="356" t="s">
        <v>345</v>
      </c>
      <c r="C11" s="355" t="s">
        <v>339</v>
      </c>
      <c r="D11" s="410" t="s">
        <v>314</v>
      </c>
      <c r="E11" s="333" t="s">
        <v>312</v>
      </c>
      <c r="F11" s="414">
        <f>Outputs!O23</f>
        <v>0</v>
      </c>
      <c r="G11" s="414">
        <f>Outputs!P23</f>
        <v>0</v>
      </c>
      <c r="H11" s="414">
        <f>Outputs!Q23</f>
        <v>0</v>
      </c>
      <c r="I11" s="414">
        <f>Outputs!R23</f>
        <v>0</v>
      </c>
      <c r="J11" s="414">
        <f>Outputs!S23</f>
        <v>0</v>
      </c>
    </row>
    <row r="12" spans="1:10" x14ac:dyDescent="0.25">
      <c r="A12" s="333"/>
      <c r="B12" s="356" t="s">
        <v>346</v>
      </c>
      <c r="C12" s="355" t="s">
        <v>340</v>
      </c>
      <c r="D12" s="410" t="s">
        <v>314</v>
      </c>
      <c r="E12" s="333" t="s">
        <v>312</v>
      </c>
      <c r="F12" s="414">
        <f>Outputs!O24</f>
        <v>0</v>
      </c>
      <c r="G12" s="414">
        <f>Outputs!P24</f>
        <v>0</v>
      </c>
      <c r="H12" s="414">
        <f>Outputs!Q24</f>
        <v>0</v>
      </c>
      <c r="I12" s="414">
        <f>Outputs!R24</f>
        <v>0</v>
      </c>
      <c r="J12" s="414">
        <f>Outputs!S24</f>
        <v>0</v>
      </c>
    </row>
    <row r="13" spans="1:10" x14ac:dyDescent="0.25">
      <c r="B13" s="356" t="s">
        <v>347</v>
      </c>
      <c r="C13" s="355" t="s">
        <v>341</v>
      </c>
      <c r="D13" s="410" t="s">
        <v>314</v>
      </c>
      <c r="E13" s="333" t="s">
        <v>312</v>
      </c>
      <c r="F13" s="414">
        <f>Outputs!O25</f>
        <v>0</v>
      </c>
      <c r="G13" s="414">
        <f>Outputs!P25</f>
        <v>0</v>
      </c>
      <c r="H13" s="414">
        <f>Outputs!Q25</f>
        <v>0</v>
      </c>
      <c r="I13" s="414">
        <f>Outputs!R25</f>
        <v>0</v>
      </c>
      <c r="J13" s="414">
        <f>Outputs!S25</f>
        <v>0</v>
      </c>
    </row>
    <row r="14" spans="1:10" x14ac:dyDescent="0.25">
      <c r="B14" s="356" t="s">
        <v>348</v>
      </c>
      <c r="C14" s="355" t="s">
        <v>342</v>
      </c>
      <c r="D14" s="410" t="s">
        <v>314</v>
      </c>
      <c r="E14" s="333" t="s">
        <v>312</v>
      </c>
      <c r="F14" s="414">
        <f>Outputs!O26</f>
        <v>0</v>
      </c>
      <c r="G14" s="414">
        <f>Outputs!P26</f>
        <v>0</v>
      </c>
      <c r="H14" s="414">
        <f>Outputs!Q26</f>
        <v>0</v>
      </c>
      <c r="I14" s="414">
        <f>Outputs!R26</f>
        <v>0</v>
      </c>
      <c r="J14" s="414">
        <f>Outputs!S26</f>
        <v>0</v>
      </c>
    </row>
    <row r="15" spans="1:10" x14ac:dyDescent="0.25">
      <c r="B15" s="356" t="s">
        <v>350</v>
      </c>
      <c r="C15" s="354" t="s">
        <v>325</v>
      </c>
      <c r="D15" s="411" t="s">
        <v>314</v>
      </c>
      <c r="E15" s="333" t="s">
        <v>312</v>
      </c>
      <c r="F15" s="415">
        <f>Outputs!O31</f>
        <v>0.43355858159778538</v>
      </c>
      <c r="G15" s="415">
        <f>Outputs!P31</f>
        <v>0</v>
      </c>
      <c r="H15" s="415">
        <f>Outputs!Q31</f>
        <v>0</v>
      </c>
      <c r="I15" s="415">
        <f>Outputs!R31</f>
        <v>0</v>
      </c>
      <c r="J15" s="415">
        <f>Outputs!S31</f>
        <v>0</v>
      </c>
    </row>
    <row r="16" spans="1:10" x14ac:dyDescent="0.25">
      <c r="B16" s="356" t="s">
        <v>351</v>
      </c>
      <c r="C16" s="354" t="s">
        <v>326</v>
      </c>
      <c r="D16" s="411" t="s">
        <v>314</v>
      </c>
      <c r="E16" s="333" t="s">
        <v>312</v>
      </c>
      <c r="F16" s="415">
        <f>Outputs!O32</f>
        <v>-1.6905618633650881</v>
      </c>
      <c r="G16" s="415">
        <f>Outputs!P32</f>
        <v>0</v>
      </c>
      <c r="H16" s="415">
        <f>Outputs!Q32</f>
        <v>0</v>
      </c>
      <c r="I16" s="415">
        <f>Outputs!R32</f>
        <v>0</v>
      </c>
      <c r="J16" s="415">
        <f>Outputs!S32</f>
        <v>0</v>
      </c>
    </row>
    <row r="17" spans="2:10" x14ac:dyDescent="0.25">
      <c r="B17" s="356" t="s">
        <v>352</v>
      </c>
      <c r="C17" s="354" t="s">
        <v>327</v>
      </c>
      <c r="D17" s="411" t="s">
        <v>314</v>
      </c>
      <c r="E17" s="333" t="s">
        <v>312</v>
      </c>
      <c r="F17" s="415">
        <f>Outputs!O33</f>
        <v>-16.922865682527025</v>
      </c>
      <c r="G17" s="415">
        <f>Outputs!P33</f>
        <v>0</v>
      </c>
      <c r="H17" s="415">
        <f>Outputs!Q33</f>
        <v>0</v>
      </c>
      <c r="I17" s="415">
        <f>Outputs!R33</f>
        <v>0</v>
      </c>
      <c r="J17" s="415">
        <f>Outputs!S33</f>
        <v>0</v>
      </c>
    </row>
    <row r="18" spans="2:10" x14ac:dyDescent="0.25">
      <c r="B18" s="356" t="s">
        <v>353</v>
      </c>
      <c r="C18" s="354" t="s">
        <v>328</v>
      </c>
      <c r="D18" s="411" t="s">
        <v>314</v>
      </c>
      <c r="E18" s="333" t="s">
        <v>312</v>
      </c>
      <c r="F18" s="415">
        <f>Outputs!O34</f>
        <v>0</v>
      </c>
      <c r="G18" s="415">
        <f>Outputs!P34</f>
        <v>0</v>
      </c>
      <c r="H18" s="415">
        <f>Outputs!Q34</f>
        <v>0</v>
      </c>
      <c r="I18" s="415">
        <f>Outputs!R34</f>
        <v>0</v>
      </c>
      <c r="J18" s="415">
        <f>Outputs!S34</f>
        <v>0</v>
      </c>
    </row>
    <row r="19" spans="2:10" x14ac:dyDescent="0.25">
      <c r="B19" s="356" t="s">
        <v>354</v>
      </c>
      <c r="C19" s="354" t="s">
        <v>329</v>
      </c>
      <c r="D19" s="411" t="s">
        <v>314</v>
      </c>
      <c r="E19" s="333" t="s">
        <v>312</v>
      </c>
      <c r="F19" s="415">
        <f>Outputs!O35</f>
        <v>0</v>
      </c>
      <c r="G19" s="415">
        <f>Outputs!P35</f>
        <v>0</v>
      </c>
      <c r="H19" s="415">
        <f>Outputs!Q35</f>
        <v>0</v>
      </c>
      <c r="I19" s="415">
        <f>Outputs!R35</f>
        <v>0</v>
      </c>
      <c r="J19" s="415">
        <f>Outputs!S35</f>
        <v>0</v>
      </c>
    </row>
    <row r="20" spans="2:10" x14ac:dyDescent="0.25">
      <c r="B20" s="356" t="s">
        <v>355</v>
      </c>
      <c r="C20" s="354" t="s">
        <v>330</v>
      </c>
      <c r="D20" s="411" t="s">
        <v>314</v>
      </c>
      <c r="E20" s="333" t="s">
        <v>312</v>
      </c>
      <c r="F20" s="415">
        <f>Outputs!O36</f>
        <v>0</v>
      </c>
      <c r="G20" s="415">
        <f>Outputs!P36</f>
        <v>0</v>
      </c>
      <c r="H20" s="415">
        <f>Outputs!Q36</f>
        <v>0</v>
      </c>
      <c r="I20" s="415">
        <f>Outputs!R36</f>
        <v>0</v>
      </c>
      <c r="J20" s="415">
        <f>Outputs!S36</f>
        <v>0</v>
      </c>
    </row>
    <row r="21" spans="2:10" x14ac:dyDescent="0.25">
      <c r="B21" s="356" t="s">
        <v>356</v>
      </c>
      <c r="C21" s="354" t="s">
        <v>331</v>
      </c>
      <c r="D21" s="411" t="s">
        <v>314</v>
      </c>
      <c r="E21" s="333" t="s">
        <v>312</v>
      </c>
      <c r="F21" s="415">
        <f>Outputs!O37</f>
        <v>0</v>
      </c>
      <c r="G21" s="415">
        <f>Outputs!P37</f>
        <v>0</v>
      </c>
      <c r="H21" s="415">
        <f>Outputs!Q37</f>
        <v>0</v>
      </c>
      <c r="I21" s="415">
        <f>Outputs!R37</f>
        <v>0</v>
      </c>
      <c r="J21" s="415">
        <f>Outputs!S37</f>
        <v>0</v>
      </c>
    </row>
    <row r="22" spans="2:10" x14ac:dyDescent="0.25">
      <c r="B22" s="356" t="s">
        <v>357</v>
      </c>
      <c r="C22" s="354" t="s">
        <v>349</v>
      </c>
      <c r="D22" s="411" t="s">
        <v>314</v>
      </c>
      <c r="E22" s="333" t="s">
        <v>312</v>
      </c>
      <c r="F22" s="415">
        <f>SUM(Outputs!O31:O37)</f>
        <v>-18.179868964294329</v>
      </c>
      <c r="G22" s="415">
        <f>SUM(Outputs!P31:P37)</f>
        <v>0</v>
      </c>
      <c r="H22" s="415">
        <f>SUM(Outputs!Q31:Q37)</f>
        <v>0</v>
      </c>
      <c r="I22" s="415">
        <f>SUM(Outputs!R31:R37)</f>
        <v>0</v>
      </c>
      <c r="J22" s="415">
        <f>SUM(Outputs!S31:S37)</f>
        <v>0</v>
      </c>
    </row>
    <row r="23" spans="2:10" ht="14.4" x14ac:dyDescent="0.25">
      <c r="B23" s="334" t="s">
        <v>358</v>
      </c>
      <c r="C23" s="334" t="s">
        <v>359</v>
      </c>
      <c r="D23" s="411" t="s">
        <v>248</v>
      </c>
      <c r="E23" s="333" t="s">
        <v>312</v>
      </c>
      <c r="F23" s="416" t="str">
        <f ca="1">CONCATENATE("[…]", TEXT(NOW(),"dd/mm/yyy hh:mm:ss"))</f>
        <v>[…]10/11/2020 15:38:37</v>
      </c>
      <c r="G23" s="416" t="str">
        <f t="shared" ref="G23:J23" ca="1" si="0">CONCATENATE("[…]", TEXT(NOW(),"dd/mm/yyy hh:mm:ss"))</f>
        <v>[…]10/11/2020 15:38:37</v>
      </c>
      <c r="H23" s="416" t="str">
        <f t="shared" ca="1" si="0"/>
        <v>[…]10/11/2020 15:38:37</v>
      </c>
      <c r="I23" s="416" t="str">
        <f t="shared" ca="1" si="0"/>
        <v>[…]10/11/2020 15:38:37</v>
      </c>
      <c r="J23" s="416" t="str">
        <f t="shared" ca="1" si="0"/>
        <v>[…]10/11/2020 15:38:37</v>
      </c>
    </row>
    <row r="24" spans="2:10" x14ac:dyDescent="0.25">
      <c r="B24" s="334" t="s">
        <v>360</v>
      </c>
      <c r="C24" s="334" t="s">
        <v>361</v>
      </c>
      <c r="D24" s="411" t="s">
        <v>248</v>
      </c>
      <c r="E24" s="333" t="s">
        <v>312</v>
      </c>
      <c r="F24" s="417" t="str">
        <f ca="1">MID(CELL("filename",A1),SEARCH("[",CELL("filename",A1))+1,SEARCH(".",CELL("filename",A1))-1-SEARCH("[",CELL("filename",A1)))</f>
        <v>In-period adjustment model_SVE_BYRun2</v>
      </c>
      <c r="G24" s="417" t="str">
        <f t="shared" ref="G24:J24" ca="1" si="1">MID(CELL("filename",B1),SEARCH("[",CELL("filename",B1))+1,SEARCH(".",CELL("filename",B1))-1-SEARCH("[",CELL("filename",B1)))</f>
        <v>In-period adjustment model_SVE_BYRun2</v>
      </c>
      <c r="H24" s="417" t="str">
        <f t="shared" ca="1" si="1"/>
        <v>In-period adjustment model_SVE_BYRun2</v>
      </c>
      <c r="I24" s="417" t="str">
        <f t="shared" ca="1" si="1"/>
        <v>In-period adjustment model_SVE_BYRun2</v>
      </c>
      <c r="J24" s="417" t="str">
        <f t="shared" ca="1" si="1"/>
        <v>In-period adjustment model_SVE_BYRun2</v>
      </c>
    </row>
  </sheetData>
  <sheetProtection sort="0"/>
  <pageMargins left="0.70866141732283472" right="0.70866141732283472" top="0.74803149606299213" bottom="0.74803149606299213"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25"/>
    <row r="19" spans="1:7" x14ac:dyDescent="0.25">
      <c r="E19" s="298" t="s">
        <v>38</v>
      </c>
      <c r="G19" s="301" t="s">
        <v>39</v>
      </c>
    </row>
    <row r="20" spans="1:7" ht="9" customHeight="1" x14ac:dyDescent="0.25"/>
    <row r="21" spans="1:7" x14ac:dyDescent="0.25">
      <c r="E21" s="299" t="s">
        <v>40</v>
      </c>
      <c r="G21" s="301" t="s">
        <v>41</v>
      </c>
    </row>
    <row r="22" spans="1:7" ht="13.8" x14ac:dyDescent="0.3">
      <c r="B22" s="399"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0.8984375" style="402" customWidth="1"/>
    <col min="15" max="15" width="8.8984375" customWidth="1"/>
  </cols>
  <sheetData>
    <row r="1" spans="1:14" x14ac:dyDescent="0.25">
      <c r="C1" t="s">
        <v>319</v>
      </c>
    </row>
    <row r="2" spans="1:14" x14ac:dyDescent="0.25">
      <c r="A2" t="s">
        <v>198</v>
      </c>
      <c r="B2" t="s">
        <v>15</v>
      </c>
      <c r="C2" t="s">
        <v>310</v>
      </c>
      <c r="D2" t="s">
        <v>85</v>
      </c>
      <c r="E2" t="s">
        <v>311</v>
      </c>
      <c r="F2" s="402" t="s">
        <v>246</v>
      </c>
      <c r="G2" s="402" t="s">
        <v>317</v>
      </c>
      <c r="H2" s="402" t="s">
        <v>201</v>
      </c>
      <c r="I2" s="402" t="s">
        <v>205</v>
      </c>
      <c r="J2" s="402" t="s">
        <v>209</v>
      </c>
      <c r="K2" s="402" t="s">
        <v>212</v>
      </c>
      <c r="L2" s="402" t="s">
        <v>215</v>
      </c>
      <c r="M2" s="402" t="s">
        <v>218</v>
      </c>
      <c r="N2" s="402" t="s">
        <v>315</v>
      </c>
    </row>
    <row r="4" spans="1:14" x14ac:dyDescent="0.25">
      <c r="F4" s="402" t="s">
        <v>312</v>
      </c>
      <c r="G4" s="402" t="s">
        <v>312</v>
      </c>
      <c r="H4" s="402" t="s">
        <v>312</v>
      </c>
      <c r="I4" s="402" t="s">
        <v>312</v>
      </c>
      <c r="J4" s="402" t="s">
        <v>312</v>
      </c>
      <c r="K4" s="402" t="s">
        <v>312</v>
      </c>
      <c r="L4" s="402" t="s">
        <v>312</v>
      </c>
      <c r="M4" s="402" t="s">
        <v>312</v>
      </c>
      <c r="N4" s="402" t="s">
        <v>312</v>
      </c>
    </row>
    <row r="5" spans="1:14" x14ac:dyDescent="0.25">
      <c r="F5" s="402" t="s">
        <v>377</v>
      </c>
      <c r="G5" s="402" t="s">
        <v>377</v>
      </c>
      <c r="H5" s="402" t="s">
        <v>377</v>
      </c>
      <c r="I5" s="402" t="s">
        <v>377</v>
      </c>
      <c r="J5" s="402" t="s">
        <v>377</v>
      </c>
      <c r="K5" s="402" t="s">
        <v>377</v>
      </c>
      <c r="L5" s="402" t="s">
        <v>377</v>
      </c>
      <c r="M5" s="402" t="s">
        <v>377</v>
      </c>
      <c r="N5" s="402" t="s">
        <v>377</v>
      </c>
    </row>
    <row r="6" spans="1:14" x14ac:dyDescent="0.25">
      <c r="F6" s="402" t="s">
        <v>313</v>
      </c>
      <c r="G6" s="402" t="s">
        <v>313</v>
      </c>
      <c r="H6" s="402" t="s">
        <v>313</v>
      </c>
      <c r="I6" s="402" t="s">
        <v>313</v>
      </c>
      <c r="J6" s="402" t="s">
        <v>313</v>
      </c>
      <c r="K6" s="402" t="s">
        <v>313</v>
      </c>
      <c r="L6" s="402" t="s">
        <v>313</v>
      </c>
      <c r="M6" s="402" t="s">
        <v>313</v>
      </c>
      <c r="N6" s="402" t="s">
        <v>313</v>
      </c>
    </row>
    <row r="7" spans="1:14" x14ac:dyDescent="0.25">
      <c r="A7" t="s">
        <v>217</v>
      </c>
      <c r="B7" t="s">
        <v>382</v>
      </c>
      <c r="C7" t="s">
        <v>383</v>
      </c>
      <c r="D7" t="s">
        <v>314</v>
      </c>
      <c r="E7" t="s">
        <v>312</v>
      </c>
      <c r="F7" s="403"/>
      <c r="G7" s="403">
        <v>0</v>
      </c>
      <c r="H7" s="403">
        <v>0</v>
      </c>
      <c r="I7" s="403">
        <v>78.463070759686502</v>
      </c>
      <c r="J7" s="403">
        <v>81.107859450577493</v>
      </c>
      <c r="K7" s="403">
        <v>85.832390821535</v>
      </c>
      <c r="L7" s="403">
        <v>90.821000064684398</v>
      </c>
      <c r="M7" s="403">
        <v>83.879707493725505</v>
      </c>
      <c r="N7" s="403">
        <v>420.104028590209</v>
      </c>
    </row>
    <row r="8" spans="1:14" x14ac:dyDescent="0.25">
      <c r="A8" t="s">
        <v>217</v>
      </c>
      <c r="B8" t="s">
        <v>384</v>
      </c>
      <c r="C8" t="s">
        <v>385</v>
      </c>
      <c r="D8" t="s">
        <v>386</v>
      </c>
      <c r="E8" t="s">
        <v>312</v>
      </c>
      <c r="F8" s="404"/>
      <c r="G8" s="404">
        <v>0</v>
      </c>
      <c r="H8" s="404">
        <v>0</v>
      </c>
      <c r="I8" s="404">
        <v>0</v>
      </c>
      <c r="J8" s="404">
        <v>3.4500000000000003E-2</v>
      </c>
      <c r="K8" s="404">
        <v>6.0199999999999997E-2</v>
      </c>
      <c r="L8" s="404">
        <v>5.94999999999999E-2</v>
      </c>
      <c r="M8" s="404">
        <v>-7.8E-2</v>
      </c>
      <c r="N8" s="404"/>
    </row>
    <row r="9" spans="1:14" x14ac:dyDescent="0.25">
      <c r="A9" t="s">
        <v>217</v>
      </c>
      <c r="B9" t="s">
        <v>387</v>
      </c>
      <c r="C9" t="s">
        <v>388</v>
      </c>
      <c r="D9" t="s">
        <v>314</v>
      </c>
      <c r="E9" t="s">
        <v>312</v>
      </c>
      <c r="F9" s="403"/>
      <c r="G9" s="403">
        <v>0</v>
      </c>
      <c r="H9" s="403">
        <v>0</v>
      </c>
      <c r="I9" s="403">
        <v>630.327595581943</v>
      </c>
      <c r="J9" s="403">
        <v>627.14570997776605</v>
      </c>
      <c r="K9" s="403">
        <v>616.67442181042804</v>
      </c>
      <c r="L9" s="403">
        <v>606.30828738024604</v>
      </c>
      <c r="M9" s="403">
        <v>607.93892765636099</v>
      </c>
      <c r="N9" s="403">
        <v>3088.39494240674</v>
      </c>
    </row>
    <row r="10" spans="1:14" x14ac:dyDescent="0.25">
      <c r="A10" t="s">
        <v>217</v>
      </c>
      <c r="B10" t="s">
        <v>389</v>
      </c>
      <c r="C10" t="s">
        <v>390</v>
      </c>
      <c r="D10" t="s">
        <v>386</v>
      </c>
      <c r="E10" t="s">
        <v>312</v>
      </c>
      <c r="F10" s="404"/>
      <c r="G10" s="404">
        <v>0</v>
      </c>
      <c r="H10" s="404">
        <v>0</v>
      </c>
      <c r="I10" s="404">
        <v>0</v>
      </c>
      <c r="J10" s="404">
        <v>-5.0000000000000001E-3</v>
      </c>
      <c r="K10" s="404">
        <v>-1.6299999999999999E-2</v>
      </c>
      <c r="L10" s="404">
        <v>-1.7000000000000001E-2</v>
      </c>
      <c r="M10" s="404">
        <v>2.79999999999999E-3</v>
      </c>
      <c r="N10" s="404"/>
    </row>
    <row r="11" spans="1:14" x14ac:dyDescent="0.25">
      <c r="A11" t="s">
        <v>217</v>
      </c>
      <c r="B11" t="s">
        <v>391</v>
      </c>
      <c r="C11" t="s">
        <v>392</v>
      </c>
      <c r="D11" t="s">
        <v>314</v>
      </c>
      <c r="E11" t="s">
        <v>312</v>
      </c>
      <c r="F11" s="403"/>
      <c r="G11" s="403">
        <v>0</v>
      </c>
      <c r="H11" s="403">
        <v>0</v>
      </c>
      <c r="I11" s="403">
        <v>708.79066634162905</v>
      </c>
      <c r="J11" s="403">
        <v>708.25356942834298</v>
      </c>
      <c r="K11" s="403">
        <v>702.50681263196304</v>
      </c>
      <c r="L11" s="403">
        <v>697.12928744493001</v>
      </c>
      <c r="M11" s="403">
        <v>691.81863515008604</v>
      </c>
      <c r="N11" s="403">
        <v>3508.49897099695</v>
      </c>
    </row>
    <row r="12" spans="1:14" x14ac:dyDescent="0.25">
      <c r="A12" t="s">
        <v>217</v>
      </c>
      <c r="B12" t="s">
        <v>393</v>
      </c>
      <c r="C12" t="s">
        <v>394</v>
      </c>
      <c r="D12" t="s">
        <v>386</v>
      </c>
      <c r="E12" t="s">
        <v>312</v>
      </c>
      <c r="F12" s="404"/>
      <c r="G12" s="404">
        <v>0</v>
      </c>
      <c r="H12" s="404">
        <v>0</v>
      </c>
      <c r="I12" s="404">
        <v>0</v>
      </c>
      <c r="J12" s="404">
        <v>-5.9999999999999995E-4</v>
      </c>
      <c r="K12" s="404">
        <v>-7.4999999999999997E-3</v>
      </c>
      <c r="L12" s="404">
        <v>-7.7000000000000002E-3</v>
      </c>
      <c r="M12" s="404">
        <v>-7.7000000000000002E-3</v>
      </c>
      <c r="N12" s="404"/>
    </row>
    <row r="13" spans="1:14" x14ac:dyDescent="0.25">
      <c r="A13" t="s">
        <v>217</v>
      </c>
      <c r="B13" t="s">
        <v>395</v>
      </c>
      <c r="C13" t="s">
        <v>396</v>
      </c>
      <c r="D13" t="s">
        <v>314</v>
      </c>
      <c r="E13" t="s">
        <v>312</v>
      </c>
      <c r="F13" s="403"/>
      <c r="G13" s="403">
        <v>0</v>
      </c>
      <c r="H13" s="403">
        <v>0</v>
      </c>
      <c r="I13" s="403">
        <v>697.75798122532501</v>
      </c>
      <c r="J13" s="403">
        <v>684.99905026517695</v>
      </c>
      <c r="K13" s="403">
        <v>675.83598407077102</v>
      </c>
      <c r="L13" s="403">
        <v>669.26912439108105</v>
      </c>
      <c r="M13" s="403">
        <v>675.93316155734396</v>
      </c>
      <c r="N13" s="403">
        <v>3403.7953015097</v>
      </c>
    </row>
    <row r="14" spans="1:14" x14ac:dyDescent="0.25">
      <c r="A14" t="s">
        <v>217</v>
      </c>
      <c r="B14" t="s">
        <v>397</v>
      </c>
      <c r="C14" t="s">
        <v>398</v>
      </c>
      <c r="D14" t="s">
        <v>386</v>
      </c>
      <c r="E14" t="s">
        <v>312</v>
      </c>
      <c r="F14" s="404"/>
      <c r="G14" s="404">
        <v>0</v>
      </c>
      <c r="H14" s="404">
        <v>0</v>
      </c>
      <c r="I14" s="404">
        <v>0</v>
      </c>
      <c r="J14" s="404">
        <v>-1.8499999999999999E-2</v>
      </c>
      <c r="K14" s="404">
        <v>-1.29E-2</v>
      </c>
      <c r="L14" s="404">
        <v>-9.7999999999999997E-3</v>
      </c>
      <c r="M14" s="404">
        <v>1.0200000000000001E-2</v>
      </c>
      <c r="N14" s="404"/>
    </row>
    <row r="15" spans="1:14" x14ac:dyDescent="0.25">
      <c r="A15" t="s">
        <v>217</v>
      </c>
      <c r="B15" t="s">
        <v>399</v>
      </c>
      <c r="C15" t="s">
        <v>400</v>
      </c>
      <c r="D15" t="s">
        <v>401</v>
      </c>
      <c r="E15" t="s">
        <v>312</v>
      </c>
      <c r="F15" s="405">
        <v>233.8</v>
      </c>
      <c r="G15" s="405">
        <v>238.89005017576</v>
      </c>
      <c r="H15" s="405">
        <v>235.44397856482399</v>
      </c>
      <c r="I15" s="405">
        <v>241.9</v>
      </c>
      <c r="J15" s="405">
        <v>242.7</v>
      </c>
      <c r="K15" s="405">
        <v>243.8</v>
      </c>
      <c r="L15" s="405">
        <v>244.4</v>
      </c>
      <c r="M15" s="405">
        <v>245.5</v>
      </c>
      <c r="N15" s="405"/>
    </row>
    <row r="16" spans="1:14" x14ac:dyDescent="0.25">
      <c r="A16" t="s">
        <v>217</v>
      </c>
      <c r="B16" t="s">
        <v>402</v>
      </c>
      <c r="C16" t="s">
        <v>403</v>
      </c>
      <c r="D16" t="s">
        <v>314</v>
      </c>
      <c r="E16" t="s">
        <v>312</v>
      </c>
      <c r="F16" s="403"/>
      <c r="G16" s="403">
        <v>0</v>
      </c>
      <c r="H16" s="403">
        <v>0</v>
      </c>
      <c r="I16" s="403">
        <v>80.841293364988104</v>
      </c>
      <c r="J16" s="403">
        <v>78.763387785828201</v>
      </c>
      <c r="K16" s="403">
        <v>76.305201067380807</v>
      </c>
      <c r="L16" s="403">
        <v>75.088696685175705</v>
      </c>
      <c r="M16" s="403">
        <v>74.805623592464997</v>
      </c>
      <c r="N16" s="403">
        <v>385.80420249583801</v>
      </c>
    </row>
    <row r="17" spans="1:14" x14ac:dyDescent="0.25">
      <c r="A17" t="s">
        <v>217</v>
      </c>
      <c r="B17" t="s">
        <v>404</v>
      </c>
      <c r="C17" t="s">
        <v>405</v>
      </c>
      <c r="D17" t="s">
        <v>314</v>
      </c>
      <c r="E17" t="s">
        <v>312</v>
      </c>
      <c r="F17" s="403"/>
      <c r="G17" s="403"/>
      <c r="H17" s="403"/>
      <c r="I17" s="403">
        <v>104.03481929939301</v>
      </c>
      <c r="J17" s="403">
        <v>105.067003212149</v>
      </c>
      <c r="K17" s="403">
        <v>106.06165767437101</v>
      </c>
      <c r="L17" s="403">
        <v>107.007583049243</v>
      </c>
      <c r="M17" s="403">
        <v>107.922253003295</v>
      </c>
      <c r="N17" s="403">
        <v>530.09331623845105</v>
      </c>
    </row>
    <row r="18" spans="1:14" x14ac:dyDescent="0.25">
      <c r="A18" t="s">
        <v>217</v>
      </c>
      <c r="B18" t="s">
        <v>406</v>
      </c>
      <c r="C18" t="s">
        <v>407</v>
      </c>
      <c r="D18" t="s">
        <v>314</v>
      </c>
      <c r="E18" t="s">
        <v>312</v>
      </c>
      <c r="F18" s="403"/>
      <c r="G18" s="403">
        <v>0</v>
      </c>
      <c r="H18" s="403">
        <v>0</v>
      </c>
      <c r="I18" s="403">
        <v>78.463070759686502</v>
      </c>
      <c r="J18" s="403">
        <v>81.107859450577493</v>
      </c>
      <c r="K18" s="403">
        <v>85.832390821535</v>
      </c>
      <c r="L18" s="403">
        <v>90.821000064684398</v>
      </c>
      <c r="M18" s="403">
        <v>83.879707493725505</v>
      </c>
      <c r="N18" s="403">
        <v>420.104028590209</v>
      </c>
    </row>
    <row r="19" spans="1:14" x14ac:dyDescent="0.25">
      <c r="A19" t="s">
        <v>217</v>
      </c>
      <c r="B19" t="s">
        <v>408</v>
      </c>
      <c r="C19" t="s">
        <v>409</v>
      </c>
      <c r="D19" t="s">
        <v>314</v>
      </c>
      <c r="E19" t="s">
        <v>312</v>
      </c>
      <c r="F19" s="403"/>
      <c r="G19" s="403">
        <v>0</v>
      </c>
      <c r="H19" s="403">
        <v>0</v>
      </c>
      <c r="I19" s="403">
        <v>630.327595581943</v>
      </c>
      <c r="J19" s="403">
        <v>627.14570997776605</v>
      </c>
      <c r="K19" s="403">
        <v>616.67442181042804</v>
      </c>
      <c r="L19" s="403">
        <v>606.30828738024604</v>
      </c>
      <c r="M19" s="403">
        <v>607.93892765636099</v>
      </c>
      <c r="N19" s="403">
        <v>3088.39494240674</v>
      </c>
    </row>
    <row r="20" spans="1:14" x14ac:dyDescent="0.25">
      <c r="A20" t="s">
        <v>217</v>
      </c>
      <c r="B20" t="s">
        <v>410</v>
      </c>
      <c r="C20" t="s">
        <v>411</v>
      </c>
      <c r="D20" t="s">
        <v>314</v>
      </c>
      <c r="E20" t="s">
        <v>312</v>
      </c>
      <c r="F20" s="403"/>
      <c r="G20" s="403">
        <v>0</v>
      </c>
      <c r="H20" s="403">
        <v>0</v>
      </c>
      <c r="I20" s="403">
        <v>697.75798122532501</v>
      </c>
      <c r="J20" s="403">
        <v>684.99905026517695</v>
      </c>
      <c r="K20" s="403">
        <v>675.83598407077102</v>
      </c>
      <c r="L20" s="403">
        <v>669.26912439108105</v>
      </c>
      <c r="M20" s="403">
        <v>675.93316155734396</v>
      </c>
      <c r="N20" s="403">
        <v>3403.7953015097</v>
      </c>
    </row>
    <row r="21" spans="1:14" x14ac:dyDescent="0.25">
      <c r="A21" t="s">
        <v>217</v>
      </c>
      <c r="B21" t="s">
        <v>412</v>
      </c>
      <c r="C21" t="s">
        <v>413</v>
      </c>
      <c r="D21" t="s">
        <v>316</v>
      </c>
      <c r="E21" t="s">
        <v>312</v>
      </c>
      <c r="F21" s="405">
        <v>103.2</v>
      </c>
      <c r="G21" s="405">
        <v>105.5</v>
      </c>
      <c r="H21" s="405">
        <v>107.6</v>
      </c>
      <c r="I21" s="405">
        <v>109.703354739972</v>
      </c>
      <c r="J21" s="405">
        <v>111.897421834771</v>
      </c>
      <c r="K21" s="405">
        <v>114.172657229451</v>
      </c>
      <c r="L21" s="405">
        <v>116.57028303126999</v>
      </c>
      <c r="M21" s="405">
        <v>119.01825897492699</v>
      </c>
      <c r="N21" s="405"/>
    </row>
    <row r="22" spans="1:14" x14ac:dyDescent="0.25">
      <c r="A22" t="s">
        <v>217</v>
      </c>
      <c r="B22" t="s">
        <v>414</v>
      </c>
      <c r="C22" t="s">
        <v>415</v>
      </c>
      <c r="D22" t="s">
        <v>316</v>
      </c>
      <c r="E22" t="s">
        <v>312</v>
      </c>
      <c r="F22" s="405">
        <v>103.5</v>
      </c>
      <c r="G22" s="405">
        <v>105.9</v>
      </c>
      <c r="H22" s="405">
        <v>107.9</v>
      </c>
      <c r="I22" s="405">
        <v>109.884538749418</v>
      </c>
      <c r="J22" s="405">
        <v>112.082229524407</v>
      </c>
      <c r="K22" s="405">
        <v>114.370561696745</v>
      </c>
      <c r="L22" s="405">
        <v>116.772343492377</v>
      </c>
      <c r="M22" s="405">
        <v>119.22456270571701</v>
      </c>
      <c r="N22" s="405"/>
    </row>
    <row r="23" spans="1:14" x14ac:dyDescent="0.25">
      <c r="A23" t="s">
        <v>217</v>
      </c>
      <c r="B23" t="s">
        <v>416</v>
      </c>
      <c r="C23" t="s">
        <v>417</v>
      </c>
      <c r="D23" t="s">
        <v>316</v>
      </c>
      <c r="E23" t="s">
        <v>312</v>
      </c>
      <c r="F23" s="405">
        <v>103.5</v>
      </c>
      <c r="G23" s="405">
        <v>105.9</v>
      </c>
      <c r="H23" s="405">
        <v>107.9</v>
      </c>
      <c r="I23" s="405">
        <v>110.066021998987</v>
      </c>
      <c r="J23" s="405">
        <v>112.26734243896701</v>
      </c>
      <c r="K23" s="405">
        <v>114.568809207453</v>
      </c>
      <c r="L23" s="405">
        <v>116.97475420081</v>
      </c>
      <c r="M23" s="405">
        <v>119.431224039027</v>
      </c>
      <c r="N23" s="405"/>
    </row>
    <row r="24" spans="1:14" x14ac:dyDescent="0.25">
      <c r="A24" t="s">
        <v>217</v>
      </c>
      <c r="B24" t="s">
        <v>418</v>
      </c>
      <c r="C24" t="s">
        <v>419</v>
      </c>
      <c r="D24" t="s">
        <v>316</v>
      </c>
      <c r="E24" t="s">
        <v>312</v>
      </c>
      <c r="F24" s="405">
        <v>103.5</v>
      </c>
      <c r="G24" s="405">
        <v>105.9</v>
      </c>
      <c r="H24" s="405">
        <v>108</v>
      </c>
      <c r="I24" s="405">
        <v>110.24780498289699</v>
      </c>
      <c r="J24" s="405">
        <v>112.452761082555</v>
      </c>
      <c r="K24" s="405">
        <v>114.7674003562</v>
      </c>
      <c r="L24" s="405">
        <v>117.17751576368001</v>
      </c>
      <c r="M24" s="405">
        <v>119.638243594717</v>
      </c>
      <c r="N24" s="405"/>
    </row>
    <row r="25" spans="1:14" x14ac:dyDescent="0.25">
      <c r="A25" t="s">
        <v>217</v>
      </c>
      <c r="B25" t="s">
        <v>420</v>
      </c>
      <c r="C25" t="s">
        <v>421</v>
      </c>
      <c r="D25" t="s">
        <v>316</v>
      </c>
      <c r="E25" t="s">
        <v>312</v>
      </c>
      <c r="F25" s="405">
        <v>104</v>
      </c>
      <c r="G25" s="405">
        <v>106.5</v>
      </c>
      <c r="H25" s="405">
        <v>108.3</v>
      </c>
      <c r="I25" s="405">
        <v>110.429888196185</v>
      </c>
      <c r="J25" s="405">
        <v>112.638485960108</v>
      </c>
      <c r="K25" s="405">
        <v>114.96633573864</v>
      </c>
      <c r="L25" s="405">
        <v>117.380628789151</v>
      </c>
      <c r="M25" s="405">
        <v>119.845621993724</v>
      </c>
      <c r="N25" s="405"/>
    </row>
    <row r="26" spans="1:14" x14ac:dyDescent="0.25">
      <c r="A26" t="s">
        <v>217</v>
      </c>
      <c r="B26" t="s">
        <v>422</v>
      </c>
      <c r="C26" t="s">
        <v>423</v>
      </c>
      <c r="D26" t="s">
        <v>316</v>
      </c>
      <c r="E26" t="s">
        <v>312</v>
      </c>
      <c r="F26" s="405">
        <v>104.3</v>
      </c>
      <c r="G26" s="405">
        <v>106.6</v>
      </c>
      <c r="H26" s="405">
        <v>108.469999617629</v>
      </c>
      <c r="I26" s="405">
        <v>110.61227213470301</v>
      </c>
      <c r="J26" s="405">
        <v>112.824517577397</v>
      </c>
      <c r="K26" s="405">
        <v>115.16561595146101</v>
      </c>
      <c r="L26" s="405">
        <v>117.58409388644201</v>
      </c>
      <c r="M26" s="405">
        <v>120.05335985805699</v>
      </c>
      <c r="N26" s="405"/>
    </row>
    <row r="27" spans="1:14" x14ac:dyDescent="0.25">
      <c r="A27" t="s">
        <v>217</v>
      </c>
      <c r="B27" t="s">
        <v>424</v>
      </c>
      <c r="C27" t="s">
        <v>425</v>
      </c>
      <c r="D27" t="s">
        <v>316</v>
      </c>
      <c r="E27" t="s">
        <v>312</v>
      </c>
      <c r="F27" s="405">
        <v>104.4</v>
      </c>
      <c r="G27" s="405">
        <v>106.7</v>
      </c>
      <c r="H27" s="405">
        <v>108.64026608539599</v>
      </c>
      <c r="I27" s="405">
        <v>110.794957295123</v>
      </c>
      <c r="J27" s="405">
        <v>113.01085644102599</v>
      </c>
      <c r="K27" s="405">
        <v>115.365241592385</v>
      </c>
      <c r="L27" s="405">
        <v>117.78791166582501</v>
      </c>
      <c r="M27" s="405">
        <v>120.261457810807</v>
      </c>
      <c r="N27" s="405"/>
    </row>
    <row r="28" spans="1:14" x14ac:dyDescent="0.25">
      <c r="A28" t="s">
        <v>217</v>
      </c>
      <c r="B28" t="s">
        <v>426</v>
      </c>
      <c r="C28" t="s">
        <v>427</v>
      </c>
      <c r="D28" t="s">
        <v>316</v>
      </c>
      <c r="E28" t="s">
        <v>312</v>
      </c>
      <c r="F28" s="405">
        <v>104.7</v>
      </c>
      <c r="G28" s="405">
        <v>106.9</v>
      </c>
      <c r="H28" s="405">
        <v>108.81079982217901</v>
      </c>
      <c r="I28" s="405">
        <v>110.977944174939</v>
      </c>
      <c r="J28" s="405">
        <v>113.197503058438</v>
      </c>
      <c r="K28" s="405">
        <v>115.565213260169</v>
      </c>
      <c r="L28" s="405">
        <v>117.992082738633</v>
      </c>
      <c r="M28" s="405">
        <v>120.46991647614399</v>
      </c>
      <c r="N28" s="405"/>
    </row>
    <row r="29" spans="1:14" x14ac:dyDescent="0.25">
      <c r="A29" t="s">
        <v>217</v>
      </c>
      <c r="B29" t="s">
        <v>428</v>
      </c>
      <c r="C29" t="s">
        <v>429</v>
      </c>
      <c r="D29" t="s">
        <v>316</v>
      </c>
      <c r="E29" t="s">
        <v>312</v>
      </c>
      <c r="F29" s="405">
        <v>105</v>
      </c>
      <c r="G29" s="405">
        <v>107.1</v>
      </c>
      <c r="H29" s="405">
        <v>108.981601247513</v>
      </c>
      <c r="I29" s="405">
        <v>111.161233272464</v>
      </c>
      <c r="J29" s="405">
        <v>113.384457937913</v>
      </c>
      <c r="K29" s="405">
        <v>115.765531554609</v>
      </c>
      <c r="L29" s="405">
        <v>118.196607717256</v>
      </c>
      <c r="M29" s="405">
        <v>120.678736479319</v>
      </c>
      <c r="N29" s="405"/>
    </row>
    <row r="30" spans="1:14" x14ac:dyDescent="0.25">
      <c r="A30" t="s">
        <v>217</v>
      </c>
      <c r="B30" t="s">
        <v>430</v>
      </c>
      <c r="C30" t="s">
        <v>431</v>
      </c>
      <c r="D30" t="s">
        <v>316</v>
      </c>
      <c r="E30" t="s">
        <v>312</v>
      </c>
      <c r="F30" s="405">
        <v>104.5</v>
      </c>
      <c r="G30" s="405">
        <v>106.4</v>
      </c>
      <c r="H30" s="405">
        <v>109.161593222387</v>
      </c>
      <c r="I30" s="405">
        <v>111.344825086835</v>
      </c>
      <c r="J30" s="405">
        <v>113.580996157239</v>
      </c>
      <c r="K30" s="405">
        <v>115.96619707654099</v>
      </c>
      <c r="L30" s="405">
        <v>118.40148721514799</v>
      </c>
      <c r="M30" s="405">
        <v>120.887918446667</v>
      </c>
      <c r="N30" s="405"/>
    </row>
    <row r="31" spans="1:14" x14ac:dyDescent="0.25">
      <c r="A31" t="s">
        <v>217</v>
      </c>
      <c r="B31" t="s">
        <v>432</v>
      </c>
      <c r="C31" t="s">
        <v>433</v>
      </c>
      <c r="D31" t="s">
        <v>316</v>
      </c>
      <c r="E31" t="s">
        <v>312</v>
      </c>
      <c r="F31" s="405">
        <v>104.9</v>
      </c>
      <c r="G31" s="405">
        <v>106.8</v>
      </c>
      <c r="H31" s="405">
        <v>109.341882468641</v>
      </c>
      <c r="I31" s="405">
        <v>111.52872011801399</v>
      </c>
      <c r="J31" s="405">
        <v>113.77787505175399</v>
      </c>
      <c r="K31" s="405">
        <v>116.167210427841</v>
      </c>
      <c r="L31" s="405">
        <v>118.606721846825</v>
      </c>
      <c r="M31" s="405">
        <v>121.097463005609</v>
      </c>
      <c r="N31" s="405"/>
    </row>
    <row r="32" spans="1:14" x14ac:dyDescent="0.25">
      <c r="A32" t="s">
        <v>217</v>
      </c>
      <c r="B32" t="s">
        <v>434</v>
      </c>
      <c r="C32" t="s">
        <v>435</v>
      </c>
      <c r="D32" t="s">
        <v>316</v>
      </c>
      <c r="E32" t="s">
        <v>312</v>
      </c>
      <c r="F32" s="405">
        <v>105.1</v>
      </c>
      <c r="G32" s="405">
        <v>107</v>
      </c>
      <c r="H32" s="405">
        <v>109.52246947724301</v>
      </c>
      <c r="I32" s="405">
        <v>111.712918866788</v>
      </c>
      <c r="J32" s="405">
        <v>113.97509521197701</v>
      </c>
      <c r="K32" s="405">
        <v>116.368572211429</v>
      </c>
      <c r="L32" s="405">
        <v>118.812312227869</v>
      </c>
      <c r="M32" s="405">
        <v>121.307370784654</v>
      </c>
      <c r="N32" s="405"/>
    </row>
    <row r="33" spans="1:14" x14ac:dyDescent="0.25">
      <c r="A33" t="s">
        <v>217</v>
      </c>
      <c r="B33" t="s">
        <v>426</v>
      </c>
      <c r="C33" t="s">
        <v>427</v>
      </c>
      <c r="D33" t="s">
        <v>316</v>
      </c>
      <c r="E33" t="s">
        <v>312</v>
      </c>
      <c r="F33" s="405">
        <v>104.7</v>
      </c>
      <c r="G33" s="405">
        <v>106.9</v>
      </c>
      <c r="H33" s="405">
        <v>108.81079982217901</v>
      </c>
      <c r="I33" s="405">
        <v>110.977944174939</v>
      </c>
      <c r="J33" s="405">
        <v>113.197503058438</v>
      </c>
      <c r="K33" s="405">
        <v>115.565213260169</v>
      </c>
      <c r="L33" s="405">
        <v>117.992082738633</v>
      </c>
      <c r="M33" s="405">
        <v>120.46991647614399</v>
      </c>
      <c r="N33" s="405"/>
    </row>
    <row r="34" spans="1:14" x14ac:dyDescent="0.25">
      <c r="A34" t="s">
        <v>217</v>
      </c>
      <c r="B34" t="s">
        <v>436</v>
      </c>
      <c r="C34" t="s">
        <v>437</v>
      </c>
      <c r="D34" t="s">
        <v>314</v>
      </c>
      <c r="E34" t="s">
        <v>312</v>
      </c>
      <c r="F34" s="406"/>
      <c r="G34" s="406"/>
      <c r="H34" s="406">
        <v>0.42125785231032398</v>
      </c>
      <c r="I34" s="406"/>
      <c r="J34" s="406"/>
      <c r="K34" s="406"/>
      <c r="L34" s="406"/>
      <c r="M34" s="406"/>
      <c r="N34" s="406"/>
    </row>
    <row r="35" spans="1:14" x14ac:dyDescent="0.25">
      <c r="A35" t="s">
        <v>217</v>
      </c>
      <c r="B35" t="s">
        <v>438</v>
      </c>
      <c r="C35" t="s">
        <v>439</v>
      </c>
      <c r="D35" t="s">
        <v>314</v>
      </c>
      <c r="E35" t="s">
        <v>312</v>
      </c>
      <c r="F35" s="406"/>
      <c r="G35" s="406"/>
      <c r="H35" s="406">
        <v>-1.6425980017150099</v>
      </c>
      <c r="I35" s="406"/>
      <c r="J35" s="406"/>
      <c r="K35" s="406"/>
      <c r="L35" s="406"/>
      <c r="M35" s="406"/>
      <c r="N35" s="406"/>
    </row>
    <row r="36" spans="1:14" x14ac:dyDescent="0.25">
      <c r="A36" t="s">
        <v>217</v>
      </c>
      <c r="B36" t="s">
        <v>440</v>
      </c>
      <c r="C36" t="s">
        <v>441</v>
      </c>
      <c r="D36" t="s">
        <v>314</v>
      </c>
      <c r="E36" t="s">
        <v>312</v>
      </c>
      <c r="F36" s="406"/>
      <c r="G36" s="406"/>
      <c r="H36" s="407">
        <v>-16.442737740504302</v>
      </c>
      <c r="I36" s="406"/>
      <c r="J36" s="406"/>
      <c r="K36" s="406"/>
      <c r="L36" s="406"/>
      <c r="M36" s="406"/>
      <c r="N36" s="406"/>
    </row>
    <row r="37" spans="1:14" x14ac:dyDescent="0.25">
      <c r="A37" t="s">
        <v>217</v>
      </c>
      <c r="B37" t="s">
        <v>442</v>
      </c>
      <c r="C37" t="s">
        <v>443</v>
      </c>
      <c r="D37" t="s">
        <v>314</v>
      </c>
      <c r="E37" t="s">
        <v>312</v>
      </c>
      <c r="F37" s="406"/>
      <c r="G37" s="406"/>
      <c r="H37" s="407">
        <v>0</v>
      </c>
      <c r="I37" s="406"/>
      <c r="J37" s="406"/>
      <c r="K37" s="406"/>
      <c r="L37" s="406"/>
      <c r="M37" s="406"/>
      <c r="N37" s="406"/>
    </row>
    <row r="38" spans="1:14" x14ac:dyDescent="0.25">
      <c r="A38" t="s">
        <v>217</v>
      </c>
      <c r="B38" t="s">
        <v>444</v>
      </c>
      <c r="C38" t="s">
        <v>445</v>
      </c>
      <c r="D38" t="s">
        <v>314</v>
      </c>
      <c r="E38" t="s">
        <v>312</v>
      </c>
      <c r="F38" s="406"/>
      <c r="G38" s="406"/>
      <c r="H38" s="406">
        <v>0</v>
      </c>
      <c r="I38" s="406"/>
      <c r="J38" s="406"/>
      <c r="K38" s="406"/>
      <c r="L38" s="406"/>
      <c r="M38" s="406"/>
      <c r="N38" s="406"/>
    </row>
    <row r="39" spans="1:14" x14ac:dyDescent="0.25">
      <c r="A39" t="s">
        <v>217</v>
      </c>
      <c r="B39" t="s">
        <v>446</v>
      </c>
      <c r="C39" t="s">
        <v>447</v>
      </c>
      <c r="D39" t="s">
        <v>314</v>
      </c>
      <c r="E39" t="s">
        <v>312</v>
      </c>
      <c r="F39" s="406"/>
      <c r="G39" s="406"/>
      <c r="H39" s="406">
        <v>0</v>
      </c>
      <c r="I39" s="406"/>
      <c r="J39" s="406"/>
      <c r="K39" s="406"/>
      <c r="L39" s="406"/>
      <c r="M39" s="406"/>
      <c r="N39" s="406"/>
    </row>
    <row r="40" spans="1:14" x14ac:dyDescent="0.25">
      <c r="A40" t="s">
        <v>217</v>
      </c>
      <c r="B40" t="s">
        <v>448</v>
      </c>
      <c r="C40" t="s">
        <v>449</v>
      </c>
      <c r="D40" t="s">
        <v>314</v>
      </c>
      <c r="E40" t="s">
        <v>312</v>
      </c>
      <c r="F40" s="406"/>
      <c r="G40" s="406"/>
      <c r="H40" s="406">
        <v>0</v>
      </c>
      <c r="I40" s="406"/>
      <c r="J40" s="406"/>
      <c r="K40" s="406"/>
      <c r="L40" s="406"/>
      <c r="M40" s="406"/>
      <c r="N40" s="406"/>
    </row>
    <row r="41" spans="1:14" x14ac:dyDescent="0.25">
      <c r="A41" t="s">
        <v>217</v>
      </c>
      <c r="B41" t="s">
        <v>450</v>
      </c>
      <c r="C41" t="s">
        <v>451</v>
      </c>
      <c r="D41" t="s">
        <v>314</v>
      </c>
      <c r="E41" t="s">
        <v>312</v>
      </c>
      <c r="F41" s="406"/>
      <c r="G41" s="406"/>
      <c r="H41" s="406">
        <v>-17.664077889908999</v>
      </c>
      <c r="I41" s="406"/>
      <c r="J41" s="406"/>
      <c r="K41" s="406"/>
      <c r="L41" s="406"/>
      <c r="M41" s="406"/>
      <c r="N41" s="406"/>
    </row>
    <row r="42" spans="1:14" x14ac:dyDescent="0.25">
      <c r="A42" t="s">
        <v>217</v>
      </c>
      <c r="B42" t="s">
        <v>452</v>
      </c>
      <c r="C42" t="s">
        <v>453</v>
      </c>
      <c r="D42" t="s">
        <v>314</v>
      </c>
      <c r="E42" t="s">
        <v>312</v>
      </c>
      <c r="F42" s="403"/>
      <c r="G42" s="403">
        <v>0</v>
      </c>
      <c r="H42" s="403">
        <v>0</v>
      </c>
      <c r="I42" s="403">
        <v>80.841293364988104</v>
      </c>
      <c r="J42" s="403">
        <v>78.763387785828201</v>
      </c>
      <c r="K42" s="403">
        <v>76.305201067380807</v>
      </c>
      <c r="L42" s="403">
        <v>75.088696685175705</v>
      </c>
      <c r="M42" s="403">
        <v>74.805623592464997</v>
      </c>
      <c r="N42" s="403">
        <v>385.80420249583801</v>
      </c>
    </row>
    <row r="43" spans="1:14" x14ac:dyDescent="0.25">
      <c r="A43" t="s">
        <v>217</v>
      </c>
      <c r="B43" t="s">
        <v>454</v>
      </c>
      <c r="C43" t="s">
        <v>455</v>
      </c>
      <c r="D43" t="s">
        <v>314</v>
      </c>
      <c r="E43" t="s">
        <v>312</v>
      </c>
      <c r="F43" s="403"/>
      <c r="G43" s="403">
        <v>77.174780717638498</v>
      </c>
      <c r="H43" s="403">
        <v>76.061507809388004</v>
      </c>
      <c r="I43" s="403">
        <v>76.718295970348095</v>
      </c>
      <c r="J43" s="403">
        <v>76.964666039035905</v>
      </c>
      <c r="K43" s="403">
        <v>77.298515276828994</v>
      </c>
      <c r="L43" s="403">
        <v>77.508957352362103</v>
      </c>
      <c r="M43" s="403">
        <v>77.8494443790009</v>
      </c>
      <c r="N43" s="403">
        <v>386.33987901757598</v>
      </c>
    </row>
    <row r="44" spans="1:14" x14ac:dyDescent="0.25">
      <c r="A44" t="s">
        <v>217</v>
      </c>
      <c r="B44" t="s">
        <v>456</v>
      </c>
      <c r="C44" t="s">
        <v>457</v>
      </c>
      <c r="D44" t="s">
        <v>314</v>
      </c>
      <c r="E44" t="s">
        <v>312</v>
      </c>
      <c r="F44" s="403"/>
      <c r="G44" s="403">
        <v>0</v>
      </c>
      <c r="H44" s="403">
        <v>0</v>
      </c>
      <c r="I44" s="403">
        <v>0</v>
      </c>
      <c r="J44" s="403">
        <v>0</v>
      </c>
      <c r="K44" s="403">
        <v>0</v>
      </c>
      <c r="L44" s="403">
        <v>0</v>
      </c>
      <c r="M44" s="403">
        <v>0</v>
      </c>
      <c r="N44" s="403">
        <v>0</v>
      </c>
    </row>
    <row r="45" spans="1:14" x14ac:dyDescent="0.25">
      <c r="A45" t="s">
        <v>217</v>
      </c>
      <c r="B45" t="s">
        <v>458</v>
      </c>
      <c r="C45" t="s">
        <v>459</v>
      </c>
      <c r="D45" t="s">
        <v>386</v>
      </c>
      <c r="E45" t="s">
        <v>312</v>
      </c>
      <c r="F45" s="404"/>
      <c r="G45" s="404">
        <v>0</v>
      </c>
      <c r="H45" s="404">
        <v>0</v>
      </c>
      <c r="I45" s="404">
        <v>0</v>
      </c>
      <c r="J45" s="404">
        <v>0</v>
      </c>
      <c r="K45" s="404">
        <v>0</v>
      </c>
      <c r="L45" s="404">
        <v>0</v>
      </c>
      <c r="M45" s="404">
        <v>0</v>
      </c>
      <c r="N45" s="404"/>
    </row>
    <row r="46" spans="1:14" x14ac:dyDescent="0.25">
      <c r="A46" t="s">
        <v>217</v>
      </c>
      <c r="B46" t="s">
        <v>350</v>
      </c>
      <c r="C46" t="s">
        <v>325</v>
      </c>
      <c r="D46" t="s">
        <v>314</v>
      </c>
      <c r="E46" t="s">
        <v>312</v>
      </c>
      <c r="F46" s="406"/>
      <c r="G46" s="406"/>
      <c r="H46" s="406"/>
      <c r="I46" s="406">
        <v>0</v>
      </c>
      <c r="J46" s="406">
        <v>0</v>
      </c>
      <c r="K46" s="406">
        <v>0</v>
      </c>
      <c r="L46" s="406">
        <v>0</v>
      </c>
      <c r="M46" s="406">
        <v>0</v>
      </c>
      <c r="N46" s="406"/>
    </row>
    <row r="47" spans="1:14" x14ac:dyDescent="0.25">
      <c r="A47" t="s">
        <v>217</v>
      </c>
      <c r="B47" t="s">
        <v>351</v>
      </c>
      <c r="C47" t="s">
        <v>326</v>
      </c>
      <c r="D47" t="s">
        <v>314</v>
      </c>
      <c r="E47" t="s">
        <v>312</v>
      </c>
      <c r="F47" s="406"/>
      <c r="G47" s="406"/>
      <c r="H47" s="406"/>
      <c r="I47" s="406">
        <v>0</v>
      </c>
      <c r="J47" s="406">
        <v>0</v>
      </c>
      <c r="K47" s="406">
        <v>0</v>
      </c>
      <c r="L47" s="406">
        <v>0</v>
      </c>
      <c r="M47" s="406">
        <v>0</v>
      </c>
      <c r="N47" s="406"/>
    </row>
    <row r="48" spans="1:14" x14ac:dyDescent="0.25">
      <c r="A48" t="s">
        <v>217</v>
      </c>
      <c r="B48" t="s">
        <v>352</v>
      </c>
      <c r="C48" t="s">
        <v>327</v>
      </c>
      <c r="D48" t="s">
        <v>314</v>
      </c>
      <c r="E48" t="s">
        <v>312</v>
      </c>
      <c r="F48" s="406"/>
      <c r="G48" s="406"/>
      <c r="H48" s="406"/>
      <c r="I48" s="406">
        <v>0</v>
      </c>
      <c r="J48" s="406">
        <v>0</v>
      </c>
      <c r="K48" s="406">
        <v>0</v>
      </c>
      <c r="L48" s="406">
        <v>0</v>
      </c>
      <c r="M48" s="406">
        <v>0</v>
      </c>
      <c r="N48" s="406"/>
    </row>
    <row r="49" spans="1:14" x14ac:dyDescent="0.25">
      <c r="A49" t="s">
        <v>217</v>
      </c>
      <c r="B49" t="s">
        <v>353</v>
      </c>
      <c r="C49" t="s">
        <v>328</v>
      </c>
      <c r="D49" t="s">
        <v>314</v>
      </c>
      <c r="E49" t="s">
        <v>312</v>
      </c>
      <c r="F49" s="406"/>
      <c r="G49" s="406"/>
      <c r="H49" s="406"/>
      <c r="I49" s="406">
        <v>0</v>
      </c>
      <c r="J49" s="406">
        <v>0</v>
      </c>
      <c r="K49" s="406">
        <v>0</v>
      </c>
      <c r="L49" s="406">
        <v>0</v>
      </c>
      <c r="M49" s="406">
        <v>0</v>
      </c>
      <c r="N49" s="406"/>
    </row>
    <row r="50" spans="1:14" x14ac:dyDescent="0.25">
      <c r="A50" t="s">
        <v>217</v>
      </c>
      <c r="B50" t="s">
        <v>354</v>
      </c>
      <c r="C50" t="s">
        <v>329</v>
      </c>
      <c r="D50" t="s">
        <v>314</v>
      </c>
      <c r="E50" t="s">
        <v>312</v>
      </c>
      <c r="F50" s="406"/>
      <c r="G50" s="406"/>
      <c r="H50" s="406"/>
      <c r="I50" s="406">
        <v>0</v>
      </c>
      <c r="J50" s="406">
        <v>0</v>
      </c>
      <c r="K50" s="406">
        <v>0</v>
      </c>
      <c r="L50" s="406">
        <v>0</v>
      </c>
      <c r="M50" s="406">
        <v>0</v>
      </c>
      <c r="N50" s="406"/>
    </row>
    <row r="51" spans="1:14" x14ac:dyDescent="0.25">
      <c r="A51" t="s">
        <v>217</v>
      </c>
      <c r="B51" t="s">
        <v>355</v>
      </c>
      <c r="C51" t="s">
        <v>330</v>
      </c>
      <c r="D51" t="s">
        <v>314</v>
      </c>
      <c r="E51" t="s">
        <v>312</v>
      </c>
      <c r="F51" s="406"/>
      <c r="G51" s="406"/>
      <c r="H51" s="406"/>
      <c r="I51" s="406">
        <v>0</v>
      </c>
      <c r="J51" s="406">
        <v>0</v>
      </c>
      <c r="K51" s="406">
        <v>0</v>
      </c>
      <c r="L51" s="406">
        <v>0</v>
      </c>
      <c r="M51" s="406">
        <v>0</v>
      </c>
      <c r="N51" s="406"/>
    </row>
    <row r="52" spans="1:14" x14ac:dyDescent="0.25">
      <c r="A52" t="s">
        <v>217</v>
      </c>
      <c r="B52" t="s">
        <v>356</v>
      </c>
      <c r="C52" t="s">
        <v>331</v>
      </c>
      <c r="D52" t="s">
        <v>314</v>
      </c>
      <c r="E52" t="s">
        <v>312</v>
      </c>
      <c r="F52" s="406"/>
      <c r="G52" s="406"/>
      <c r="H52" s="406"/>
      <c r="I52" s="406">
        <v>0</v>
      </c>
      <c r="J52" s="406">
        <v>0</v>
      </c>
      <c r="K52" s="406">
        <v>0</v>
      </c>
      <c r="L52" s="406">
        <v>0</v>
      </c>
      <c r="M52" s="406">
        <v>0</v>
      </c>
      <c r="N52" s="406"/>
    </row>
    <row r="53" spans="1:14" x14ac:dyDescent="0.25">
      <c r="A53" t="s">
        <v>217</v>
      </c>
      <c r="B53" t="s">
        <v>357</v>
      </c>
      <c r="C53" t="s">
        <v>349</v>
      </c>
      <c r="D53" t="s">
        <v>314</v>
      </c>
      <c r="E53" t="s">
        <v>312</v>
      </c>
      <c r="F53" s="406"/>
      <c r="G53" s="406"/>
      <c r="H53" s="406"/>
      <c r="I53" s="406">
        <v>0</v>
      </c>
      <c r="J53" s="406">
        <v>0</v>
      </c>
      <c r="K53" s="406">
        <v>0</v>
      </c>
      <c r="L53" s="406">
        <v>0</v>
      </c>
      <c r="M53" s="406">
        <v>0</v>
      </c>
      <c r="N53" s="406"/>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Severn Trent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216</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SVE</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2" t="s">
        <v>249</v>
      </c>
      <c r="F16" s="251" t="str">
        <f>"£m ("&amp;F14&amp;" prior Nov CPIH prices)"</f>
        <v>£m (2017-18 prior Nov CPIH prices)</v>
      </c>
      <c r="G16" s="382"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3">
        <f>F_Inputs!H34</f>
        <v>0.42125785231032398</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3">
        <f>F_Inputs!H35</f>
        <v>-1.6425980017150099</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3">
        <f>F_Inputs!H36</f>
        <v>-16.442737740504302</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3">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3">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3">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3">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2" t="s">
        <v>375</v>
      </c>
      <c r="F30" s="380"/>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0"/>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0"/>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4" t="s">
        <v>374</v>
      </c>
      <c r="E34" s="382"/>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3">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3">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3">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3">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3">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3">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3">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0"/>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0"/>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0"/>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0"/>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0"/>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0"/>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0"/>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0">
        <f>F21</f>
        <v>0.42125785231032398</v>
      </c>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0">
        <f t="shared" ref="F57:F58" si="4">F22</f>
        <v>-1.6425980017150099</v>
      </c>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0">
        <f t="shared" si="4"/>
        <v>-16.442737740504302</v>
      </c>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0"/>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0"/>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0"/>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0"/>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5"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6">
        <f>(F_Inputs!I7*((AVERAGE(F_Inputs!$I$21:$I$32)/AVERAGE(F_Inputs!$F$21:$F$32))))/((F_Inputs!$H$33/F_Inputs!$G$33))</f>
        <v>81.884655426792037</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6">
        <f>F_Inputs!I8*100</f>
        <v>0</v>
      </c>
      <c r="P94" s="386">
        <f>F_Inputs!J8*100</f>
        <v>3.45</v>
      </c>
      <c r="Q94" s="386">
        <f>F_Inputs!K8*100</f>
        <v>6.02</v>
      </c>
      <c r="R94" s="386">
        <f>F_Inputs!L8*100</f>
        <v>5.9499999999999904</v>
      </c>
      <c r="S94" s="386">
        <f>F_Inputs!M8*100</f>
        <v>-7.8</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6">
        <f>(F_Inputs!I9*((AVERAGE(F_Inputs!$I$21:$I$32)/AVERAGE(F_Inputs!$F$21:$F$32))))/((F_Inputs!$H$33/F_Inputs!$G$33))</f>
        <v>657.81465688881156</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6">
        <f>F_Inputs!I10*100</f>
        <v>0</v>
      </c>
      <c r="P98" s="386">
        <f>F_Inputs!J10*100</f>
        <v>-0.5</v>
      </c>
      <c r="Q98" s="386">
        <f>F_Inputs!K10*100</f>
        <v>-1.63</v>
      </c>
      <c r="R98" s="386">
        <f>F_Inputs!L10*100</f>
        <v>-1.7000000000000002</v>
      </c>
      <c r="S98" s="386">
        <f>F_Inputs!M10*100</f>
        <v>0.27999999999999903</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6">
        <f>(F_Inputs!I13*((AVERAGE(F_Inputs!$I$21:$I$32)/AVERAGE(F_Inputs!$F$21:$F$32))))/((F_Inputs!$H$33/F_Inputs!$G$33))</f>
        <v>728.18551849598873</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6">
        <f>F_Inputs!I14*100</f>
        <v>0</v>
      </c>
      <c r="P102" s="386">
        <f>F_Inputs!J14*100</f>
        <v>-1.8499999999999999</v>
      </c>
      <c r="Q102" s="386">
        <f>F_Inputs!K14*100</f>
        <v>-1.29</v>
      </c>
      <c r="R102" s="386">
        <f>F_Inputs!L14*100</f>
        <v>-0.98</v>
      </c>
      <c r="S102" s="386">
        <f>F_Inputs!M14*100</f>
        <v>1.02</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6">
        <f>IF(IFERROR((SUM(F_Inputs!$I$16:$M$16)/SUM(F_Inputs!$I$15:$M$15))*F_Inputs!J15,0)&lt;&gt;0,(SUM(F_Inputs!$I$16:$M$16)/SUM(F_Inputs!$I$15:$M$15))*F_Inputs!J15,0)</f>
        <v>76.856833247754935</v>
      </c>
      <c r="Q105" s="386">
        <f>IF(IFERROR((SUM(F_Inputs!$I$16:$M$16)/SUM(F_Inputs!$I$15:$M$15))*F_Inputs!K15,0)&lt;&gt;0,(SUM(F_Inputs!$I$16:$M$16)/SUM(F_Inputs!$I$15:$M$15))*F_Inputs!K15,0)</f>
        <v>77.205174889998574</v>
      </c>
      <c r="R105" s="386">
        <f>IF(IFERROR((SUM(F_Inputs!$I$16:$M$16)/SUM(F_Inputs!$I$15:$M$15))*F_Inputs!L15,0)&lt;&gt;0,(SUM(F_Inputs!$I$16:$M$16)/SUM(F_Inputs!$I$15:$M$15))*F_Inputs!L15,0)</f>
        <v>77.395179422131463</v>
      </c>
      <c r="S105" s="386">
        <f>IF(IFERROR((SUM(F_Inputs!$I$16:$M$16)/SUM(F_Inputs!$I$15:$M$15))*F_Inputs!M15,0)&lt;&gt;0,(SUM(F_Inputs!$I$16:$M$16)/SUM(F_Inputs!$I$15:$M$15))*F_Inputs!M15,0)</f>
        <v>77.743521064375102</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6">
        <f>F_Inputs!J17</f>
        <v>105.067003212149</v>
      </c>
      <c r="Q108" s="386">
        <f>F_Inputs!K17</f>
        <v>106.06165767437101</v>
      </c>
      <c r="R108" s="386">
        <f>F_Inputs!L17</f>
        <v>107.007583049243</v>
      </c>
      <c r="S108" s="386">
        <f>F_Inputs!M17</f>
        <v>107.922253003295</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6">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30" orientation="portrait"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7"/>
      <c r="C18" s="397"/>
      <c r="D18" s="241"/>
      <c r="E18" s="242" t="s">
        <v>367</v>
      </c>
      <c r="F18" s="398">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Severn Trent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0.42125785231032398</v>
      </c>
    </row>
    <row r="9" spans="1:12" s="4" customFormat="1" x14ac:dyDescent="0.25">
      <c r="A9" s="167"/>
      <c r="B9" s="167"/>
      <c r="C9" s="167"/>
      <c r="D9" s="167"/>
      <c r="E9" s="103" t="str">
        <f>Inputs!E22</f>
        <v>Water network plus</v>
      </c>
      <c r="F9" s="170"/>
      <c r="G9" s="170" t="str">
        <f>Inputs!G22</f>
        <v>£m (2017-18 FYA CPIH prices)</v>
      </c>
      <c r="H9" s="337">
        <f>Inputs!F22</f>
        <v>-1.6425980017150099</v>
      </c>
    </row>
    <row r="10" spans="1:12" s="4" customFormat="1" x14ac:dyDescent="0.25">
      <c r="A10" s="167"/>
      <c r="B10" s="167"/>
      <c r="C10" s="167"/>
      <c r="D10" s="167"/>
      <c r="E10" s="103" t="str">
        <f>Inputs!E23</f>
        <v>Wastewater network plus</v>
      </c>
      <c r="F10" s="170"/>
      <c r="G10" s="170" t="str">
        <f>Inputs!G23</f>
        <v>£m (2017-18 FYA CPIH prices)</v>
      </c>
      <c r="H10" s="337">
        <f>Inputs!F23</f>
        <v>-16.442737740504302</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0.42125785231032398</v>
      </c>
      <c r="M31" s="102"/>
    </row>
    <row r="32" spans="1:13" s="4" customFormat="1" x14ac:dyDescent="0.25">
      <c r="A32" s="167"/>
      <c r="B32" s="167"/>
      <c r="C32" s="167"/>
      <c r="D32" s="167"/>
      <c r="E32" s="167" t="s">
        <v>72</v>
      </c>
      <c r="F32" s="169"/>
      <c r="G32" s="169" t="str">
        <f>Inputs!$F$15</f>
        <v>£m (2017-18 FYA CPIH prices)</v>
      </c>
      <c r="H32" s="347">
        <f>H9+H18+H23</f>
        <v>-1.6425980017150099</v>
      </c>
      <c r="M32" s="102"/>
    </row>
    <row r="33" spans="1:13" s="4" customFormat="1" x14ac:dyDescent="0.25">
      <c r="A33" s="167"/>
      <c r="B33" s="167"/>
      <c r="C33" s="167"/>
      <c r="D33" s="167"/>
      <c r="E33" s="167" t="s">
        <v>74</v>
      </c>
      <c r="F33" s="169"/>
      <c r="G33" s="169" t="str">
        <f>Inputs!$F$15</f>
        <v>£m (2017-18 FYA CPIH prices)</v>
      </c>
      <c r="H33" s="346">
        <f>H10+H19+H24</f>
        <v>-16.442737740504302</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0.42125785231032398</v>
      </c>
    </row>
    <row r="52" spans="1:9" s="4" customFormat="1" x14ac:dyDescent="0.25">
      <c r="A52" s="167"/>
      <c r="B52" s="167"/>
      <c r="C52" s="167"/>
      <c r="D52" s="167"/>
      <c r="E52" s="167" t="s">
        <v>72</v>
      </c>
      <c r="F52" s="169"/>
      <c r="G52" s="169" t="str">
        <f>Inputs!$F$15</f>
        <v>£m (2017-18 FYA CPIH prices)</v>
      </c>
      <c r="H52" s="346">
        <f t="shared" si="0"/>
        <v>-1.6425980017150099</v>
      </c>
    </row>
    <row r="53" spans="1:9" s="4" customFormat="1" x14ac:dyDescent="0.25">
      <c r="A53" s="167"/>
      <c r="B53" s="167"/>
      <c r="C53" s="167"/>
      <c r="D53" s="167"/>
      <c r="E53" s="167" t="s">
        <v>74</v>
      </c>
      <c r="F53" s="169"/>
      <c r="G53" s="169" t="str">
        <f>Inputs!$F$15</f>
        <v>£m (2017-18 FYA CPIH prices)</v>
      </c>
      <c r="H53" s="346">
        <f>IF(H33&gt;0,IF(H44&lt;H33,H33-H44,0),H33)</f>
        <v>-16.442737740504302</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0.42125785231032398</v>
      </c>
    </row>
    <row r="65" spans="1:8" s="4" customFormat="1" x14ac:dyDescent="0.25">
      <c r="A65" s="167"/>
      <c r="B65" s="167"/>
      <c r="C65" s="167"/>
      <c r="D65" s="167"/>
      <c r="E65" s="103" t="str">
        <f>Inputs!E57</f>
        <v>Water network plus</v>
      </c>
      <c r="F65" s="170"/>
      <c r="G65" s="170" t="str">
        <f>Inputs!G57</f>
        <v>£m (2017-18 FYA CPIH prices)</v>
      </c>
      <c r="H65" s="337">
        <f>Inputs!F57</f>
        <v>-1.6425980017150099</v>
      </c>
    </row>
    <row r="66" spans="1:8" s="4" customFormat="1" x14ac:dyDescent="0.25">
      <c r="A66" s="167"/>
      <c r="B66" s="167"/>
      <c r="C66" s="167"/>
      <c r="D66" s="167"/>
      <c r="E66" s="103" t="str">
        <f>Inputs!E58</f>
        <v>Wastewater network plus</v>
      </c>
      <c r="F66" s="170"/>
      <c r="G66" s="170" t="str">
        <f>Inputs!G58</f>
        <v>£m (2017-18 FYA CPIH prices)</v>
      </c>
      <c r="H66" s="337">
        <f>Inputs!F58</f>
        <v>-16.442737740504302</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0</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0.43355858159778538</v>
      </c>
    </row>
    <row r="90" spans="1:8" s="4" customFormat="1" x14ac:dyDescent="0.25">
      <c r="A90" s="167"/>
      <c r="B90" s="167"/>
      <c r="C90" s="167"/>
      <c r="D90" s="167"/>
      <c r="E90" s="167" t="s">
        <v>72</v>
      </c>
      <c r="F90" s="169"/>
      <c r="G90" s="169"/>
      <c r="H90" s="343">
        <f t="shared" ref="H90:H91" si="2">H65*((1+H$84)^H$86)</f>
        <v>-1.6905618633650881</v>
      </c>
    </row>
    <row r="91" spans="1:8" s="4" customFormat="1" x14ac:dyDescent="0.25">
      <c r="A91" s="167"/>
      <c r="B91" s="167"/>
      <c r="C91" s="167"/>
      <c r="D91" s="167"/>
      <c r="E91" s="167" t="s">
        <v>74</v>
      </c>
      <c r="F91" s="169"/>
      <c r="G91" s="169"/>
      <c r="H91" s="343">
        <f t="shared" si="2"/>
        <v>-16.922865682527025</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0.43355858159778538</v>
      </c>
    </row>
    <row r="101" spans="1:9" s="4" customFormat="1" x14ac:dyDescent="0.25">
      <c r="A101" s="167"/>
      <c r="B101" s="167"/>
      <c r="C101" s="167"/>
      <c r="D101" s="167"/>
      <c r="E101" s="171" t="s">
        <v>72</v>
      </c>
      <c r="F101" s="173"/>
      <c r="G101" s="173" t="str">
        <f>Inputs!$F$15</f>
        <v>£m (2017-18 FYA CPIH prices)</v>
      </c>
      <c r="H101" s="348">
        <f t="shared" ref="H101:H103" si="3">H90</f>
        <v>-1.6905618633650881</v>
      </c>
    </row>
    <row r="102" spans="1:9" s="4" customFormat="1" x14ac:dyDescent="0.25">
      <c r="A102" s="167"/>
      <c r="B102" s="167"/>
      <c r="C102" s="167"/>
      <c r="D102" s="167"/>
      <c r="E102" s="171" t="s">
        <v>74</v>
      </c>
      <c r="F102" s="173"/>
      <c r="G102" s="173" t="str">
        <f>Inputs!$F$15</f>
        <v>£m (2017-18 FYA CPIH prices)</v>
      </c>
      <c r="H102" s="348">
        <f t="shared" si="3"/>
        <v>-16.922865682527025</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8" t="s">
        <v>368</v>
      </c>
      <c r="E113" s="387"/>
      <c r="F113" s="387"/>
      <c r="G113" s="139"/>
      <c r="H113" s="349"/>
    </row>
    <row r="114" spans="1:8" s="99" customFormat="1" x14ac:dyDescent="0.25">
      <c r="A114" s="97"/>
      <c r="B114" s="97"/>
      <c r="C114" s="97"/>
      <c r="D114" s="311"/>
      <c r="E114" s="167" t="s">
        <v>70</v>
      </c>
      <c r="F114" s="311"/>
      <c r="G114" s="376" t="str">
        <f t="shared" ref="G114:H114" si="4">G73</f>
        <v>£m (2017-18 FYA CPIH prices)</v>
      </c>
      <c r="H114" s="350">
        <f t="shared" si="4"/>
        <v>0</v>
      </c>
    </row>
    <row r="115" spans="1:8" s="99" customFormat="1" x14ac:dyDescent="0.25">
      <c r="A115" s="97"/>
      <c r="B115" s="97"/>
      <c r="C115" s="97"/>
      <c r="D115" s="311"/>
      <c r="E115" s="167" t="s">
        <v>72</v>
      </c>
      <c r="F115" s="311"/>
      <c r="G115" s="376" t="str">
        <f t="shared" ref="G115:H120" si="5">G74</f>
        <v>£m (2017-18 FYA CPIH prices)</v>
      </c>
      <c r="H115" s="350">
        <f t="shared" si="5"/>
        <v>0</v>
      </c>
    </row>
    <row r="116" spans="1:8" s="99" customFormat="1" x14ac:dyDescent="0.25">
      <c r="A116" s="97"/>
      <c r="B116" s="97"/>
      <c r="C116" s="97"/>
      <c r="D116" s="311"/>
      <c r="E116" s="167" t="s">
        <v>74</v>
      </c>
      <c r="F116" s="311"/>
      <c r="G116" s="376" t="str">
        <f t="shared" si="5"/>
        <v>£m (2017-18 FYA CPIH prices)</v>
      </c>
      <c r="H116" s="350">
        <f t="shared" si="5"/>
        <v>0</v>
      </c>
    </row>
    <row r="117" spans="1:8" s="99" customFormat="1" x14ac:dyDescent="0.25">
      <c r="A117" s="97"/>
      <c r="B117" s="97"/>
      <c r="C117" s="97"/>
      <c r="D117" s="311"/>
      <c r="E117" s="167" t="s">
        <v>80</v>
      </c>
      <c r="F117" s="311"/>
      <c r="G117" s="376" t="str">
        <f t="shared" si="5"/>
        <v>£m (2017-18 FYA CPIH prices)</v>
      </c>
      <c r="H117" s="350">
        <f t="shared" si="5"/>
        <v>0</v>
      </c>
    </row>
    <row r="118" spans="1:8" s="99" customFormat="1" x14ac:dyDescent="0.25">
      <c r="A118" s="97"/>
      <c r="B118" s="97"/>
      <c r="C118" s="97"/>
      <c r="D118" s="311"/>
      <c r="E118" s="167" t="s">
        <v>76</v>
      </c>
      <c r="F118" s="311"/>
      <c r="G118" s="376" t="str">
        <f t="shared" si="5"/>
        <v>£m (2017-18 FYA CPIH prices)</v>
      </c>
      <c r="H118" s="350">
        <f t="shared" si="5"/>
        <v>0</v>
      </c>
    </row>
    <row r="119" spans="1:8" s="99" customFormat="1" x14ac:dyDescent="0.25">
      <c r="A119" s="97"/>
      <c r="B119" s="97"/>
      <c r="C119" s="97"/>
      <c r="D119" s="311"/>
      <c r="E119" s="167" t="s">
        <v>78</v>
      </c>
      <c r="F119" s="311"/>
      <c r="G119" s="376" t="str">
        <f t="shared" si="5"/>
        <v>£m (2017-18 FYA CPIH prices)</v>
      </c>
      <c r="H119" s="350">
        <f t="shared" si="5"/>
        <v>0</v>
      </c>
    </row>
    <row r="120" spans="1:8" s="99" customFormat="1" x14ac:dyDescent="0.25">
      <c r="A120" s="97"/>
      <c r="B120" s="97"/>
      <c r="C120" s="97"/>
      <c r="D120" s="311"/>
      <c r="E120" s="167" t="s">
        <v>82</v>
      </c>
      <c r="F120" s="311"/>
      <c r="G120" s="376"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7"/>
      <c r="D122" s="388" t="s">
        <v>369</v>
      </c>
      <c r="E122" s="387"/>
      <c r="F122" s="387"/>
      <c r="G122" s="377"/>
    </row>
    <row r="123" spans="1:8" s="140" customFormat="1" x14ac:dyDescent="0.25">
      <c r="A123" s="174"/>
      <c r="B123" s="174"/>
      <c r="C123" s="174"/>
      <c r="D123" s="174"/>
      <c r="E123" s="171" t="s">
        <v>70</v>
      </c>
      <c r="F123" s="174"/>
      <c r="G123" s="378" t="str">
        <f>Inputs!$F$16</f>
        <v>£m (2017-18 prior Nov CPIH prices)</v>
      </c>
      <c r="H123" s="351">
        <f>H114*$F$111</f>
        <v>0</v>
      </c>
    </row>
    <row r="124" spans="1:8" s="140" customFormat="1" x14ac:dyDescent="0.25">
      <c r="A124" s="174"/>
      <c r="B124" s="174"/>
      <c r="C124" s="174"/>
      <c r="D124" s="174"/>
      <c r="E124" s="171" t="s">
        <v>72</v>
      </c>
      <c r="F124" s="174"/>
      <c r="G124" s="378" t="str">
        <f>Inputs!$F$16</f>
        <v>£m (2017-18 prior Nov CPIH prices)</v>
      </c>
      <c r="H124" s="351">
        <f t="shared" ref="H124:H129" si="6">H115*$F$111</f>
        <v>0</v>
      </c>
    </row>
    <row r="125" spans="1:8" s="140" customFormat="1" x14ac:dyDescent="0.25">
      <c r="A125" s="174"/>
      <c r="B125" s="174"/>
      <c r="C125" s="174"/>
      <c r="D125" s="174"/>
      <c r="E125" s="171" t="s">
        <v>74</v>
      </c>
      <c r="F125" s="174"/>
      <c r="G125" s="378" t="str">
        <f>Inputs!$F$16</f>
        <v>£m (2017-18 prior Nov CPIH prices)</v>
      </c>
      <c r="H125" s="351">
        <f t="shared" si="6"/>
        <v>0</v>
      </c>
    </row>
    <row r="126" spans="1:8" s="140" customFormat="1" x14ac:dyDescent="0.25">
      <c r="A126" s="174"/>
      <c r="B126" s="174"/>
      <c r="C126" s="174"/>
      <c r="D126" s="174"/>
      <c r="E126" s="171" t="s">
        <v>80</v>
      </c>
      <c r="F126" s="174"/>
      <c r="G126" s="378" t="str">
        <f>Inputs!$F$16</f>
        <v>£m (2017-18 prior Nov CPIH prices)</v>
      </c>
      <c r="H126" s="351">
        <f t="shared" si="6"/>
        <v>0</v>
      </c>
    </row>
    <row r="127" spans="1:8" s="140" customFormat="1" x14ac:dyDescent="0.25">
      <c r="A127" s="174"/>
      <c r="B127" s="174"/>
      <c r="C127" s="174"/>
      <c r="D127" s="174"/>
      <c r="E127" s="171" t="s">
        <v>76</v>
      </c>
      <c r="F127" s="174"/>
      <c r="G127" s="378" t="str">
        <f>Inputs!$F$16</f>
        <v>£m (2017-18 prior Nov CPIH prices)</v>
      </c>
      <c r="H127" s="351">
        <f t="shared" si="6"/>
        <v>0</v>
      </c>
    </row>
    <row r="128" spans="1:8" s="140" customFormat="1" x14ac:dyDescent="0.25">
      <c r="A128" s="174"/>
      <c r="B128" s="174"/>
      <c r="C128" s="174"/>
      <c r="D128" s="174"/>
      <c r="E128" s="171" t="s">
        <v>78</v>
      </c>
      <c r="F128" s="174"/>
      <c r="G128" s="378" t="str">
        <f>Inputs!$F$16</f>
        <v>£m (2017-18 prior Nov CPIH prices)</v>
      </c>
      <c r="H128" s="351">
        <f t="shared" si="6"/>
        <v>0</v>
      </c>
    </row>
    <row r="129" spans="1:9" s="140" customFormat="1" x14ac:dyDescent="0.25">
      <c r="A129" s="174"/>
      <c r="B129" s="174"/>
      <c r="C129" s="174"/>
      <c r="D129" s="174"/>
      <c r="E129" s="171" t="s">
        <v>82</v>
      </c>
      <c r="F129" s="174"/>
      <c r="G129" s="378"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Severn Trent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81.884655426792037</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81.884655426792037</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3.45</v>
      </c>
      <c r="Q36" s="218">
        <f xml:space="preserve"> Inputs!Q$94</f>
        <v>6.02</v>
      </c>
      <c r="R36" s="218">
        <f xml:space="preserve"> Inputs!R$94</f>
        <v>5.9499999999999904</v>
      </c>
      <c r="S36" s="218">
        <f xml:space="preserve"> Inputs!S$94</f>
        <v>-7.8</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3.4500000000000003E-2</v>
      </c>
      <c r="Q37" s="269">
        <f t="shared" si="3"/>
        <v>6.0199999999999997E-2</v>
      </c>
      <c r="R37" s="269">
        <f t="shared" si="3"/>
        <v>5.9499999999999907E-2</v>
      </c>
      <c r="S37" s="269">
        <f t="shared" si="3"/>
        <v>-7.8E-2</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537.72384741048256</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83.110244282571898</v>
      </c>
      <c r="P39" s="212">
        <f xml:space="preserve"> IF(P35=1, $H34 * (1+P38+P37), O39 *  (1+P38+P37))</f>
        <v>86.513742834724326</v>
      </c>
      <c r="Q39" s="212">
        <f xml:space="preserve"> IF(Q35=1, $H34 * (1+Q38+Q37), P39 *  (1+Q38+Q37))</f>
        <v>91.721870153374738</v>
      </c>
      <c r="R39" s="212">
        <f t="shared" si="4"/>
        <v>97.179321427500525</v>
      </c>
      <c r="S39" s="212">
        <f t="shared" si="4"/>
        <v>89.599334356155495</v>
      </c>
      <c r="T39" s="212">
        <f t="shared" si="4"/>
        <v>89.599334356155495</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537.72384741048256</v>
      </c>
      <c r="I58" s="212">
        <f t="shared" si="14"/>
        <v>0</v>
      </c>
      <c r="J58" s="220">
        <f t="shared" si="14"/>
        <v>0</v>
      </c>
      <c r="K58" s="220">
        <f t="shared" si="14"/>
        <v>0</v>
      </c>
      <c r="L58" s="220">
        <f t="shared" si="14"/>
        <v>0</v>
      </c>
      <c r="M58" s="220">
        <f t="shared" si="14"/>
        <v>0</v>
      </c>
      <c r="N58" s="220">
        <f t="shared" si="14"/>
        <v>0</v>
      </c>
      <c r="O58" s="220">
        <f t="shared" si="14"/>
        <v>83.110244282571898</v>
      </c>
      <c r="P58" s="220">
        <f t="shared" si="14"/>
        <v>86.513742834724326</v>
      </c>
      <c r="Q58" s="220">
        <f t="shared" si="14"/>
        <v>91.721870153374738</v>
      </c>
      <c r="R58" s="220">
        <f t="shared" si="14"/>
        <v>97.179321427500525</v>
      </c>
      <c r="S58" s="220">
        <f t="shared" si="14"/>
        <v>89.599334356155495</v>
      </c>
      <c r="T58" s="220">
        <f t="shared" si="14"/>
        <v>89.599334356155495</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537.72384741048256</v>
      </c>
      <c r="J60" s="220">
        <f xml:space="preserve"> J58 + J59</f>
        <v>0</v>
      </c>
      <c r="K60" s="220">
        <f t="shared" ref="K60:T60" si="16" xml:space="preserve"> K58 + K59</f>
        <v>0</v>
      </c>
      <c r="L60" s="220">
        <f t="shared" si="16"/>
        <v>0</v>
      </c>
      <c r="M60" s="220">
        <f t="shared" si="16"/>
        <v>0</v>
      </c>
      <c r="N60" s="220">
        <f t="shared" si="16"/>
        <v>0</v>
      </c>
      <c r="O60" s="220">
        <f t="shared" si="16"/>
        <v>83.110244282571898</v>
      </c>
      <c r="P60" s="220">
        <f t="shared" ca="1" si="16"/>
        <v>86.513742834724326</v>
      </c>
      <c r="Q60" s="220">
        <f t="shared" si="16"/>
        <v>91.721870153374738</v>
      </c>
      <c r="R60" s="220">
        <f t="shared" si="16"/>
        <v>97.179321427500525</v>
      </c>
      <c r="S60" s="220">
        <f t="shared" si="16"/>
        <v>89.599334356155495</v>
      </c>
      <c r="T60" s="220">
        <f t="shared" si="16"/>
        <v>89.599334356155495</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537.72384741048256</v>
      </c>
      <c r="I63" s="212">
        <f t="shared" si="17"/>
        <v>0</v>
      </c>
      <c r="J63" s="212">
        <f t="shared" si="17"/>
        <v>0</v>
      </c>
      <c r="K63" s="212">
        <f t="shared" si="17"/>
        <v>0</v>
      </c>
      <c r="L63" s="212">
        <f t="shared" si="17"/>
        <v>0</v>
      </c>
      <c r="M63" s="212">
        <f t="shared" si="17"/>
        <v>0</v>
      </c>
      <c r="N63" s="212">
        <f t="shared" si="17"/>
        <v>0</v>
      </c>
      <c r="O63" s="212">
        <f t="shared" si="17"/>
        <v>83.110244282571898</v>
      </c>
      <c r="P63" s="212">
        <f t="shared" ca="1" si="17"/>
        <v>86.513742834724326</v>
      </c>
      <c r="Q63" s="212">
        <f t="shared" si="17"/>
        <v>91.721870153374738</v>
      </c>
      <c r="R63" s="212">
        <f t="shared" si="17"/>
        <v>97.179321427500525</v>
      </c>
      <c r="S63" s="212">
        <f t="shared" si="17"/>
        <v>89.599334356155495</v>
      </c>
      <c r="T63" s="212">
        <f t="shared" si="17"/>
        <v>89.599334356155495</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4.0951612903225909E-2</v>
      </c>
      <c r="Q64" s="267">
        <f t="shared" ca="1" si="18"/>
        <v>6.0200000000000031E-2</v>
      </c>
      <c r="R64" s="267">
        <f t="shared" si="18"/>
        <v>5.9499999999999886E-2</v>
      </c>
      <c r="S64" s="267">
        <f t="shared" si="18"/>
        <v>-7.7999999999999847E-2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4.0951612903225909E-2</v>
      </c>
      <c r="Q69" s="269">
        <f t="shared" ca="1" si="21"/>
        <v>6.0200000000000031E-2</v>
      </c>
      <c r="R69" s="269">
        <f t="shared" si="21"/>
        <v>5.9499999999999886E-2</v>
      </c>
      <c r="S69" s="269">
        <f t="shared" si="21"/>
        <v>-7.7999999999999847E-2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3.4500000000000003E-2</v>
      </c>
      <c r="Q75" s="401">
        <f t="shared" ca="1" si="25"/>
        <v>6.0199999999999997E-2</v>
      </c>
      <c r="R75" s="401">
        <f t="shared" ca="1" si="25"/>
        <v>5.9499999999999907E-2</v>
      </c>
      <c r="S75" s="401">
        <f t="shared" ca="1" si="25"/>
        <v>-7.8E-2</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3.45</v>
      </c>
      <c r="Q76" s="241">
        <f t="shared" ca="1" si="26"/>
        <v>6.02</v>
      </c>
      <c r="R76" s="241">
        <f t="shared" ca="1" si="26"/>
        <v>5.9499999999999904</v>
      </c>
      <c r="S76" s="241">
        <f t="shared" ca="1" si="26"/>
        <v>-7.8</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2020-11-10T13:52:04Z</dcterms:created>
  <dcterms:modified xsi:type="dcterms:W3CDTF">2020-11-10T15:38:52Z</dcterms:modified>
  <cp:category/>
  <cp:contentStatus/>
</cp:coreProperties>
</file>