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80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otsthis" localSheetId="4">{"P&amp;L phased",#N/A,FALSE,"P and L";"Interest phased",#N/A,FALSE,"Interest";"Cshf phased",#N/A,FALSE,"Cashflow";"BSheet phased",#N/A,FALSE,"B Sheet";"Capex phased",#N/A,FALSE,"Capex"}</definedName>
    <definedName name="wotsthis">{"P&amp;L phased",#N/A,FALSE,"P and L";"Interest phased",#N/A,FALSE,"Interest";"Cshf phased",#N/A,FALSE,"Cashflow";"BSheet phased",#N/A,FALSE,"B Sheet";"Capex phased",#N/A,FALSE,"Capex"}</definedName>
    <definedName name="wrn.Print._.5._.and._.12." localSheetId="4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4">{"P&amp;L phased",#N/A,FALSE,"P and L";"Interest phased",#N/A,FALSE,"Interest";"Cshf phased",#N/A,FALSE,"Cashflow";"BSheet phased",#N/A,FALSE,"B Sheet";"Capex phased",#N/A,FALSE,"Capex"}</definedName>
    <definedName name="wrn.Print._.Phased.">{"P&amp;L phased",#N/A,FALSE,"P and L";"Interest phased",#N/A,FALSE,"Interest";"Cshf phased",#N/A,FALSE,"Cashflow";"BSheet phased",#N/A,FALSE,"B Sheet";"Capex phased",#N/A,FALSE,"Capex"}</definedName>
    <definedName name="wrn.wpapers." localSheetId="4">{"bal",#N/A,FALSE,"working papers";"income",#N/A,FALSE,"working papers"}</definedName>
    <definedName name="wrn.wpapers.">{"bal",#N/A,FALSE,"working papers";"income",#N/A,FALSE,"working papers"}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<sst xmlns="http://schemas.openxmlformats.org/spreadsheetml/2006/main" count="1342" uniqueCount="477">
  <si>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</si>
  <si>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</si>
  <si>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</si>
  <si>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</si>
  <si>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</si>
  <si>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</si>
  <si>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</si>
  <si>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</si>
  <si>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</si>
  <si>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</si>
  <si>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</si>
  <si>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</si>
  <si>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</si>
  <si>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</si>
  <si>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</si>
  <si>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</si>
  <si>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</si>
  <si>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</si>
  <si>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</si>
  <si>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</si>
  <si>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</si>
  <si>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</si>
  <si>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</si>
  <si>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</si>
  <si>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</si>
  <si>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</si>
  <si>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</si>
  <si>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</si>
  <si>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</si>
  <si>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</si>
  <si>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</si>
  <si>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</si>
  <si>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</si>
  <si>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</si>
  <si>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</si>
  <si>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</si>
  <si>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</si>
  <si>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</si>
  <si>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</si>
  <si>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</si>
  <si>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</si>
  <si>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</si>
  <si>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</si>
  <si>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</si>
  <si>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</si>
  <si>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</si>
  <si>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</si>
  <si>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</si>
  <si>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</si>
  <si>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</si>
  <si>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</si>
  <si>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</si>
  <si>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</si>
  <si>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</si>
  <si>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</si>
  <si>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</si>
  <si>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</si>
  <si>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</si>
  <si>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</si>
  <si>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</si>
  <si>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</si>
  <si>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</si>
  <si>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</si>
  <si>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</si>
  <si>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</si>
  <si>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</si>
  <si>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</si>
  <si>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</si>
  <si>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</si>
  <si>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</si>
  <si>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</si>
  <si>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</si>
  <si>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</si>
  <si>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</si>
  <si>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</si>
  <si>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</si>
  <si>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</si>
  <si>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</si>
  <si>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</si>
  <si>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</si>
  <si>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</si>
  <si>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</si>
  <si>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</si>
  <si>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</si>
  <si>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</si>
  <si>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</si>
  <si>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</si>
  <si>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</si>
  <si>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</si>
  <si>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</si>
  <si>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</si>
  <si>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</si>
  <si>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</si>
  <si>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</si>
  <si>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</si>
  <si>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</si>
  <si>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</si>
  <si>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</si>
  <si>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</si>
  <si>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</si>
  <si>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</si>
  <si>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</si>
  <si>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</si>
  <si>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</si>
  <si>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</si>
  <si>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</si>
  <si>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</si>
  <si>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</si>
  <si>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</si>
  <si>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</si>
  <si>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</si>
  <si>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</si>
  <si>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</si>
  <si>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</si>
  <si>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</si>
  <si>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</si>
  <si>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</si>
  <si>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</si>
  <si>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</si>
  <si>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</si>
  <si>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</si>
  <si>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</si>
  <si>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</si>
  <si>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</si>
  <si>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</si>
  <si>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</si>
  <si>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</si>
  <si>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</si>
  <si>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</si>
  <si>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</si>
  <si>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</si>
  <si>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</si>
  <si>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</si>
  <si>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</si>
  <si>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</si>
  <si>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</si>
  <si>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</si>
  <si>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</si>
  <si>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</si>
  <si>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</si>
  <si>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</si>
  <si>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</si>
  <si>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</si>
  <si>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</si>
  <si>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</si>
  <si>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</si>
  <si>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</si>
  <si>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</si>
  <si>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</si>
  <si>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</si>
  <si>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</si>
  <si>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</si>
  <si>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</si>
  <si>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</si>
  <si>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</si>
  <si>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</si>
  <si>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</si>
  <si>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</si>
  <si>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</si>
  <si>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</si>
  <si>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</si>
  <si>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</si>
  <si>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</si>
  <si>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</si>
  <si>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</si>
  <si>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</si>
  <si>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</si>
  <si>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</si>
  <si>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</si>
  <si>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</si>
  <si>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</si>
  <si>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</si>
  <si>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</si>
  <si>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</si>
  <si>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</si>
  <si>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</si>
  <si>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</si>
  <si>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</si>
  <si>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</si>
  <si>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</si>
  <si>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</si>
  <si>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</si>
  <si>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</si>
  <si>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</si>
  <si>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</si>
  <si>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</si>
  <si>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</si>
  <si>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</si>
  <si>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</si>
  <si>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</si>
  <si>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</si>
  <si>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</si>
  <si>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</si>
  <si>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</si>
  <si>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</si>
  <si>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</si>
  <si>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</si>
  <si>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</si>
  <si>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</si>
  <si>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</si>
  <si>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</si>
  <si>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</si>
  <si>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</si>
  <si>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</si>
  <si>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</si>
  <si>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</si>
  <si>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</si>
  <si>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</si>
  <si>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</si>
  <si>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</si>
  <si>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</si>
  <si>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</si>
  <si>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</si>
  <si>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</si>
  <si>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</si>
  <si>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</si>
  <si>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</si>
  <si>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</si>
  <si>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</si>
  <si>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</si>
  <si>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</si>
  <si>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</si>
  <si>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</si>
  <si>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</si>
  <si>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</si>
  <si>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</si>
  <si>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</si>
  <si>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</si>
  <si>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</si>
  <si>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</si>
  <si>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</si>
  <si>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</si>
  <si>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</si>
  <si>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</si>
  <si>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</si>
  <si>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</si>
  <si>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</si>
  <si>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</si>
  <si>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</si>
  <si>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</si>
  <si>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</si>
  <si>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</si>
  <si>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</si>
  <si>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</si>
  <si>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</si>
  <si>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</si>
  <si>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</si>
  <si>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</si>
  <si>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</si>
  <si>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</si>
  <si>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</si>
  <si>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</si>
  <si>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</si>
  <si>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</si>
  <si>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</si>
  <si>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</si>
  <si>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</si>
  <si>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</si>
  <si>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</si>
  <si>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</si>
  <si>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</si>
  <si>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</si>
  <si>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</si>
  <si>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</si>
  <si>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</si>
  <si>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</si>
  <si>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</si>
  <si>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</si>
  <si>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</si>
  <si>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</si>
  <si>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</si>
  <si>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</si>
  <si>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</si>
  <si>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</si>
  <si>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</si>
  <si>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</si>
  <si>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</si>
  <si>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</si>
  <si>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</si>
  <si>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</si>
  <si>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</si>
  <si>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</si>
  <si>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</si>
  <si>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</si>
  <si>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</si>
  <si>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</si>
  <si>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</si>
  <si>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</si>
  <si>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</si>
  <si>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</si>
  <si>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</si>
  <si>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</si>
  <si>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</si>
  <si>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</si>
  <si>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</si>
  <si>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</si>
  <si>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</si>
  <si>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</si>
  <si>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</si>
  <si>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</si>
  <si>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</si>
  <si>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</si>
  <si>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</si>
  <si>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</si>
  <si>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</si>
  <si>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</si>
  <si>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</si>
  <si>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</si>
  <si>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</si>
  <si>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</si>
  <si>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</si>
  <si>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</si>
  <si>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</si>
  <si>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</si>
  <si>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</si>
  <si>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</si>
  <si>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</si>
  <si>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</si>
  <si>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</si>
  <si>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</si>
  <si>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</si>
  <si>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</si>
  <si>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</si>
  <si>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</si>
  <si>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</si>
  <si>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</si>
  <si>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</si>
  <si>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</si>
  <si>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</si>
  <si>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</si>
  <si>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</si>
  <si>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</si>
  <si>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</si>
  <si>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</si>
  <si>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</si>
  <si>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</si>
  <si>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</si>
  <si>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</si>
  <si>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</si>
  <si>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</si>
  <si>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</si>
  <si>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</si>
  <si>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</si>
  <si>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</si>
  <si>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</si>
  <si>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</si>
  <si>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</si>
  <si>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</si>
  <si>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</si>
  <si>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</si>
  <si>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</si>
  <si>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</si>
  <si>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</si>
  <si>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</si>
  <si>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</si>
  <si>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</si>
  <si>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</si>
  <si>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</si>
  <si>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</si>
  <si>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</si>
  <si>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</si>
  <si>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</si>
  <si>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</si>
  <si>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</si>
  <si>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</si>
  <si>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</si>
  <si>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</si>
  <si>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</si>
  <si>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</si>
  <si>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</si>
  <si>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</si>
  <si>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</si>
  <si>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</si>
  <si>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</si>
  <si>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</si>
  <si>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</si>
  <si>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</si>
  <si>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</si>
  <si>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</si>
  <si>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</si>
  <si>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</si>
  <si>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</si>
  <si>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</si>
  <si>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</si>
  <si>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</si>
  <si>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</si>
  <si>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</si>
  <si>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</si>
  <si>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</si>
  <si>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</si>
  <si>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</si>
  <si>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</si>
  <si>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</si>
  <si>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</si>
  <si>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</si>
  <si>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</si>
  <si>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</si>
  <si>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</si>
  <si>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</si>
  <si>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</si>
  <si>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</si>
  <si>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</si>
  <si>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</si>
  <si>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</si>
  <si>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</si>
  <si>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</si>
  <si>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</si>
  <si>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</si>
  <si>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</si>
  <si>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</si>
  <si>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</si>
  <si>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</si>
  <si>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</si>
  <si>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</si>
  <si>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</si>
  <si>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</si>
  <si>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</si>
  <si>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</si>
  <si>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</si>
  <si>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</si>
  <si>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</si>
  <si>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</si>
  <si>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</si>
  <si>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</si>
  <si>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</si>
  <si>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</si>
  <si>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</si>
  <si>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</si>
  <si>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</si>
  <si>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</si>
  <si>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</si>
  <si>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</si>
  <si>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</si>
  <si>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</si>
  <si>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</si>
  <si>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</si>
  <si>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</si>
  <si>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</si>
  <si>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</si>
  <si>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</si>
  <si>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</si>
  <si>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</si>
  <si>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</si>
  <si>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</si>
  <si>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</si>
  <si>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</si>
  <si>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</si>
  <si>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</si>
  <si>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</si>
  <si>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</si>
  <si>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</si>
  <si>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</si>
  <si>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</si>
  <si>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</si>
  <si>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</si>
  <si>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</si>
  <si>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</si>
  <si>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</si>
  <si>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</si>
  <si>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</si>
  <si>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</si>
  <si>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</si>
  <si>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</si>
  <si>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</si>
  <si>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</si>
  <si>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</si>
  <si>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</si>
  <si>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</si>
  <si>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</si>
  <si>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AFW</t>
  </si>
  <si>
    <t>Change log</t>
  </si>
  <si>
    <t>#</t>
  </si>
  <si>
    <t>Issue</t>
  </si>
  <si>
    <t>Change</t>
  </si>
  <si>
    <t>Sheet</t>
  </si>
  <si>
    <t>Row</t>
  </si>
  <si>
    <t>PR19_PD006_RunBY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</si>
</sst>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1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9" fontId="10" fillId="8" borderId="5" xfId="7" applyNumberFormat="1" applyFont="1" applyFill="1" applyProtection="1">
      <protection locked="0"/>
    </xf>
    <xf numFmtId="0" fontId="0" fillId="0" borderId="0" xfId="0" applyFon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1" width="4.42578125" customWidth="1"/>
    <col min="2" max="2" width="5.5703125" customWidth="1"/>
    <col min="3" max="3" width="12" customWidth="1"/>
    <col min="4" max="4" width="2.570312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476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1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0.55000000000000004</v>
      </c>
      <c r="K5" s="217">
        <v>0.55000000000000004</v>
      </c>
      <c r="L5" s="217">
        <v>0.55000000000000004</v>
      </c>
      <c r="M5" s="217">
        <v>0.55000000000000004</v>
      </c>
      <c r="N5" s="217">
        <v>0.55000000000000004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/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94.678026929837401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7">
        <v>94.678026929837401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244.183820208876</v>
      </c>
      <c r="K12" s="217">
        <v>246.52068156466899</v>
      </c>
      <c r="L12" s="217">
        <v>214.50194186524101</v>
      </c>
      <c r="M12" s="217">
        <v>191.79813722914599</v>
      </c>
      <c r="N12" s="217">
        <v>177.24734287201699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0</v>
      </c>
      <c r="N13" s="217"/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245.099741518993</v>
      </c>
      <c r="K14" s="217">
        <v>247.602907327341</v>
      </c>
      <c r="L14" s="217">
        <v>215.152416025863</v>
      </c>
      <c r="M14" s="217">
        <v>192.142465547792</v>
      </c>
      <c r="N14" s="217">
        <v>177.39546331884401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0</v>
      </c>
      <c r="N15" s="217"/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229.35799999999901</v>
      </c>
      <c r="K16" s="217">
        <v>268.72799999999899</v>
      </c>
      <c r="L16" s="217">
        <v>255.578</v>
      </c>
      <c r="M16" s="217">
        <v>244.64400000000001</v>
      </c>
      <c r="N16" s="217">
        <v>242.05199999999999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0</v>
      </c>
      <c r="N17" s="217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2.41</v>
      </c>
      <c r="K18" s="217">
        <v>2.3919999999999999</v>
      </c>
      <c r="L18" s="217">
        <v>2.1219999999999999</v>
      </c>
      <c r="M18" s="217">
        <v>2.6989999999999998</v>
      </c>
      <c r="N18" s="217">
        <v>2.2730000000000001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2.21199999999999</v>
      </c>
      <c r="K19" s="217">
        <v>0.16999999999999901</v>
      </c>
      <c r="L19" s="217">
        <v>-0.14599999999999999</v>
      </c>
      <c r="M19" s="217">
        <v>0.122</v>
      </c>
      <c r="N19" s="217">
        <v>0.33100000000000002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3.76</v>
      </c>
      <c r="K20" s="217">
        <v>2.1440000000000001</v>
      </c>
      <c r="L20" s="217">
        <v>1.798</v>
      </c>
      <c r="M20" s="217">
        <v>2.7949999999999999</v>
      </c>
      <c r="N20" s="217">
        <v>0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-1.6479999999999999</v>
      </c>
      <c r="N21" s="217">
        <v>0.88400000000000001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/>
      <c r="N24" s="217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2.1339999999999999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0.69113999999999998</v>
      </c>
      <c r="K28" s="218">
        <v>0.67435999999999996</v>
      </c>
      <c r="L28" s="218">
        <v>0.74736000000000002</v>
      </c>
      <c r="M28" s="218">
        <v>0.81936999999999705</v>
      </c>
      <c r="N28" s="218">
        <v>0.87666999999999995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</v>
      </c>
      <c r="K29" s="218">
        <v>0</v>
      </c>
      <c r="L29" s="218">
        <v>0</v>
      </c>
      <c r="M29" s="218">
        <v>0</v>
      </c>
      <c r="N29" s="218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7.2999999999999995E-2</v>
      </c>
      <c r="L30" s="217">
        <v>0.42899999999999999</v>
      </c>
      <c r="M30" s="217">
        <v>0.125</v>
      </c>
      <c r="N30" s="217">
        <v>0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28515625" style="7" customWidth="1"/>
    <col min="6" max="6" width="4" style="7" customWidth="1"/>
    <col min="7" max="7" width="11.5703125" style="7" customWidth="1"/>
    <col min="8" max="8" width="4" style="7" customWidth="1"/>
    <col min="9" max="21" width="9.5703125" style="7" customWidth="1"/>
    <col min="22" max="22" width="16" style="7" bestFit="1" customWidth="1"/>
    <col min="23" max="16384" width="9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9" bestFit="1" customWidth="1"/>
    <col min="2" max="2" width="14.28515625" bestFit="1" customWidth="1"/>
    <col min="3" max="3" width="83" bestFit="1" customWidth="1"/>
    <col min="4" max="4" width="4.7109375" bestFit="1" customWidth="1"/>
    <col min="5" max="5" width="17" bestFit="1" customWidth="1"/>
    <col min="6" max="16" width="7.28515625" customWidth="1"/>
    <col min="17" max="17" width="14.28515625" bestFit="1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AFW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AFW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AFW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AFW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AFW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AFW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/>
      <c r="Q9" s="270"/>
    </row>
    <row r="10" spans="1:17">
      <c r="A10" t="str">
        <f>F_Inputs!A10</f>
        <v>AFW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tr">
        <f>F_Inputs!A11</f>
        <v>AFW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AFW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AFW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AFW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AFW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AFW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AFW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AFW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AFW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AFW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AFW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AFW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AFW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AFW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AFW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AFW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AFW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AFW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AFW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AFW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AFW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AFW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AFW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AFW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AFW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AFW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AFW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AFW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AFW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AFW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AFW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AFW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AFW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AFW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AFW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9" bestFit="1" customWidth="1"/>
    <col min="2" max="2" width="14.28515625" bestFit="1" customWidth="1"/>
    <col min="3" max="3" width="83" bestFit="1" customWidth="1"/>
    <col min="4" max="4" width="4.7109375" bestFit="1" customWidth="1"/>
    <col min="5" max="5" width="17" bestFit="1" customWidth="1"/>
    <col min="6" max="15" width="7.28515625" customWidth="1"/>
    <col min="1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AFW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1</v>
      </c>
    </row>
    <row r="5" spans="1:16">
      <c r="A5" t="str">
        <f>F_Inputs!A5</f>
        <v>AFW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0.55000000000000004</v>
      </c>
      <c r="K5" s="264">
        <f>IF(InpOverride!K5="",F_Inputs!K5,InpOverride!K5)</f>
        <v>0.55000000000000004</v>
      </c>
      <c r="L5" s="264">
        <f>IF(InpOverride!L5="",F_Inputs!L5,InpOverride!L5)</f>
        <v>0.55000000000000004</v>
      </c>
      <c r="M5" s="264">
        <f>IF(InpOverride!M5="",F_Inputs!M5,InpOverride!M5)</f>
        <v>0.55000000000000004</v>
      </c>
      <c r="N5" s="264">
        <f>IF(InpOverride!N5="",F_Inputs!N5,InpOverride!N5)</f>
        <v>0.55000000000000004</v>
      </c>
      <c r="O5" s="217"/>
      <c r="P5" s="217"/>
    </row>
    <row r="6" spans="1:16">
      <c r="A6" t="str">
        <f>F_Inputs!A6</f>
        <v>AFW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AFW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94.678026929837401</v>
      </c>
    </row>
    <row r="8" spans="1:16">
      <c r="A8" t="str">
        <f>F_Inputs!A8</f>
        <v>AFW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0</v>
      </c>
    </row>
    <row r="9" spans="1:16">
      <c r="A9" t="str">
        <f>F_Inputs!A9</f>
        <v>AFW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94.678026929837401</v>
      </c>
    </row>
    <row r="10" spans="1:16">
      <c r="A10" t="str">
        <f>F_Inputs!A10</f>
        <v>AFW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0</v>
      </c>
    </row>
    <row r="11" spans="1:16">
      <c r="A11" t="str">
        <f>F_Inputs!A11</f>
        <v>AFW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AFW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244.183820208876</v>
      </c>
      <c r="K12" s="264">
        <f>IF(InpOverride!K12="",F_Inputs!K12,InpOverride!K12)</f>
        <v>246.52068156466899</v>
      </c>
      <c r="L12" s="264">
        <f>IF(InpOverride!L12="",F_Inputs!L12,InpOverride!L12)</f>
        <v>214.50194186524101</v>
      </c>
      <c r="M12" s="264">
        <f>IF(InpOverride!M12="",F_Inputs!M12,InpOverride!M12)</f>
        <v>191.79813722914599</v>
      </c>
      <c r="N12" s="264">
        <f>IF(InpOverride!N12="",F_Inputs!N12,InpOverride!N12)</f>
        <v>177.24734287201699</v>
      </c>
      <c r="O12" s="217"/>
      <c r="P12" s="217"/>
    </row>
    <row r="13" spans="1:16">
      <c r="A13" t="str">
        <f>F_Inputs!A13</f>
        <v>AFW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0</v>
      </c>
      <c r="N13" s="264">
        <f>IF(InpOverride!N13="",F_Inputs!N13,InpOverride!N13)</f>
        <v>0</v>
      </c>
      <c r="O13" s="217"/>
      <c r="P13" s="217"/>
    </row>
    <row r="14" spans="1:16">
      <c r="A14" t="str">
        <f>F_Inputs!A14</f>
        <v>AFW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245.099741518993</v>
      </c>
      <c r="K14" s="264">
        <f>IF(InpOverride!K14="",F_Inputs!K14,InpOverride!K14)</f>
        <v>247.602907327341</v>
      </c>
      <c r="L14" s="264">
        <f>IF(InpOverride!L14="",F_Inputs!L14,InpOverride!L14)</f>
        <v>215.152416025863</v>
      </c>
      <c r="M14" s="264">
        <f>IF(InpOverride!M14="",F_Inputs!M14,InpOverride!M14)</f>
        <v>192.142465547792</v>
      </c>
      <c r="N14" s="264">
        <f>IF(InpOverride!N14="",F_Inputs!N14,InpOverride!N14)</f>
        <v>177.39546331884401</v>
      </c>
      <c r="O14" s="217"/>
      <c r="P14" s="217"/>
    </row>
    <row r="15" spans="1:16">
      <c r="A15" t="str">
        <f>F_Inputs!A15</f>
        <v>AFW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0</v>
      </c>
      <c r="N15" s="264">
        <f>IF(InpOverride!N15="",F_Inputs!N15,InpOverride!N15)</f>
        <v>0</v>
      </c>
      <c r="O15" s="217"/>
      <c r="P15" s="217"/>
    </row>
    <row r="16" spans="1:16">
      <c r="A16" t="str">
        <f>F_Inputs!A16</f>
        <v>AFW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229.35799999999901</v>
      </c>
      <c r="K16" s="264">
        <f>IF(InpOverride!K16="",F_Inputs!K16,InpOverride!K16)</f>
        <v>268.72799999999899</v>
      </c>
      <c r="L16" s="264">
        <f>IF(InpOverride!L16="",F_Inputs!L16,InpOverride!L16)</f>
        <v>255.578</v>
      </c>
      <c r="M16" s="264">
        <f>IF(InpOverride!M16="",F_Inputs!M16,InpOverride!M16)</f>
        <v>244.64400000000001</v>
      </c>
      <c r="N16" s="264">
        <f>IF(InpOverride!N16="",F_Inputs!N16,InpOverride!N16)</f>
        <v>242.05199999999999</v>
      </c>
      <c r="O16" s="217"/>
      <c r="P16" s="217"/>
    </row>
    <row r="17" spans="1:16">
      <c r="A17" t="str">
        <f>F_Inputs!A17</f>
        <v>AFW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0</v>
      </c>
      <c r="N17" s="264">
        <f>IF(InpOverride!N17="",F_Inputs!N17,InpOverride!N17)</f>
        <v>0</v>
      </c>
      <c r="O17" s="217"/>
      <c r="P17" s="217"/>
    </row>
    <row r="18" spans="1:16">
      <c r="A18" t="str">
        <f>F_Inputs!A18</f>
        <v>AFW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2.41</v>
      </c>
      <c r="K18" s="264">
        <f>IF(InpOverride!K18="",F_Inputs!K18,InpOverride!K18)</f>
        <v>2.3919999999999999</v>
      </c>
      <c r="L18" s="264">
        <f>IF(InpOverride!L18="",F_Inputs!L18,InpOverride!L18)</f>
        <v>2.1219999999999999</v>
      </c>
      <c r="M18" s="264">
        <f>IF(InpOverride!M18="",F_Inputs!M18,InpOverride!M18)</f>
        <v>2.6989999999999998</v>
      </c>
      <c r="N18" s="264">
        <f>IF(InpOverride!N18="",F_Inputs!N18,InpOverride!N18)</f>
        <v>2.2730000000000001</v>
      </c>
      <c r="O18" s="217"/>
      <c r="P18" s="217"/>
    </row>
    <row r="19" spans="1:16">
      <c r="A19" t="str">
        <f>F_Inputs!A19</f>
        <v>AFW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2.21199999999999</v>
      </c>
      <c r="K19" s="264">
        <f>IF(InpOverride!K19="",F_Inputs!K19,InpOverride!K19)</f>
        <v>0.16999999999999901</v>
      </c>
      <c r="L19" s="264">
        <f>IF(InpOverride!L19="",F_Inputs!L19,InpOverride!L19)</f>
        <v>-0.14599999999999999</v>
      </c>
      <c r="M19" s="264">
        <f>IF(InpOverride!M19="",F_Inputs!M19,InpOverride!M19)</f>
        <v>0.122</v>
      </c>
      <c r="N19" s="264">
        <f>IF(InpOverride!N19="",F_Inputs!N19,InpOverride!N19)</f>
        <v>0.33100000000000002</v>
      </c>
      <c r="O19" s="217"/>
      <c r="P19" s="217"/>
    </row>
    <row r="20" spans="1:16">
      <c r="A20" t="str">
        <f>F_Inputs!A20</f>
        <v>AFW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3.76</v>
      </c>
      <c r="K20" s="264">
        <f>IF(InpOverride!K20="",F_Inputs!K20,InpOverride!K20)</f>
        <v>2.1440000000000001</v>
      </c>
      <c r="L20" s="264">
        <f>IF(InpOverride!L20="",F_Inputs!L20,InpOverride!L20)</f>
        <v>1.798</v>
      </c>
      <c r="M20" s="264">
        <f>IF(InpOverride!M20="",F_Inputs!M20,InpOverride!M20)</f>
        <v>2.7949999999999999</v>
      </c>
      <c r="N20" s="264">
        <f>IF(InpOverride!N20="",F_Inputs!N20,InpOverride!N20)</f>
        <v>0</v>
      </c>
      <c r="O20" s="217"/>
      <c r="P20" s="217"/>
    </row>
    <row r="21" spans="1:16">
      <c r="A21" t="str">
        <f>F_Inputs!A21</f>
        <v>AFW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-1.6479999999999999</v>
      </c>
      <c r="N21" s="264">
        <f>IF(InpOverride!N21="",F_Inputs!N21,InpOverride!N21)</f>
        <v>0.88400000000000001</v>
      </c>
      <c r="O21" s="217"/>
      <c r="P21" s="217"/>
    </row>
    <row r="22" spans="1:16">
      <c r="A22" t="str">
        <f>F_Inputs!A22</f>
        <v>AFW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AFW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AFW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AFW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AFW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2.1339999999999999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AFW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AFW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0.69113999999999998</v>
      </c>
      <c r="K28" s="264">
        <f>IF(InpOverride!K28="",F_Inputs!K28,InpOverride!K28)</f>
        <v>0.67435999999999996</v>
      </c>
      <c r="L28" s="264">
        <f>IF(InpOverride!L28="",F_Inputs!L28,InpOverride!L28)</f>
        <v>0.74736000000000002</v>
      </c>
      <c r="M28" s="264">
        <f>IF(InpOverride!M28="",F_Inputs!M28,InpOverride!M28)</f>
        <v>0.81936999999999705</v>
      </c>
      <c r="N28" s="264">
        <f>IF(InpOverride!N28="",F_Inputs!N28,InpOverride!N28)</f>
        <v>0.87666999999999995</v>
      </c>
      <c r="O28" s="218"/>
      <c r="P28" s="218"/>
    </row>
    <row r="29" spans="1:16">
      <c r="A29" t="str">
        <f>F_Inputs!A29</f>
        <v>AFW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</v>
      </c>
      <c r="K29" s="264">
        <f>IF(InpOverride!K29="",F_Inputs!K29,InpOverride!K29)</f>
        <v>0</v>
      </c>
      <c r="L29" s="264">
        <f>IF(InpOverride!L29="",F_Inputs!L29,InpOverride!L29)</f>
        <v>0</v>
      </c>
      <c r="M29" s="264">
        <f>IF(InpOverride!M29="",F_Inputs!M29,InpOverride!M29)</f>
        <v>0</v>
      </c>
      <c r="N29" s="264">
        <f>IF(InpOverride!N29="",F_Inputs!N29,InpOverride!N29)</f>
        <v>0</v>
      </c>
      <c r="O29" s="218"/>
      <c r="P29" s="218"/>
    </row>
    <row r="30" spans="1:16">
      <c r="A30" t="str">
        <f>F_Inputs!A30</f>
        <v>AFW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7.2999999999999995E-2</v>
      </c>
      <c r="L30" s="264">
        <f>IF(InpOverride!L30="",F_Inputs!L30,InpOverride!L30)</f>
        <v>0.42899999999999999</v>
      </c>
      <c r="M30" s="264">
        <f>IF(InpOverride!M30="",F_Inputs!M30,InpOverride!M30)</f>
        <v>0.125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AFW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AFW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AFW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AFW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AFW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AFW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AFW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AFW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AFW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AFW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AFW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AFW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AFW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AFW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AFW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" defaultRowHeight="15"/>
  <cols>
    <col min="1" max="1" width="9" style="253" bestFit="1" customWidth="1"/>
    <col min="2" max="2" width="2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9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0.8138517416311899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0.8138517416311899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4.9800167710575129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0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4.9800167710575129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[…]09/11/2020 13:19:04</v>
      </c>
      <c r="G10" s="259" t="str">
        <f ca="1">CONCATENATE("[…]", TEXT(NOW(),"dd/mm/yyy hh:mm:ss"))</f>
        <v>[…]09/11/2020 13:19:04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menu_AFW_BYRun2</v>
      </c>
      <c r="G11" s="262" t="str">
        <f ca="1">MID(CELL("filename",F1),SEARCH("[",CELL("filename",F1))+1,SEARCH(".",CELL("filename",F1))-1-SEARCH("[",CELL("filename",F1)))</f>
        <v>Totex menu_AFW_BYRun2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" style="273" customWidth="1"/>
    <col min="3" max="4" width="50.7109375" style="280" customWidth="1"/>
    <col min="5" max="5" width="16" style="280" customWidth="1"/>
    <col min="6" max="6" width="14.7109375" style="280" customWidth="1"/>
    <col min="7" max="7" width="0" style="273" hidden="1" customWidth="1"/>
    <col min="8" max="16383" width="9" style="273" hidden="1"/>
    <col min="16384" max="16384" width="9" style="273" hidden="1" customWidth="1"/>
  </cols>
  <sheetData>
    <row r="1" spans="1:6" s="1" customFormat="1" ht="33.75">
      <c r="A1" s="1" t="s">
        <v>470</v>
      </c>
    </row>
    <row r="2" spans="1:6">
      <c r="A2" s="271"/>
      <c r="B2" s="271"/>
      <c r="C2" s="272"/>
      <c r="D2" s="272"/>
      <c r="E2" s="272"/>
      <c r="F2" s="272"/>
    </row>
    <row r="3" spans="1:6" ht="15.75">
      <c r="A3" s="271"/>
      <c r="B3" s="274" t="s">
        <v>471</v>
      </c>
      <c r="C3" s="274" t="s">
        <v>472</v>
      </c>
      <c r="D3" s="274" t="s">
        <v>473</v>
      </c>
      <c r="E3" s="274" t="s">
        <v>474</v>
      </c>
      <c r="F3" s="274" t="s">
        <v>475</v>
      </c>
    </row>
    <row r="4" spans="1:6">
      <c r="A4" s="271"/>
      <c r="B4" s="271"/>
      <c r="C4" s="272"/>
      <c r="D4" s="272"/>
      <c r="E4" s="272"/>
      <c r="F4" s="272"/>
    </row>
    <row r="5" spans="1:6" s="279" customFormat="1">
      <c r="A5" s="275"/>
      <c r="B5" s="276"/>
      <c r="C5" s="277"/>
      <c r="D5" s="277"/>
      <c r="E5" s="277"/>
      <c r="F5" s="278"/>
    </row>
    <row r="6" spans="1:6">
      <c r="A6" s="271"/>
      <c r="B6" s="271"/>
      <c r="C6" s="272"/>
      <c r="D6" s="272"/>
      <c r="E6" s="272"/>
      <c r="F6" s="272"/>
    </row>
    <row r="7" spans="1:6">
      <c r="A7" s="271"/>
      <c r="B7" s="271"/>
      <c r="C7" s="272"/>
      <c r="D7" s="272"/>
      <c r="E7" s="272"/>
      <c r="F7" s="272"/>
    </row>
    <row r="8" spans="1:6">
      <c r="A8" s="271"/>
      <c r="B8" s="271"/>
      <c r="C8" s="272"/>
      <c r="D8" s="272"/>
      <c r="E8" s="272"/>
      <c r="F8" s="272"/>
    </row>
    <row r="9" spans="1:6">
      <c r="A9" s="271"/>
      <c r="B9" s="271"/>
      <c r="C9" s="272"/>
      <c r="D9" s="272"/>
      <c r="E9" s="272"/>
      <c r="F9" s="272"/>
    </row>
    <row r="10" spans="1:6">
      <c r="A10" s="271"/>
      <c r="B10" s="271"/>
      <c r="C10" s="272"/>
      <c r="D10" s="272"/>
      <c r="E10" s="272"/>
      <c r="F10" s="272"/>
    </row>
    <row r="11" spans="1:6">
      <c r="A11" s="271"/>
      <c r="B11" s="271"/>
      <c r="C11" s="272"/>
      <c r="D11" s="272"/>
      <c r="E11" s="272"/>
      <c r="F11" s="272"/>
    </row>
    <row r="12" spans="1:6">
      <c r="A12" s="271"/>
      <c r="B12" s="271"/>
      <c r="C12" s="272"/>
      <c r="D12" s="272"/>
      <c r="E12" s="272"/>
      <c r="F12" s="272"/>
    </row>
    <row r="13" spans="1:6">
      <c r="A13" s="271"/>
      <c r="B13" s="271"/>
      <c r="C13" s="272"/>
      <c r="D13" s="272"/>
      <c r="E13" s="272"/>
      <c r="F13" s="272"/>
    </row>
    <row r="14" spans="1:6">
      <c r="A14" s="271"/>
      <c r="B14" s="271"/>
      <c r="C14" s="272"/>
      <c r="D14" s="272"/>
      <c r="E14" s="272"/>
      <c r="F14" s="272"/>
    </row>
    <row r="15" spans="1:6">
      <c r="A15" s="271"/>
      <c r="B15" s="271"/>
      <c r="C15" s="272"/>
      <c r="D15" s="272"/>
      <c r="E15" s="272"/>
      <c r="F15" s="272"/>
    </row>
    <row r="16" spans="1:6">
      <c r="A16" s="271"/>
      <c r="B16" s="271"/>
      <c r="C16" s="272"/>
      <c r="D16" s="272"/>
      <c r="E16" s="272"/>
      <c r="F16" s="272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" style="30" customWidth="1"/>
    <col min="4" max="4" width="10" style="30" customWidth="1"/>
    <col min="5" max="5" width="45" style="39" customWidth="1"/>
    <col min="6" max="6" width="6" style="30" customWidth="1"/>
    <col min="7" max="7" width="10" style="30" customWidth="1"/>
    <col min="8" max="8" width="12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" style="30" customWidth="1"/>
    <col min="26" max="27" width="13" style="30" customWidth="1"/>
    <col min="28" max="16384" width="9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AFW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44" t="s">
        <v>10</v>
      </c>
      <c r="K12" s="24" t="b">
        <f>CompanyType="WoC"</f>
        <v>1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Yes</v>
      </c>
      <c r="I13" s="144" t="s">
        <v>13</v>
      </c>
      <c r="K13" s="24" t="b">
        <f>CompanyEnhanced="Yes"</f>
        <v>1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3.7000000000000005E-2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94.678026929837401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0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0.55000000000000004</v>
      </c>
      <c r="M26" s="35">
        <f>InpActive!K5</f>
        <v>0.55000000000000004</v>
      </c>
      <c r="N26" s="35">
        <f>InpActive!L5</f>
        <v>0.55000000000000004</v>
      </c>
      <c r="O26" s="35">
        <f>InpActive!M5</f>
        <v>0.55000000000000004</v>
      </c>
      <c r="P26" s="35">
        <f>InpActive!N5</f>
        <v>0.55000000000000004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94.678026929837401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245.099741518993</v>
      </c>
      <c r="M40" s="35">
        <f>InpActive!K14</f>
        <v>247.602907327341</v>
      </c>
      <c r="N40" s="35">
        <f>InpActive!L14</f>
        <v>215.152416025863</v>
      </c>
      <c r="O40" s="35">
        <f>InpActive!M14</f>
        <v>192.142465547792</v>
      </c>
      <c r="P40" s="35">
        <f>InpActive!N14</f>
        <v>177.39546331884401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244.183820208876</v>
      </c>
      <c r="M46" s="35">
        <f>InpActive!K12</f>
        <v>246.52068156466899</v>
      </c>
      <c r="N46" s="35">
        <f>InpActive!L12</f>
        <v>214.50194186524101</v>
      </c>
      <c r="O46" s="35">
        <f>InpActive!M12</f>
        <v>191.79813722914599</v>
      </c>
      <c r="P46" s="35">
        <f>InpActive!N12</f>
        <v>177.24734287201699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229.35799999999901</v>
      </c>
      <c r="M52" s="35">
        <f>InpActive!K16</f>
        <v>268.72799999999899</v>
      </c>
      <c r="N52" s="35">
        <f>InpActive!L16</f>
        <v>255.578</v>
      </c>
      <c r="O52" s="35">
        <f>InpActive!M16</f>
        <v>244.64400000000001</v>
      </c>
      <c r="P52" s="35">
        <f>InpActive!N16</f>
        <v>242.05199999999999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2.41</v>
      </c>
      <c r="M60" s="35">
        <f>InpActive!K18</f>
        <v>2.3919999999999999</v>
      </c>
      <c r="N60" s="35">
        <f>InpActive!L18</f>
        <v>2.1219999999999999</v>
      </c>
      <c r="O60" s="35">
        <f>InpActive!M18</f>
        <v>2.6989999999999998</v>
      </c>
      <c r="P60" s="35">
        <f>InpActive!N18</f>
        <v>2.2730000000000001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2.21199999999999</v>
      </c>
      <c r="M61" s="35">
        <f>InpActive!K19</f>
        <v>0.16999999999999901</v>
      </c>
      <c r="N61" s="35">
        <f>InpActive!L19</f>
        <v>-0.14599999999999999</v>
      </c>
      <c r="O61" s="35">
        <f>InpActive!M19</f>
        <v>0.122</v>
      </c>
      <c r="P61" s="35">
        <f>InpActive!N19</f>
        <v>0.33100000000000002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3.76</v>
      </c>
      <c r="M62" s="35">
        <f>InpActive!K20</f>
        <v>2.1440000000000001</v>
      </c>
      <c r="N62" s="35">
        <f>InpActive!L20</f>
        <v>1.798</v>
      </c>
      <c r="O62" s="35">
        <f>InpActive!M20</f>
        <v>2.7949999999999999</v>
      </c>
      <c r="P62" s="35">
        <f>InpActive!N20</f>
        <v>0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-1.6479999999999999</v>
      </c>
      <c r="P63" s="35">
        <f>InpActive!N21</f>
        <v>0.88400000000000001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7.2999999999999995E-2</v>
      </c>
      <c r="N64" s="221">
        <f>InpActive!L30</f>
        <v>0.42899999999999999</v>
      </c>
      <c r="O64" s="221">
        <f>InpActive!M30</f>
        <v>0.125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2.1339999999999999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115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0.55000000000000004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0.75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8.75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-3.7500000000000006E-2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269">
        <f>InpActive!J28</f>
        <v>0.69113999999999998</v>
      </c>
      <c r="M125" s="269">
        <f>InpActive!K28</f>
        <v>0.67435999999999996</v>
      </c>
      <c r="N125" s="269">
        <f>InpActive!L28</f>
        <v>0.74736000000000002</v>
      </c>
      <c r="O125" s="269">
        <f>InpActive!M28</f>
        <v>0.81936999999999705</v>
      </c>
      <c r="P125" s="269">
        <f>InpActive!N28</f>
        <v>0.87666999999999995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</v>
      </c>
      <c r="M126" s="173">
        <f>InpActive!K29</f>
        <v>0</v>
      </c>
      <c r="N126" s="173">
        <f>InpActive!L29</f>
        <v>0</v>
      </c>
      <c r="O126" s="173">
        <f>InpActive!M29</f>
        <v>0</v>
      </c>
      <c r="P126" s="173">
        <f>InpActive!N29</f>
        <v>0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0.5606439461403252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0.98669506732459356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28515625" style="3" bestFit="1" customWidth="1"/>
    <col min="5" max="5" width="49.7109375" style="87" customWidth="1"/>
    <col min="6" max="6" width="20.28515625" style="87" customWidth="1"/>
    <col min="7" max="7" width="14.5703125" style="87" customWidth="1"/>
    <col min="8" max="8" width="14.28515625" style="3" customWidth="1"/>
    <col min="9" max="9" width="11.28515625" style="3" customWidth="1"/>
    <col min="10" max="10" width="11.5703125" style="3" customWidth="1"/>
    <col min="11" max="17" width="11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" style="3" bestFit="1" customWidth="1"/>
    <col min="24" max="24" width="3.5703125" style="70" customWidth="1"/>
    <col min="25" max="25" width="13.5703125" style="3" customWidth="1"/>
    <col min="26" max="38" width="9" style="3" customWidth="1"/>
    <col min="39" max="39" width="10" style="3" customWidth="1"/>
    <col min="40" max="16384" width="9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216.31055627649909</v>
      </c>
      <c r="M14" s="50">
        <f>Actual.Totex.Water/Indexation.Average</f>
        <v>248.1248721028953</v>
      </c>
      <c r="N14" s="50">
        <f>Actual.Totex.Water/Indexation.Average</f>
        <v>227.47054042256505</v>
      </c>
      <c r="O14" s="50">
        <f>Actual.Totex.Water/Indexation.Average</f>
        <v>211.28312745242226</v>
      </c>
      <c r="P14" s="50">
        <f>Actual.Totex.Water/Indexation.Average</f>
        <v>203.77007116437767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7.9051748040601213</v>
      </c>
      <c r="M18" s="50">
        <f>SUM(INDEX(Actual.Exclusions.Water,,M6))/Indexation.Average</f>
        <v>4.4125984779395564</v>
      </c>
      <c r="N18" s="50">
        <f>SUM(INDEX(Actual.Exclusions.Water,,N6))/Indexation.Average</f>
        <v>3.7407706508230012</v>
      </c>
      <c r="O18" s="50">
        <f>SUM(INDEX(Actual.Exclusions.Water,,O6))/Indexation.Average</f>
        <v>3.5348581639556427</v>
      </c>
      <c r="P18" s="50">
        <f>SUM(INDEX(Actual.Exclusions.Water,,P6))/Indexation.Average</f>
        <v>2.9363525532585943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0</v>
      </c>
      <c r="P19" s="212">
        <f>SUM(Inputs!P66:P72)/Indexation.Average</f>
        <v>0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2.1339999999999999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210.53938147243895</v>
      </c>
      <c r="M30" s="212">
        <f t="shared" ref="M30:P30" si="2">M14-M18+M22</f>
        <v>243.71227362495574</v>
      </c>
      <c r="N30" s="212">
        <f t="shared" si="2"/>
        <v>223.72976977174204</v>
      </c>
      <c r="O30" s="212">
        <f t="shared" si="2"/>
        <v>207.74826928846662</v>
      </c>
      <c r="P30" s="212">
        <f t="shared" si="2"/>
        <v>200.83371861111908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0</v>
      </c>
      <c r="P31" s="212">
        <f t="shared" si="3"/>
        <v>0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210.53938147243895</v>
      </c>
      <c r="M32" s="77">
        <f>SUM(M30:M31)</f>
        <v>243.71227362495574</v>
      </c>
      <c r="N32" s="77">
        <f t="shared" ref="N32:P32" si="4">SUM(N30:N31)</f>
        <v>223.72976977174204</v>
      </c>
      <c r="O32" s="77">
        <f t="shared" si="4"/>
        <v>207.74826928846662</v>
      </c>
      <c r="P32" s="77">
        <f t="shared" si="4"/>
        <v>200.83371861111908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0.52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103.75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-2.1750000000000007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0.59000000000000008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2.5499999999999989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0.5606439461403252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98.669506732459354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0.71760959846758965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0.59000000000000008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2.5499999999999989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0.5606439461403252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98.669506732459354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0.71760959846758965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0.59000000000000008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2.5499999999999989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1.0085116750184775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100.85116750184775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-0.5055253044218615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-5.0552530442186149E-3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0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58.6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0.58599999999999997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-5.4464942114180426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0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1.7588592709595459</v>
      </c>
      <c r="M97" s="147">
        <f>FD.AddInc.Coeff.Water/100*Baseline.Totex.Water</f>
        <v>1.77682222906581</v>
      </c>
      <c r="N97" s="147">
        <f>FD.AddInc.Coeff.Water/100*Baseline.Totex.Water</f>
        <v>1.5439543887365135</v>
      </c>
      <c r="O97" s="147">
        <f>FD.AddInc.Coeff.Water/100*Baseline.Totex.Water</f>
        <v>1.378832775503237</v>
      </c>
      <c r="P97" s="147">
        <f>FD.AddInc.Coeff.Water/100*Baseline.Totex.Water</f>
        <v>1.2730068720220769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0</v>
      </c>
      <c r="P98" s="147">
        <f>FD.AddInc.Coeff.Sewerage/100*Baseline.Totex.Sewerage</f>
        <v>0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-13.177969747705227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0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-2.9979004854106308</v>
      </c>
      <c r="M105" s="147">
        <f>IF(SUM(Baseline.Totex.Water)=0,0,$G101*(Baseline.Totex.Water/SUM(Baseline.Totex.Water)))</f>
        <v>-3.0285175800897304</v>
      </c>
      <c r="N105" s="147">
        <f>IF(SUM(Baseline.Totex.Water)=0,0,$G101*(Baseline.Totex.Water/SUM(Baseline.Totex.Water)))</f>
        <v>-2.6316042948222478</v>
      </c>
      <c r="O105" s="147">
        <f>IF(SUM(Baseline.Totex.Water)=0,0,$G101*(Baseline.Totex.Water/SUM(Baseline.Totex.Water)))</f>
        <v>-2.350161559387383</v>
      </c>
      <c r="P105" s="147">
        <f>IF(SUM(Baseline.Totex.Water)=0,0,$G101*(Baseline.Totex.Water/SUM(Baseline.Totex.Water)))</f>
        <v>-2.1697858279952351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</v>
      </c>
      <c r="P106" s="147">
        <f>IF(SUM(Baseline.Totex.Sewerage)=0,0,$G102*(Baseline.Totex.Sewerage/SUM(Baseline.Totex.Sewerage)))</f>
        <v>0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-3.4668275409998874</v>
      </c>
      <c r="M109" s="147">
        <f>M105*(1+WACC)^Calcs!M7</f>
        <v>-3.3772745566821025</v>
      </c>
      <c r="N109" s="147">
        <f>N105*(1+WACC)^Calcs!N7</f>
        <v>-2.8299456789187052</v>
      </c>
      <c r="O109" s="147">
        <f>O105*(1+WACC)^Calcs!O7</f>
        <v>-2.437117537084716</v>
      </c>
      <c r="P109" s="147">
        <f>P105*(1+WACC)^Calcs!P7</f>
        <v>-2.1697858279952351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</v>
      </c>
      <c r="P110" s="147">
        <f>P106*(1+WACC)^Calcs!P7</f>
        <v>0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-14.280951141680646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0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241.83870595932328</v>
      </c>
      <c r="M136" s="147">
        <f>Baseline.Totex.Water*(FD.AllExp.Coeff.Water/100)</f>
        <v>244.30856731511582</v>
      </c>
      <c r="N136" s="147">
        <f>Baseline.Totex.Water*(FD.AllExp.Coeff.Water/100)</f>
        <v>212.28982761568787</v>
      </c>
      <c r="O136" s="147">
        <f>Baseline.Totex.Water*(FD.AllExp.Coeff.Water/100)</f>
        <v>189.58602297959203</v>
      </c>
      <c r="P136" s="147">
        <f>Baseline.Totex.Water*(FD.AllExp.Coeff.Water/100)</f>
        <v>175.03522862246425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0</v>
      </c>
      <c r="P137" s="147">
        <f>Baseline.Totex.Sewerage*(FD.AllExp.Coeff.Sewerage/100)</f>
        <v>0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244.183820208876</v>
      </c>
      <c r="M140" s="147">
        <f>Inputs!M46</f>
        <v>246.52068156466899</v>
      </c>
      <c r="N140" s="147">
        <f>Inputs!N46</f>
        <v>214.50194186524101</v>
      </c>
      <c r="O140" s="147">
        <f>Inputs!O46</f>
        <v>191.79813722914599</v>
      </c>
      <c r="P140" s="147">
        <f>Inputs!P46</f>
        <v>177.24734287201699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0</v>
      </c>
      <c r="P141" s="147">
        <f>Inputs!P47</f>
        <v>0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2.3451142495527222</v>
      </c>
      <c r="M144" s="147">
        <f t="shared" ref="M144:P144" si="5">M140-M136</f>
        <v>2.2121142495531672</v>
      </c>
      <c r="N144" s="147">
        <f t="shared" si="5"/>
        <v>2.2121142495531387</v>
      </c>
      <c r="O144" s="147">
        <f t="shared" si="5"/>
        <v>2.212114249553963</v>
      </c>
      <c r="P144" s="147">
        <f t="shared" si="5"/>
        <v>2.2121142495527408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241.83870595932328</v>
      </c>
      <c r="M148" s="147">
        <f>Baseline.Totex.Water*(AllExp.Coeff.Water/100)</f>
        <v>244.30856731511582</v>
      </c>
      <c r="N148" s="147">
        <f>Baseline.Totex.Water*(AllExp.Coeff.Water/100)</f>
        <v>212.28982761568787</v>
      </c>
      <c r="O148" s="147">
        <f>Baseline.Totex.Water*(AllExp.Coeff.Water/100)</f>
        <v>189.58602297959203</v>
      </c>
      <c r="P148" s="147">
        <f>Baseline.Totex.Water*(AllExp.Coeff.Water/100)</f>
        <v>175.03522862246425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0</v>
      </c>
      <c r="P149" s="147">
        <f>Baseline.Totex.Sewerage*(AllExp.Coeff.Sewerage/100)</f>
        <v>0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244.183820208876</v>
      </c>
      <c r="M152" s="147">
        <f t="shared" ref="M152:P152" si="7">M148+M144</f>
        <v>246.52068156466899</v>
      </c>
      <c r="N152" s="147">
        <f t="shared" si="7"/>
        <v>214.50194186524101</v>
      </c>
      <c r="O152" s="147">
        <f t="shared" si="7"/>
        <v>191.79813722914599</v>
      </c>
      <c r="P152" s="147">
        <f t="shared" si="7"/>
        <v>177.24734287201699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0</v>
      </c>
      <c r="P153" s="147">
        <f t="shared" si="8"/>
        <v>0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-31.299324486884302</v>
      </c>
      <c r="M162" s="209">
        <f>(Actual.Totex.Water-SUM(Inputs!M60:M64))/Indexation.Average-M148</f>
        <v>-0.59629369016008127</v>
      </c>
      <c r="N162" s="209">
        <f>(Actual.Totex.Water-SUM(Inputs!N60:N64))/Indexation.Average-N148</f>
        <v>11.439942156054201</v>
      </c>
      <c r="O162" s="209">
        <f>(Actual.Totex.Water-SUM(Inputs!O60:O64))/Indexation.Average-O148</f>
        <v>18.162246308874586</v>
      </c>
      <c r="P162" s="209">
        <f>(Actual.Totex.Water-SUM(Inputs!P60:P64))/Indexation.Average-P148</f>
        <v>25.798489988654836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0</v>
      </c>
      <c r="P163" s="209">
        <f>(Actual.Totex.Sewerage-SUM(Inputs!P66:P72))/Indexation.Average-P149</f>
        <v>0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-31.299324486884302</v>
      </c>
      <c r="M166" s="147">
        <f t="shared" ref="L166:P167" si="10">M162+M156</f>
        <v>-0.59629369016008127</v>
      </c>
      <c r="N166" s="147">
        <f t="shared" si="10"/>
        <v>11.439942156054201</v>
      </c>
      <c r="O166" s="147">
        <f t="shared" si="10"/>
        <v>18.162246308874586</v>
      </c>
      <c r="P166" s="147">
        <f t="shared" si="10"/>
        <v>25.798489988654836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0</v>
      </c>
      <c r="P167" s="147">
        <f t="shared" si="10"/>
        <v>0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-36.195117440984653</v>
      </c>
      <c r="M170" s="147">
        <f>M166*(1+WACC)^Calcs!M7</f>
        <v>-0.66496147201762534</v>
      </c>
      <c r="N170" s="147">
        <f>N166*(1+WACC)^Calcs!N7</f>
        <v>12.302159156413847</v>
      </c>
      <c r="O170" s="147">
        <f>O166*(1+WACC)^Calcs!O7</f>
        <v>18.834249422302943</v>
      </c>
      <c r="P170" s="147">
        <f>P166*(1+WACC)^Calcs!P7</f>
        <v>25.798489988654836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0</v>
      </c>
      <c r="P171" s="147">
        <f>P167*(1+WACC)^Calcs!P7</f>
        <v>0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20.07481965436935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0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0.75192719751414572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0.8138517416311899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4.9800167710575129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0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28515625" style="7" customWidth="1"/>
    <col min="6" max="6" width="18" style="7" customWidth="1"/>
    <col min="7" max="7" width="11.5703125" style="7" customWidth="1"/>
    <col min="8" max="8" width="4" style="7" customWidth="1"/>
    <col min="9" max="21" width="13" style="7" customWidth="1"/>
    <col min="22" max="22" width="16" style="7" bestFit="1" customWidth="1"/>
    <col min="23" max="24" width="9" style="7" customWidth="1"/>
    <col min="25" max="16384" width="9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/>
      <c r="P11" s="84">
        <f>Calcs!P197</f>
        <v>0.8138517416311899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/>
      <c r="P12" s="84">
        <f>Calcs!P198</f>
        <v>0</v>
      </c>
    </row>
    <row r="13" spans="1:22" s="3" customFormat="1" ht="15">
      <c r="E13" s="87"/>
      <c r="F13" s="3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/>
      <c r="P14" s="150">
        <f>SUM(P11:P12)</f>
        <v>0.8138517416311899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/>
      <c r="P18" s="84">
        <f>Calcs!P202</f>
        <v>4.9800167710575129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/>
      <c r="P19" s="84">
        <f>Calcs!P203</f>
        <v>0</v>
      </c>
    </row>
    <row r="20" spans="1:22" customFormat="1" ht="15">
      <c r="G20" s="7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P21" s="150">
        <f>SUM(P18:P19)</f>
        <v>4.9800167710575129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" style="3" customWidth="1"/>
    <col min="6" max="7" width="2.5703125" style="3" customWidth="1"/>
    <col min="8" max="21" width="11" style="3" customWidth="1"/>
    <col min="22" max="22" width="30" style="128" customWidth="1"/>
    <col min="23" max="26" width="9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2019-11-17T21:42:15Z</dcterms:created>
  <dcterms:modified xsi:type="dcterms:W3CDTF">2020-11-09T13:23:25Z</dcterms:modified>
  <cp:category/>
  <cp:contentStatus/>
</cp:coreProperties>
</file>