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T29" i="7"/>
  <c r="S41" i="7"/>
  <c r="S49" i="7" s="1"/>
  <c r="S51" i="7" s="1"/>
  <c r="R51" i="7"/>
  <c r="F9" i="15" l="1"/>
  <c r="U36" i="7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l="1"/>
</calcChain>
</file>

<file path=xl/sharedStrings.xml><?xml version="1.0" encoding="utf-8"?>
<sst xmlns="http://schemas.openxmlformats.org/spreadsheetml/2006/main" count="1342" uniqueCount="477">
  <si>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</si>
  <si>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</si>
  <si>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</si>
  <si>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</si>
  <si>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</si>
  <si>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</si>
  <si>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</si>
  <si>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</si>
  <si>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</si>
  <si>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</si>
  <si>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</si>
  <si>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</si>
  <si>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</si>
  <si>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</si>
  <si>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</si>
  <si>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</si>
  <si>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</si>
  <si>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</si>
  <si>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</si>
  <si>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</si>
  <si>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</si>
  <si>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</si>
  <si>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</si>
  <si>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</si>
  <si>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</si>
  <si>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</si>
  <si>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</si>
  <si>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</si>
  <si>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</si>
  <si>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</si>
  <si>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</si>
  <si>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</si>
  <si>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</si>
  <si>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</si>
  <si>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</si>
  <si>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</si>
  <si>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</si>
  <si>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</si>
  <si>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</si>
  <si>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</si>
  <si>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</si>
  <si>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</si>
  <si>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</si>
  <si>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</si>
  <si>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</si>
  <si>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</si>
  <si>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</si>
  <si>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</si>
  <si>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</si>
  <si>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</si>
  <si>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</si>
  <si>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</si>
  <si>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</si>
  <si>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</si>
  <si>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</si>
  <si>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</si>
  <si>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</si>
  <si>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</si>
  <si>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</si>
  <si>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</si>
  <si>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</si>
  <si>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</si>
  <si>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</si>
  <si>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</si>
  <si>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</si>
  <si>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</si>
  <si>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</si>
  <si>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</si>
  <si>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</si>
  <si>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</si>
  <si>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</si>
  <si>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</si>
  <si>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</si>
  <si>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</si>
  <si>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</si>
  <si>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</si>
  <si>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</si>
  <si>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</si>
  <si>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</si>
  <si>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</si>
  <si>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</si>
  <si>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</si>
  <si>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</si>
  <si>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</si>
  <si>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</si>
  <si>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</si>
  <si>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</si>
  <si>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</si>
  <si>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</si>
  <si>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</si>
  <si>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</si>
  <si>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</si>
  <si>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</si>
  <si>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</si>
  <si>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</si>
  <si>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</si>
  <si>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</si>
  <si>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</si>
  <si>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</si>
  <si>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</si>
  <si>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</si>
  <si>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</si>
  <si>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</si>
  <si>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</si>
  <si>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</si>
  <si>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</si>
  <si>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</si>
  <si>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</si>
  <si>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</si>
  <si>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</si>
  <si>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</si>
  <si>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</si>
  <si>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</si>
  <si>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</si>
  <si>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</si>
  <si>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</si>
  <si>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</si>
  <si>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</si>
  <si>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</si>
  <si>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</si>
  <si>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</si>
  <si>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</si>
  <si>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</si>
  <si>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</si>
  <si>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</si>
  <si>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</si>
  <si>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</si>
  <si>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</si>
  <si>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</si>
  <si>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</si>
  <si>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</si>
  <si>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</si>
  <si>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</si>
  <si>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</si>
  <si>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</si>
  <si>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</si>
  <si>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</si>
  <si>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</si>
  <si>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</si>
  <si>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</si>
  <si>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</si>
  <si>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</si>
  <si>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</si>
  <si>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</si>
  <si>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</si>
  <si>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</si>
  <si>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</si>
  <si>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</si>
  <si>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</si>
  <si>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</si>
  <si>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</si>
  <si>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</si>
  <si>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</si>
  <si>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</si>
  <si>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</si>
  <si>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</si>
  <si>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</si>
  <si>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</si>
  <si>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</si>
  <si>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</si>
  <si>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</si>
  <si>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</si>
  <si>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</si>
  <si>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</si>
  <si>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</si>
  <si>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</si>
  <si>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</si>
  <si>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</si>
  <si>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</si>
  <si>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</si>
  <si>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</si>
  <si>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</si>
  <si>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</si>
  <si>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</si>
  <si>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</si>
  <si>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</si>
  <si>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</si>
  <si>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</si>
  <si>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</si>
  <si>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</si>
  <si>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</si>
  <si>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</si>
  <si>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</si>
  <si>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</si>
  <si>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</si>
  <si>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</si>
  <si>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</si>
  <si>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</si>
  <si>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</si>
  <si>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</si>
  <si>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</si>
  <si>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</si>
  <si>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</si>
  <si>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</si>
  <si>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</si>
  <si>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</si>
  <si>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</si>
  <si>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</si>
  <si>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</si>
  <si>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</si>
  <si>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</si>
  <si>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</si>
  <si>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</si>
  <si>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</si>
  <si>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</si>
  <si>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</si>
  <si>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</si>
  <si>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</si>
  <si>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</si>
  <si>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</si>
  <si>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</si>
  <si>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</si>
  <si>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</si>
  <si>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</si>
  <si>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</si>
  <si>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</si>
  <si>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</si>
  <si>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</si>
  <si>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</si>
  <si>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</si>
  <si>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</si>
  <si>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</si>
  <si>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</si>
  <si>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</si>
  <si>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</si>
  <si>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</si>
  <si>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</si>
  <si>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</si>
  <si>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</si>
  <si>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</si>
  <si>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</si>
  <si>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</si>
  <si>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</si>
  <si>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</si>
  <si>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</si>
  <si>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</si>
  <si>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</si>
  <si>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</si>
  <si>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</si>
  <si>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</si>
  <si>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</si>
  <si>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</si>
  <si>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</si>
  <si>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</si>
  <si>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</si>
  <si>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</si>
  <si>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</si>
  <si>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</si>
  <si>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</si>
  <si>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</si>
  <si>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</si>
  <si>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</si>
  <si>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</si>
  <si>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</si>
  <si>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</si>
  <si>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</si>
  <si>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</si>
  <si>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</si>
  <si>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</si>
  <si>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</si>
  <si>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</si>
  <si>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</si>
  <si>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</si>
  <si>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</si>
  <si>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</si>
  <si>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</si>
  <si>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</si>
  <si>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</si>
  <si>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</si>
  <si>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</si>
  <si>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</si>
  <si>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</si>
  <si>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</si>
  <si>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</si>
  <si>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</si>
  <si>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</si>
  <si>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</si>
  <si>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</si>
  <si>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</si>
  <si>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</si>
  <si>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</si>
  <si>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</si>
  <si>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</si>
  <si>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</si>
  <si>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</si>
  <si>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</si>
  <si>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</si>
  <si>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</si>
  <si>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</si>
  <si>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</si>
  <si>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</si>
  <si>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</si>
  <si>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</si>
  <si>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</si>
  <si>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</si>
  <si>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</si>
  <si>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</si>
  <si>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</si>
  <si>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</si>
  <si>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</si>
  <si>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</si>
  <si>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</si>
  <si>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</si>
  <si>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</si>
  <si>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</si>
  <si>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</si>
  <si>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</si>
  <si>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</si>
  <si>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</si>
  <si>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</si>
  <si>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</si>
  <si>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</si>
  <si>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</si>
  <si>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</si>
  <si>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</si>
  <si>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</si>
  <si>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</si>
  <si>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</si>
  <si>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</si>
  <si>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</si>
  <si>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</si>
  <si>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</si>
  <si>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</si>
  <si>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</si>
  <si>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</si>
  <si>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</si>
  <si>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</si>
  <si>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</si>
  <si>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</si>
  <si>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</si>
  <si>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</si>
  <si>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</si>
  <si>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</si>
  <si>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</si>
  <si>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</si>
  <si>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</si>
  <si>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</si>
  <si>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</si>
  <si>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</si>
  <si>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</si>
  <si>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</si>
  <si>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</si>
  <si>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</si>
  <si>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</si>
  <si>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</si>
  <si>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</si>
  <si>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</si>
  <si>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</si>
  <si>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</si>
  <si>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</si>
  <si>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</si>
  <si>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</si>
  <si>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</si>
  <si>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</si>
  <si>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</si>
  <si>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</si>
  <si>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</si>
  <si>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</si>
  <si>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</si>
  <si>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</si>
  <si>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</si>
  <si>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</si>
  <si>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</si>
  <si>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</si>
  <si>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</si>
  <si>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</si>
  <si>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</si>
  <si>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</si>
  <si>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</si>
  <si>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</si>
  <si>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</si>
  <si>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</si>
  <si>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</si>
  <si>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</si>
  <si>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</si>
  <si>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</si>
  <si>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</si>
  <si>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</si>
  <si>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</si>
  <si>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</si>
  <si>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</si>
  <si>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</si>
  <si>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</si>
  <si>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</si>
  <si>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</si>
  <si>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</si>
  <si>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</si>
  <si>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</si>
  <si>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</si>
  <si>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</si>
  <si>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</si>
  <si>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</si>
  <si>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</si>
  <si>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</si>
  <si>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</si>
  <si>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</si>
  <si>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</si>
  <si>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</si>
  <si>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</si>
  <si>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</si>
  <si>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</si>
  <si>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</si>
  <si>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</si>
  <si>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</si>
  <si>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</si>
  <si>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</si>
  <si>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</si>
  <si>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</si>
  <si>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</si>
  <si>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</si>
  <si>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</si>
  <si>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</si>
  <si>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</si>
  <si>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</si>
  <si>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</si>
  <si>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</si>
  <si>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</si>
  <si>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</si>
  <si>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</si>
  <si>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</si>
  <si>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</si>
  <si>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</si>
  <si>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</si>
  <si>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</si>
  <si>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</si>
  <si>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</si>
  <si>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</si>
  <si>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</si>
  <si>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</si>
  <si>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</si>
  <si>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</si>
  <si>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</si>
  <si>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</si>
  <si>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</si>
  <si>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</si>
  <si>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</si>
  <si>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</si>
  <si>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</si>
  <si>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</si>
  <si>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</si>
  <si>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</si>
  <si>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</si>
  <si>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</si>
  <si>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</si>
  <si>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</si>
  <si>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</si>
  <si>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</si>
  <si>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</si>
  <si>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</si>
  <si>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</si>
  <si>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</si>
  <si>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</si>
  <si>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</si>
  <si>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</si>
  <si>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</si>
  <si>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</si>
  <si>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</si>
  <si>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</si>
  <si>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</si>
  <si>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</si>
  <si>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</si>
  <si>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</si>
  <si>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</si>
  <si>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</si>
  <si>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</si>
  <si>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</si>
  <si>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</si>
  <si>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</si>
  <si>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</si>
  <si>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HDD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</si>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</sst>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4" fillId="0" borderId="0" xfId="1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4.28515625" customWidth="1"/>
    <col min="2" max="2" width="5.85546875" customWidth="1"/>
    <col min="3" max="3" width="12.140625" customWidth="1"/>
    <col min="4" max="4" width="2.855468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0.17607874488966799</v>
      </c>
      <c r="K5" s="217">
        <v>0.17607874488966799</v>
      </c>
      <c r="L5" s="217">
        <v>0.17607874488966799</v>
      </c>
      <c r="M5" s="217">
        <v>0.17607874488966799</v>
      </c>
      <c r="N5" s="217">
        <v>0.17607874488966799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>
        <v>0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103.770340688216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95.128381171128396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103.770340688216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95.128381171128396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20.949093261755699</v>
      </c>
      <c r="K12" s="217">
        <v>24.8885048800547</v>
      </c>
      <c r="L12" s="217">
        <v>21.649688330899298</v>
      </c>
      <c r="M12" s="217">
        <v>18.147234743331001</v>
      </c>
      <c r="N12" s="217">
        <v>18.7182065442104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4.1687101309746701</v>
      </c>
      <c r="N13" s="217">
        <v>4.9556883018995004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20.614361526892498</v>
      </c>
      <c r="K14" s="217">
        <v>24.516707663336</v>
      </c>
      <c r="L14" s="217">
        <v>21.308364775647799</v>
      </c>
      <c r="M14" s="217">
        <v>17.838865380857101</v>
      </c>
      <c r="N14" s="217">
        <v>18.404464972133699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4.2268620970675901</v>
      </c>
      <c r="N15" s="217">
        <v>5.0248183227080698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16.2513175623832</v>
      </c>
      <c r="K16" s="217">
        <v>21.439745899964102</v>
      </c>
      <c r="L16" s="217">
        <v>27.923999999999999</v>
      </c>
      <c r="M16" s="217">
        <v>98.38</v>
      </c>
      <c r="N16" s="217">
        <v>33.695999999999998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44.072000000000003</v>
      </c>
      <c r="N17" s="217">
        <v>5.4240000000000004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1.7805808366886701E-2</v>
      </c>
      <c r="K18" s="217">
        <v>0</v>
      </c>
      <c r="L18" s="217">
        <v>0</v>
      </c>
      <c r="M18" s="217">
        <v>1.9410000000000001</v>
      </c>
      <c r="N18" s="217">
        <v>2.448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0.4284</v>
      </c>
      <c r="K20" s="217">
        <v>0.45100000000000001</v>
      </c>
      <c r="L20" s="217">
        <v>0.41</v>
      </c>
      <c r="M20" s="217">
        <v>0.30599999999999999</v>
      </c>
      <c r="N20" s="217">
        <v>0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8.9999999999999993E-3</v>
      </c>
      <c r="N22" s="217">
        <v>3.1E-2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0.51300000000000001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0.54330000000000001</v>
      </c>
      <c r="K28" s="218">
        <v>0.45491999999999999</v>
      </c>
      <c r="L28" s="218">
        <v>0.50627</v>
      </c>
      <c r="M28" s="218">
        <v>0.71116000000000001</v>
      </c>
      <c r="N28" s="218">
        <v>0.69467000000000001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0.63138000000000005</v>
      </c>
      <c r="K29" s="218">
        <v>0.54157999999999995</v>
      </c>
      <c r="L29" s="218">
        <v>0.52046999999999999</v>
      </c>
      <c r="M29" s="218">
        <v>0.51234999999999997</v>
      </c>
      <c r="N29" s="218">
        <v>0.56011999999999995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68.378</v>
      </c>
      <c r="N30" s="217">
        <v>2.0489999999999999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41.155999999999999</v>
      </c>
      <c r="N31" s="217">
        <v>2.3E-2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85546875" bestFit="1" customWidth="1"/>
    <col min="5" max="5" width="17" bestFit="1" customWidth="1"/>
    <col min="6" max="16" width="7.42578125" customWidth="1"/>
    <col min="17" max="17" width="12.855468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HDD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HDD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HDD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HDD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HDD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HDD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/>
    </row>
    <row r="10" spans="1:17">
      <c r="A10" t="str">
        <f>F_Inputs!A10</f>
        <v>HDD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/>
    </row>
    <row r="11" spans="1:17">
      <c r="A11" t="str">
        <f>F_Inputs!A11</f>
        <v>HDD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HDD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HDD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HDD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HDD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HDD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HDD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HDD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HDD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HDD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HDD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HDD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HDD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HDD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HDD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HDD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HDD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HDD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HDD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HDD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HDD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HDD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HDD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HDD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HDD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HDD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HDD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HDD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HDD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HDD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HDD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HDD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HDD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HDD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HDD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855468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HDD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HDD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0.17607874488966799</v>
      </c>
      <c r="K5" s="264">
        <f>IF(InpOverride!K5="",F_Inputs!K5,InpOverride!K5)</f>
        <v>0.17607874488966799</v>
      </c>
      <c r="L5" s="264">
        <f>IF(InpOverride!L5="",F_Inputs!L5,InpOverride!L5)</f>
        <v>0.17607874488966799</v>
      </c>
      <c r="M5" s="264">
        <f>IF(InpOverride!M5="",F_Inputs!M5,InpOverride!M5)</f>
        <v>0.17607874488966799</v>
      </c>
      <c r="N5" s="264">
        <f>IF(InpOverride!N5="",F_Inputs!N5,InpOverride!N5)</f>
        <v>0.17607874488966799</v>
      </c>
      <c r="O5" s="217"/>
      <c r="P5" s="217"/>
    </row>
    <row r="6" spans="1:16">
      <c r="A6" t="str">
        <f>F_Inputs!A6</f>
        <v>HDD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HDD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103.770340688216</v>
      </c>
    </row>
    <row r="8" spans="1:16">
      <c r="A8" t="str">
        <f>F_Inputs!A8</f>
        <v>HDD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95.128381171128396</v>
      </c>
    </row>
    <row r="9" spans="1:16">
      <c r="A9" t="str">
        <f>F_Inputs!A9</f>
        <v>HDD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103.770340688216</v>
      </c>
    </row>
    <row r="10" spans="1:16">
      <c r="A10" t="str">
        <f>F_Inputs!A10</f>
        <v>HDD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95.128381171128396</v>
      </c>
    </row>
    <row r="11" spans="1:16">
      <c r="A11" t="str">
        <f>F_Inputs!A11</f>
        <v>HDD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HDD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20.949093261755699</v>
      </c>
      <c r="K12" s="264">
        <f>IF(InpOverride!K12="",F_Inputs!K12,InpOverride!K12)</f>
        <v>24.8885048800547</v>
      </c>
      <c r="L12" s="264">
        <f>IF(InpOverride!L12="",F_Inputs!L12,InpOverride!L12)</f>
        <v>21.649688330899298</v>
      </c>
      <c r="M12" s="264">
        <f>IF(InpOverride!M12="",F_Inputs!M12,InpOverride!M12)</f>
        <v>18.147234743331001</v>
      </c>
      <c r="N12" s="264">
        <f>IF(InpOverride!N12="",F_Inputs!N12,InpOverride!N12)</f>
        <v>18.7182065442104</v>
      </c>
      <c r="O12" s="217"/>
      <c r="P12" s="217"/>
    </row>
    <row r="13" spans="1:16">
      <c r="A13" t="str">
        <f>F_Inputs!A13</f>
        <v>HDD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4.1687101309746701</v>
      </c>
      <c r="N13" s="264">
        <f>IF(InpOverride!N13="",F_Inputs!N13,InpOverride!N13)</f>
        <v>4.9556883018995004</v>
      </c>
      <c r="O13" s="217"/>
      <c r="P13" s="217"/>
    </row>
    <row r="14" spans="1:16">
      <c r="A14" t="str">
        <f>F_Inputs!A14</f>
        <v>HDD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20.614361526892498</v>
      </c>
      <c r="K14" s="264">
        <f>IF(InpOverride!K14="",F_Inputs!K14,InpOverride!K14)</f>
        <v>24.516707663336</v>
      </c>
      <c r="L14" s="264">
        <f>IF(InpOverride!L14="",F_Inputs!L14,InpOverride!L14)</f>
        <v>21.308364775647799</v>
      </c>
      <c r="M14" s="264">
        <f>IF(InpOverride!M14="",F_Inputs!M14,InpOverride!M14)</f>
        <v>17.838865380857101</v>
      </c>
      <c r="N14" s="264">
        <f>IF(InpOverride!N14="",F_Inputs!N14,InpOverride!N14)</f>
        <v>18.404464972133699</v>
      </c>
      <c r="O14" s="217"/>
      <c r="P14" s="217"/>
    </row>
    <row r="15" spans="1:16">
      <c r="A15" t="str">
        <f>F_Inputs!A15</f>
        <v>HDD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4.2268620970675901</v>
      </c>
      <c r="N15" s="264">
        <f>IF(InpOverride!N15="",F_Inputs!N15,InpOverride!N15)</f>
        <v>5.0248183227080698</v>
      </c>
      <c r="O15" s="217"/>
      <c r="P15" s="217"/>
    </row>
    <row r="16" spans="1:16">
      <c r="A16" t="str">
        <f>F_Inputs!A16</f>
        <v>HDD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16.2513175623832</v>
      </c>
      <c r="K16" s="264">
        <f>IF(InpOverride!K16="",F_Inputs!K16,InpOverride!K16)</f>
        <v>21.439745899964102</v>
      </c>
      <c r="L16" s="264">
        <f>IF(InpOverride!L16="",F_Inputs!L16,InpOverride!L16)</f>
        <v>27.923999999999999</v>
      </c>
      <c r="M16" s="264">
        <f>IF(InpOverride!M16="",F_Inputs!M16,InpOverride!M16)</f>
        <v>98.38</v>
      </c>
      <c r="N16" s="264">
        <f>IF(InpOverride!N16="",F_Inputs!N16,InpOverride!N16)</f>
        <v>33.695999999999998</v>
      </c>
      <c r="O16" s="217"/>
      <c r="P16" s="217"/>
    </row>
    <row r="17" spans="1:16">
      <c r="A17" t="str">
        <f>F_Inputs!A17</f>
        <v>HDD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44.072000000000003</v>
      </c>
      <c r="N17" s="264">
        <f>IF(InpOverride!N17="",F_Inputs!N17,InpOverride!N17)</f>
        <v>5.4240000000000004</v>
      </c>
      <c r="O17" s="217"/>
      <c r="P17" s="217"/>
    </row>
    <row r="18" spans="1:16">
      <c r="A18" t="str">
        <f>F_Inputs!A18</f>
        <v>HDD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1.7805808366886701E-2</v>
      </c>
      <c r="K18" s="264">
        <f>IF(InpOverride!K18="",F_Inputs!K18,InpOverride!K18)</f>
        <v>0</v>
      </c>
      <c r="L18" s="264">
        <f>IF(InpOverride!L18="",F_Inputs!L18,InpOverride!L18)</f>
        <v>0</v>
      </c>
      <c r="M18" s="264">
        <f>IF(InpOverride!M18="",F_Inputs!M18,InpOverride!M18)</f>
        <v>1.9410000000000001</v>
      </c>
      <c r="N18" s="264">
        <f>IF(InpOverride!N18="",F_Inputs!N18,InpOverride!N18)</f>
        <v>2.448</v>
      </c>
      <c r="O18" s="217"/>
      <c r="P18" s="217"/>
    </row>
    <row r="19" spans="1:16">
      <c r="A19" t="str">
        <f>F_Inputs!A19</f>
        <v>HDD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HDD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0.4284</v>
      </c>
      <c r="K20" s="264">
        <f>IF(InpOverride!K20="",F_Inputs!K20,InpOverride!K20)</f>
        <v>0.45100000000000001</v>
      </c>
      <c r="L20" s="264">
        <f>IF(InpOverride!L20="",F_Inputs!L20,InpOverride!L20)</f>
        <v>0.41</v>
      </c>
      <c r="M20" s="264">
        <f>IF(InpOverride!M20="",F_Inputs!M20,InpOverride!M20)</f>
        <v>0.30599999999999999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HDD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HDD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8.9999999999999993E-3</v>
      </c>
      <c r="N22" s="264">
        <f>IF(InpOverride!N22="",F_Inputs!N22,InpOverride!N22)</f>
        <v>3.1E-2</v>
      </c>
      <c r="O22" s="217"/>
      <c r="P22" s="217"/>
    </row>
    <row r="23" spans="1:16">
      <c r="A23" t="str">
        <f>F_Inputs!A23</f>
        <v>HDD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HDD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HDD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HDD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0.51300000000000001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HDD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HDD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0.54330000000000001</v>
      </c>
      <c r="K28" s="264">
        <f>IF(InpOverride!K28="",F_Inputs!K28,InpOverride!K28)</f>
        <v>0.45491999999999999</v>
      </c>
      <c r="L28" s="264">
        <f>IF(InpOverride!L28="",F_Inputs!L28,InpOverride!L28)</f>
        <v>0.50627</v>
      </c>
      <c r="M28" s="264">
        <f>IF(InpOverride!M28="",F_Inputs!M28,InpOverride!M28)</f>
        <v>0.71116000000000001</v>
      </c>
      <c r="N28" s="264">
        <f>IF(InpOverride!N28="",F_Inputs!N28,InpOverride!N28)</f>
        <v>0.69467000000000001</v>
      </c>
      <c r="O28" s="218"/>
      <c r="P28" s="218"/>
    </row>
    <row r="29" spans="1:16">
      <c r="A29" t="str">
        <f>F_Inputs!A29</f>
        <v>HDD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0.63138000000000005</v>
      </c>
      <c r="K29" s="264">
        <f>IF(InpOverride!K29="",F_Inputs!K29,InpOverride!K29)</f>
        <v>0.54157999999999995</v>
      </c>
      <c r="L29" s="264">
        <f>IF(InpOverride!L29="",F_Inputs!L29,InpOverride!L29)</f>
        <v>0.52046999999999999</v>
      </c>
      <c r="M29" s="264">
        <f>IF(InpOverride!M29="",F_Inputs!M29,InpOverride!M29)</f>
        <v>0.51234999999999997</v>
      </c>
      <c r="N29" s="264">
        <f>IF(InpOverride!N29="",F_Inputs!N29,InpOverride!N29)</f>
        <v>0.56011999999999995</v>
      </c>
      <c r="O29" s="218"/>
      <c r="P29" s="218"/>
    </row>
    <row r="30" spans="1:16">
      <c r="A30" t="str">
        <f>F_Inputs!A30</f>
        <v>HDD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68.378</v>
      </c>
      <c r="N30" s="264">
        <f>IF(InpOverride!N30="",F_Inputs!N30,InpOverride!N30)</f>
        <v>2.0489999999999999</v>
      </c>
      <c r="O30" s="217"/>
      <c r="P30" s="217"/>
    </row>
    <row r="31" spans="1:16">
      <c r="A31" t="str">
        <f>F_Inputs!A31</f>
        <v>HDD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41.155999999999999</v>
      </c>
      <c r="N31" s="264">
        <f>IF(InpOverride!N31="",F_Inputs!N31,InpOverride!N31)</f>
        <v>2.3E-2</v>
      </c>
      <c r="O31" s="217"/>
      <c r="P31" s="217"/>
    </row>
    <row r="32" spans="1:16">
      <c r="A32" t="str">
        <f>F_Inputs!A32</f>
        <v>HDD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HDD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HDD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HDD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HDD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HDD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HDD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HDD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HDD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HDD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HDD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HDD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HDD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HDD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855468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-0.3975547153563106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-7.4769473647289031E-2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-0.47232418900359963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1.3735625071892992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-1.0008128595971588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0.37274964759214035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[…]09/11/2020 13:56:19</v>
      </c>
      <c r="G10" s="259" t="str">
        <f ca="1">CONCATENATE("[…]", TEXT(NOW(),"dd/mm/yyy hh:mm:ss"))</f>
        <v>[…]09/11/2020 13:56:19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menu_HDD_BYRun2</v>
      </c>
      <c r="G11" s="262" t="str">
        <f ca="1">MID(CELL("filename",F1),SEARCH("[",CELL("filename",F1))+1,SEARCH(".",CELL("filename",F1))-1-SEARCH("[",CELL("filename",F1)))</f>
        <v>Totex menu_HDD_BYRun2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470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471</v>
      </c>
      <c r="C3" s="273" t="s">
        <v>472</v>
      </c>
      <c r="D3" s="273" t="s">
        <v>473</v>
      </c>
      <c r="E3" s="273" t="s">
        <v>474</v>
      </c>
      <c r="F3" s="273" t="s">
        <v>475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HDD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103.770340688216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95.128381171128396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0.17607874488966799</v>
      </c>
      <c r="M26" s="35">
        <f>InpActive!K5</f>
        <v>0.17607874488966799</v>
      </c>
      <c r="N26" s="35">
        <f>InpActive!L5</f>
        <v>0.17607874488966799</v>
      </c>
      <c r="O26" s="35">
        <f>InpActive!M5</f>
        <v>0.17607874488966799</v>
      </c>
      <c r="P26" s="35">
        <f>InpActive!N5</f>
        <v>0.17607874488966799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103.770340688216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95.128381171128396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20.614361526892498</v>
      </c>
      <c r="M40" s="35">
        <f>InpActive!K14</f>
        <v>24.516707663336</v>
      </c>
      <c r="N40" s="35">
        <f>InpActive!L14</f>
        <v>21.308364775647799</v>
      </c>
      <c r="O40" s="35">
        <f>InpActive!M14</f>
        <v>17.838865380857101</v>
      </c>
      <c r="P40" s="35">
        <f>InpActive!N14</f>
        <v>18.404464972133699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4.2268620970675901</v>
      </c>
      <c r="P41" s="35">
        <f>InpActive!N15</f>
        <v>5.0248183227080698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20.949093261755699</v>
      </c>
      <c r="M46" s="35">
        <f>InpActive!K12</f>
        <v>24.8885048800547</v>
      </c>
      <c r="N46" s="35">
        <f>InpActive!L12</f>
        <v>21.649688330899298</v>
      </c>
      <c r="O46" s="35">
        <f>InpActive!M12</f>
        <v>18.147234743331001</v>
      </c>
      <c r="P46" s="35">
        <f>InpActive!N12</f>
        <v>18.7182065442104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4.1687101309746701</v>
      </c>
      <c r="P47" s="35">
        <f>InpActive!N13</f>
        <v>4.9556883018995004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16.2513175623832</v>
      </c>
      <c r="M52" s="35">
        <f>InpActive!K16</f>
        <v>21.439745899964102</v>
      </c>
      <c r="N52" s="35">
        <f>InpActive!L16</f>
        <v>27.923999999999999</v>
      </c>
      <c r="O52" s="35">
        <f>InpActive!M16</f>
        <v>98.38</v>
      </c>
      <c r="P52" s="35">
        <f>InpActive!N16</f>
        <v>33.695999999999998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44.072000000000003</v>
      </c>
      <c r="P53" s="35">
        <f>InpActive!N17</f>
        <v>5.4240000000000004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1.7805808366886701E-2</v>
      </c>
      <c r="M60" s="35">
        <f>InpActive!K18</f>
        <v>0</v>
      </c>
      <c r="N60" s="35">
        <f>InpActive!L18</f>
        <v>0</v>
      </c>
      <c r="O60" s="35">
        <f>InpActive!M18</f>
        <v>1.9410000000000001</v>
      </c>
      <c r="P60" s="35">
        <f>InpActive!N18</f>
        <v>2.448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0.4284</v>
      </c>
      <c r="M62" s="35">
        <f>InpActive!K20</f>
        <v>0.45100000000000001</v>
      </c>
      <c r="N62" s="35">
        <f>InpActive!L20</f>
        <v>0.41</v>
      </c>
      <c r="O62" s="35">
        <f>InpActive!M20</f>
        <v>0.30599999999999999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68.378</v>
      </c>
      <c r="P64" s="221">
        <f>InpActive!N30</f>
        <v>2.0489999999999999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8.9999999999999993E-3</v>
      </c>
      <c r="P66" s="35">
        <f>InpActive!N22</f>
        <v>3.1E-2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41.155999999999999</v>
      </c>
      <c r="P70" s="221">
        <f>InpActive!N31</f>
        <v>2.3E-2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0.51300000000000001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0.54330000000000001</v>
      </c>
      <c r="M125" s="173">
        <f>InpActive!K28</f>
        <v>0.45491999999999999</v>
      </c>
      <c r="N125" s="173">
        <f>InpActive!L28</f>
        <v>0.50627</v>
      </c>
      <c r="O125" s="173">
        <f>InpActive!M28</f>
        <v>0.71116000000000001</v>
      </c>
      <c r="P125" s="173">
        <f>InpActive!N28</f>
        <v>0.69467000000000001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0.63138000000000005</v>
      </c>
      <c r="M126" s="173">
        <f>InpActive!K29</f>
        <v>0.54157999999999995</v>
      </c>
      <c r="N126" s="173">
        <f>InpActive!L29</f>
        <v>0.52046999999999999</v>
      </c>
      <c r="O126" s="173">
        <f>InpActive!M29</f>
        <v>0.51234999999999997</v>
      </c>
      <c r="P126" s="173">
        <f>InpActive!N29</f>
        <v>0.56011999999999995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0.49245931862356795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1.0094258517205399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855468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15.326832036140726</v>
      </c>
      <c r="M14" s="50">
        <f>Actual.Totex.Water/Indexation.Average</f>
        <v>19.795980356893168</v>
      </c>
      <c r="N14" s="50">
        <f>Actual.Totex.Water/Indexation.Average</f>
        <v>24.853028706538538</v>
      </c>
      <c r="O14" s="50">
        <f>Actual.Totex.Water/Indexation.Average</f>
        <v>84.964413918875181</v>
      </c>
      <c r="P14" s="50">
        <f>Actual.Totex.Water/Indexation.Average</f>
        <v>28.366782005333025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38.062122893196452</v>
      </c>
      <c r="P15" s="50">
        <f>Actual.Totex.Sewerage/Indexation.Average</f>
        <v>4.5661629153883654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0.42082258574650389</v>
      </c>
      <c r="M18" s="50">
        <f>SUM(INDEX(Actual.Exclusions.Water,,M6))/Indexation.Average</f>
        <v>0.41642224598257793</v>
      </c>
      <c r="N18" s="50">
        <f>SUM(INDEX(Actual.Exclusions.Water,,N6))/Indexation.Average</f>
        <v>0.36490981842432318</v>
      </c>
      <c r="O18" s="50">
        <f>SUM(INDEX(Actual.Exclusions.Water,,O6))/Indexation.Average</f>
        <v>60.994223755037204</v>
      </c>
      <c r="P18" s="50">
        <f>SUM(INDEX(Actual.Exclusions.Water,,P6))/Indexation.Average</f>
        <v>3.7857733463313932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35.551535870812124</v>
      </c>
      <c r="P19" s="212">
        <f>SUM(Inputs!P66:P72)/Indexation.Average</f>
        <v>4.545958654700806E-2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0.51300000000000001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15.419009450394222</v>
      </c>
      <c r="M30" s="212">
        <f t="shared" ref="M30:P30" si="2">M14-M18+M22</f>
        <v>19.37955811091059</v>
      </c>
      <c r="N30" s="212">
        <f t="shared" si="2"/>
        <v>24.488118888114215</v>
      </c>
      <c r="O30" s="212">
        <f t="shared" si="2"/>
        <v>23.970190163837977</v>
      </c>
      <c r="P30" s="212">
        <f t="shared" si="2"/>
        <v>24.581008659001633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2.5105870223843283</v>
      </c>
      <c r="P31" s="212">
        <f t="shared" si="3"/>
        <v>4.5207033288413569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15.419009450394222</v>
      </c>
      <c r="M32" s="77">
        <f>SUM(M30:M31)</f>
        <v>19.37955811091059</v>
      </c>
      <c r="N32" s="77">
        <f t="shared" ref="N32:P32" si="4">SUM(N30:N31)</f>
        <v>24.488118888114215</v>
      </c>
      <c r="O32" s="77">
        <f t="shared" si="4"/>
        <v>26.480777186222305</v>
      </c>
      <c r="P32" s="77">
        <f t="shared" si="4"/>
        <v>29.10171198784299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0.49245931862356795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100.942585172054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-0.47840032047960701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0.5097432376577431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98.782095292782103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0.59708601860204347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0.49245931862356795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100.942585172054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-0.47840032047960701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0.5097432376577431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98.782095292782103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0.59708601860204347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1.0502043452724259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105.02043452724259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-2.4865752353853359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-2.4865752353853358E-2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0.7600014302478667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76.000143024786667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12.2100321278542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0.12210032127854201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-2.553284188562039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1.1296331516210045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-9.8619171609478515E-2</v>
      </c>
      <c r="M97" s="147">
        <f>FD.AddInc.Coeff.Water/100*Baseline.Totex.Water</f>
        <v>-0.11728800803244779</v>
      </c>
      <c r="N97" s="147">
        <f>FD.AddInc.Coeff.Water/100*Baseline.Totex.Water</f>
        <v>-0.10193928537566277</v>
      </c>
      <c r="O97" s="147">
        <f>FD.AddInc.Coeff.Water/100*Baseline.Totex.Water</f>
        <v>-8.5341189151946037E-2</v>
      </c>
      <c r="P97" s="147">
        <f>FD.AddInc.Coeff.Water/100*Baseline.Totex.Water</f>
        <v>-8.8047019409244628E-2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2.5238002607179715E-2</v>
      </c>
      <c r="P98" s="147">
        <f>FD.AddInc.Coeff.Sewerage/100*Baseline.Totex.Sewerage</f>
        <v>3.0002487665043594E-2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-2.0620495149832592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1.0743926613487813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-0.41397243705103265</v>
      </c>
      <c r="M105" s="147">
        <f>IF(SUM(Baseline.Totex.Water)=0,0,$G101*(Baseline.Totex.Water/SUM(Baseline.Totex.Water)))</f>
        <v>-0.49233837325588398</v>
      </c>
      <c r="N105" s="147">
        <f>IF(SUM(Baseline.Totex.Water)=0,0,$G101*(Baseline.Totex.Water/SUM(Baseline.Totex.Water)))</f>
        <v>-0.42790923620116739</v>
      </c>
      <c r="O105" s="147">
        <f>IF(SUM(Baseline.Totex.Water)=0,0,$G101*(Baseline.Totex.Water/SUM(Baseline.Totex.Water)))</f>
        <v>-0.35823561968217454</v>
      </c>
      <c r="P105" s="147">
        <f>IF(SUM(Baseline.Totex.Water)=0,0,$G101*(Baseline.Totex.Water/SUM(Baseline.Totex.Water)))</f>
        <v>-0.36959384879300056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0.49086321744486494</v>
      </c>
      <c r="P106" s="147">
        <f>IF(SUM(Baseline.Totex.Sewerage)=0,0,$G102*(Baseline.Totex.Sewerage/SUM(Baseline.Totex.Sewerage)))</f>
        <v>0.58352944390391648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-0.47688147016371124</v>
      </c>
      <c r="M109" s="147">
        <f>M105*(1+WACC)^Calcs!M7</f>
        <v>-0.54744809970188102</v>
      </c>
      <c r="N109" s="147">
        <f>N105*(1+WACC)^Calcs!N7</f>
        <v>-0.45927327157776815</v>
      </c>
      <c r="O109" s="147">
        <f>O105*(1+WACC)^Calcs!O7</f>
        <v>-0.37113210199073282</v>
      </c>
      <c r="P109" s="147">
        <f>P105*(1+WACC)^Calcs!P7</f>
        <v>-0.36959384879300056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0.50853429327288013</v>
      </c>
      <c r="P110" s="147">
        <f>P106*(1+WACC)^Calcs!P7</f>
        <v>0.58352944390391648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-2.2243287922270936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1.0920637371767965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20.808669441958589</v>
      </c>
      <c r="M136" s="147">
        <f>Baseline.Totex.Water*(FD.AllExp.Coeff.Water/100)</f>
        <v>24.74779851444643</v>
      </c>
      <c r="N136" s="147">
        <f>Baseline.Totex.Water*(FD.AllExp.Coeff.Water/100)</f>
        <v>21.50921426243023</v>
      </c>
      <c r="O136" s="147">
        <f>Baseline.Totex.Water*(FD.AllExp.Coeff.Water/100)</f>
        <v>18.00701188079973</v>
      </c>
      <c r="P136" s="147">
        <f>Baseline.Totex.Water*(FD.AllExp.Coeff.Water/100)</f>
        <v>18.577942729956902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4.1753829446197948</v>
      </c>
      <c r="P137" s="147">
        <f>Baseline.Totex.Sewerage*(FD.AllExp.Coeff.Sewerage/100)</f>
        <v>4.9636208238266608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20.949093261755699</v>
      </c>
      <c r="M140" s="147">
        <f>Inputs!M46</f>
        <v>24.8885048800547</v>
      </c>
      <c r="N140" s="147">
        <f>Inputs!N46</f>
        <v>21.649688330899298</v>
      </c>
      <c r="O140" s="147">
        <f>Inputs!O46</f>
        <v>18.147234743331001</v>
      </c>
      <c r="P140" s="147">
        <f>Inputs!P46</f>
        <v>18.7182065442104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4.1687101309746701</v>
      </c>
      <c r="P141" s="147">
        <f>Inputs!P47</f>
        <v>4.9556883018995004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0.14042381979711038</v>
      </c>
      <c r="M144" s="147">
        <f t="shared" ref="M144:P144" si="5">M140-M136</f>
        <v>0.14070636560827054</v>
      </c>
      <c r="N144" s="147">
        <f t="shared" si="5"/>
        <v>0.14047406846906796</v>
      </c>
      <c r="O144" s="147">
        <f t="shared" si="5"/>
        <v>0.14022286253127092</v>
      </c>
      <c r="P144" s="147">
        <f t="shared" si="5"/>
        <v>0.14026381425349754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-6.6728136451246201E-3</v>
      </c>
      <c r="P145" s="147">
        <f t="shared" si="6"/>
        <v>-7.9325219271604297E-3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20.808669441958589</v>
      </c>
      <c r="M148" s="147">
        <f>Baseline.Totex.Water*(AllExp.Coeff.Water/100)</f>
        <v>24.74779851444643</v>
      </c>
      <c r="N148" s="147">
        <f>Baseline.Totex.Water*(AllExp.Coeff.Water/100)</f>
        <v>21.50921426243023</v>
      </c>
      <c r="O148" s="147">
        <f>Baseline.Totex.Water*(AllExp.Coeff.Water/100)</f>
        <v>18.00701188079973</v>
      </c>
      <c r="P148" s="147">
        <f>Baseline.Totex.Water*(AllExp.Coeff.Water/100)</f>
        <v>18.577942729956902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4.1753829446197948</v>
      </c>
      <c r="P149" s="147">
        <f>Baseline.Totex.Sewerage*(AllExp.Coeff.Sewerage/100)</f>
        <v>4.9636208238266608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20.949093261755699</v>
      </c>
      <c r="M152" s="147">
        <f t="shared" ref="M152:P152" si="7">M148+M144</f>
        <v>24.8885048800547</v>
      </c>
      <c r="N152" s="147">
        <f t="shared" si="7"/>
        <v>21.649688330899298</v>
      </c>
      <c r="O152" s="147">
        <f t="shared" si="7"/>
        <v>18.147234743331001</v>
      </c>
      <c r="P152" s="147">
        <f t="shared" si="7"/>
        <v>18.7182065442104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4.1687101309746701</v>
      </c>
      <c r="P153" s="147">
        <f t="shared" si="8"/>
        <v>4.9556883018995004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-5.3896599915643684</v>
      </c>
      <c r="M162" s="209">
        <f>(Actual.Totex.Water-SUM(Inputs!M60:M64))/Indexation.Average-M148</f>
        <v>-5.3682404035358431</v>
      </c>
      <c r="N162" s="209">
        <f>(Actual.Totex.Water-SUM(Inputs!N60:N64))/Indexation.Average-N148</f>
        <v>2.9789046256839846</v>
      </c>
      <c r="O162" s="209">
        <f>(Actual.Totex.Water-SUM(Inputs!O60:O64))/Indexation.Average-O148</f>
        <v>5.9631782830382498</v>
      </c>
      <c r="P162" s="209">
        <f>(Actual.Totex.Water-SUM(Inputs!P60:P64))/Indexation.Average-P148</f>
        <v>6.0030659290447304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-1.6647959222354638</v>
      </c>
      <c r="P163" s="209">
        <f>(Actual.Totex.Sewerage-SUM(Inputs!P66:P72))/Indexation.Average-P149</f>
        <v>-0.44291749498530386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-5.3896599915643684</v>
      </c>
      <c r="M166" s="147">
        <f t="shared" ref="L166:P167" si="10">M162+M156</f>
        <v>-5.3682404035358431</v>
      </c>
      <c r="N166" s="147">
        <f t="shared" si="10"/>
        <v>2.9789046256839846</v>
      </c>
      <c r="O166" s="147">
        <f t="shared" si="10"/>
        <v>5.9631782830382498</v>
      </c>
      <c r="P166" s="147">
        <f t="shared" si="10"/>
        <v>6.0030659290447304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-1.6647959222354638</v>
      </c>
      <c r="P167" s="147">
        <f t="shared" si="10"/>
        <v>-0.44291749498530386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-6.2086959189094646</v>
      </c>
      <c r="M170" s="147">
        <f>M166*(1+WACC)^Calcs!M7</f>
        <v>-5.9691325464309291</v>
      </c>
      <c r="N170" s="147">
        <f>N166*(1+WACC)^Calcs!N7</f>
        <v>3.1972464191281182</v>
      </c>
      <c r="O170" s="147">
        <f>O166*(1+WACC)^Calcs!O7</f>
        <v>6.1778527012276268</v>
      </c>
      <c r="P170" s="147">
        <f>P166*(1+WACC)^Calcs!P7</f>
        <v>6.0030659290447304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-1.7247285754359405</v>
      </c>
      <c r="P171" s="147">
        <f>P167*(1+WACC)^Calcs!P7</f>
        <v>-0.44291749498530386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3.2003365840600821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-2.1676460704212444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0.57080686011883797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0.53829507812469213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-0.3975547153563106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-7.4769473647289031E-2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1.3735625071892992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-1.0008128595971588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25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M11" s="269"/>
      <c r="P11" s="84">
        <f>Calcs!P197</f>
        <v>-0.3975547153563106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M12" s="269"/>
      <c r="P12" s="84">
        <f>Calcs!P198</f>
        <v>-7.4769473647289031E-2</v>
      </c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M14" s="269"/>
      <c r="P14" s="150">
        <f>SUM(P11:P12)</f>
        <v>-0.47232418900359963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M18" s="269"/>
      <c r="P18" s="84">
        <f>Calcs!P202</f>
        <v>1.3735625071892992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M19" s="269"/>
      <c r="P19" s="84">
        <f>Calcs!P203</f>
        <v>-1.0008128595971588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M21" s="269"/>
      <c r="P21" s="150">
        <f>SUM(P18:P19)</f>
        <v>0.37274964759214035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2019-11-20T11:08:45Z</dcterms:created>
  <dcterms:modified xsi:type="dcterms:W3CDTF">2020-11-09T13:58:33Z</dcterms:modified>
  <cp:category/>
  <cp:contentStatus/>
</cp:coreProperties>
</file>