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80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L31" i="18" l="1"/>
  <c r="K31" i="18"/>
  <c r="N16" i="18"/>
  <c r="L17" i="18"/>
  <c r="K17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<sst xmlns="http://schemas.openxmlformats.org/spreadsheetml/2006/main" count="1391" uniqueCount="483">
  <si>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</si>
  <si>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</si>
  <si>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</si>
  <si>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</si>
  <si>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</si>
  <si>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</si>
  <si>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</si>
  <si>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</si>
  <si>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</si>
  <si>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</si>
  <si>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</si>
  <si>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</si>
  <si>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</si>
  <si>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</si>
  <si>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</si>
  <si>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</si>
  <si>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</si>
  <si>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</si>
  <si>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</si>
  <si>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</si>
  <si>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</si>
  <si>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</si>
  <si>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</si>
  <si>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</si>
  <si>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</si>
  <si>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</si>
  <si>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</si>
  <si>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</si>
  <si>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</si>
  <si>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</si>
  <si>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</si>
  <si>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</si>
  <si>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</si>
  <si>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</si>
  <si>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</si>
  <si>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</si>
  <si>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</si>
  <si>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</si>
  <si>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</si>
  <si>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</si>
  <si>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</si>
  <si>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</si>
  <si>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</si>
  <si>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</si>
  <si>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</si>
  <si>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</si>
  <si>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</si>
  <si>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</si>
  <si>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</si>
  <si>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</si>
  <si>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</si>
  <si>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</si>
  <si>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</si>
  <si>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</si>
  <si>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</si>
  <si>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</si>
  <si>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</si>
  <si>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</si>
  <si>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</si>
  <si>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</si>
  <si>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</si>
  <si>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</si>
  <si>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</si>
  <si>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</si>
  <si>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</si>
  <si>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</si>
  <si>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</si>
  <si>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</si>
  <si>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</si>
  <si>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</si>
  <si>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</si>
  <si>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</si>
  <si>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</si>
  <si>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</si>
  <si>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</si>
  <si>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</si>
  <si>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</si>
  <si>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</si>
  <si>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</si>
  <si>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</si>
  <si>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</si>
  <si>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</si>
  <si>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</si>
  <si>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</si>
  <si>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</si>
  <si>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</si>
  <si>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</si>
  <si>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</si>
  <si>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</si>
  <si>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</si>
  <si>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</si>
  <si>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</si>
  <si>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</si>
  <si>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</si>
  <si>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</si>
  <si>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</si>
  <si>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</si>
  <si>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</si>
  <si>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</si>
  <si>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</si>
  <si>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</si>
  <si>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</si>
  <si>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</si>
  <si>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</si>
  <si>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</si>
  <si>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</si>
  <si>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</si>
  <si>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</si>
  <si>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</si>
  <si>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</si>
  <si>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</si>
  <si>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</si>
  <si>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</si>
  <si>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</si>
  <si>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</si>
  <si>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</si>
  <si>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</si>
  <si>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</si>
  <si>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</si>
  <si>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</si>
  <si>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</si>
  <si>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</si>
  <si>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</si>
  <si>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</si>
  <si>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</si>
  <si>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</si>
  <si>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</si>
  <si>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</si>
  <si>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</si>
  <si>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</si>
  <si>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</si>
  <si>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</si>
  <si>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</si>
  <si>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</si>
  <si>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</si>
  <si>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</si>
  <si>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</si>
  <si>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</si>
  <si>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</si>
  <si>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</si>
  <si>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</si>
  <si>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</si>
  <si>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</si>
  <si>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</si>
  <si>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</si>
  <si>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</si>
  <si>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</si>
  <si>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</si>
  <si>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</si>
  <si>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</si>
  <si>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</si>
  <si>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</si>
  <si>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</si>
  <si>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</si>
  <si>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</si>
  <si>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</si>
  <si>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</si>
  <si>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</si>
  <si>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</si>
  <si>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</si>
  <si>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</si>
  <si>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</si>
  <si>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</si>
  <si>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</si>
  <si>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</si>
  <si>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</si>
  <si>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</si>
  <si>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</si>
  <si>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</si>
  <si>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</si>
  <si>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</si>
  <si>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</si>
  <si>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</si>
  <si>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</si>
  <si>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</si>
  <si>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</si>
  <si>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</si>
  <si>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</si>
  <si>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</si>
  <si>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</si>
  <si>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</si>
  <si>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</si>
  <si>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</si>
  <si>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</si>
  <si>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</si>
  <si>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</si>
  <si>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</si>
  <si>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</si>
  <si>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</si>
  <si>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</si>
  <si>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</si>
  <si>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</si>
  <si>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</si>
  <si>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</si>
  <si>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</si>
  <si>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</si>
  <si>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</si>
  <si>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</si>
  <si>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</si>
  <si>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</si>
  <si>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</si>
  <si>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</si>
  <si>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</si>
  <si>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</si>
  <si>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</si>
  <si>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</si>
  <si>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</si>
  <si>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</si>
  <si>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</si>
  <si>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</si>
  <si>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</si>
  <si>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</si>
  <si>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</si>
  <si>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</si>
  <si>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</si>
  <si>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</si>
  <si>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</si>
  <si>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</si>
  <si>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</si>
  <si>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</si>
  <si>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</si>
  <si>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</si>
  <si>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</si>
  <si>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</si>
  <si>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</si>
  <si>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</si>
  <si>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</si>
  <si>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</si>
  <si>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</si>
  <si>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</si>
  <si>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</si>
  <si>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</si>
  <si>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</si>
  <si>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</si>
  <si>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</si>
  <si>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</si>
  <si>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</si>
  <si>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</si>
  <si>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</si>
  <si>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</si>
  <si>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</si>
  <si>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</si>
  <si>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</si>
  <si>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</si>
  <si>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</si>
  <si>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</si>
  <si>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</si>
  <si>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</si>
  <si>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</si>
  <si>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</si>
  <si>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</si>
  <si>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</si>
  <si>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</si>
  <si>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</si>
  <si>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</si>
  <si>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</si>
  <si>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</si>
  <si>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</si>
  <si>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</si>
  <si>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</si>
  <si>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</si>
  <si>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</si>
  <si>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</si>
  <si>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</si>
  <si>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</si>
  <si>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</si>
  <si>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</si>
  <si>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</si>
  <si>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</si>
  <si>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</si>
  <si>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</si>
  <si>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</si>
  <si>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</si>
  <si>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</si>
  <si>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</si>
  <si>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</si>
  <si>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</si>
  <si>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</si>
  <si>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</si>
  <si>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</si>
  <si>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</si>
  <si>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</si>
  <si>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</si>
  <si>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</si>
  <si>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</si>
  <si>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</si>
  <si>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</si>
  <si>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</si>
  <si>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</si>
  <si>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</si>
  <si>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</si>
  <si>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</si>
  <si>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</si>
  <si>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</si>
  <si>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</si>
  <si>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</si>
  <si>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</si>
  <si>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</si>
  <si>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</si>
  <si>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</si>
  <si>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</si>
  <si>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</si>
  <si>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</si>
  <si>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</si>
  <si>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</si>
  <si>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</si>
  <si>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</si>
  <si>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</si>
  <si>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</si>
  <si>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</si>
  <si>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</si>
  <si>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</si>
  <si>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</si>
  <si>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</si>
  <si>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</si>
  <si>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</si>
  <si>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</si>
  <si>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</si>
  <si>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</si>
  <si>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</si>
  <si>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</si>
  <si>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</si>
  <si>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</si>
  <si>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</si>
  <si>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</si>
  <si>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</si>
  <si>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</si>
  <si>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</si>
  <si>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</si>
  <si>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</si>
  <si>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</si>
  <si>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</si>
  <si>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</si>
  <si>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</si>
  <si>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</si>
  <si>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</si>
  <si>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</si>
  <si>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</si>
  <si>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</si>
  <si>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</si>
  <si>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</si>
  <si>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</si>
  <si>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</si>
  <si>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</si>
  <si>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</si>
  <si>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</si>
  <si>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</si>
  <si>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</si>
  <si>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</si>
  <si>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</si>
  <si>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</si>
  <si>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</si>
  <si>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</si>
  <si>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</si>
  <si>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</si>
  <si>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</si>
  <si>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</si>
  <si>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</si>
  <si>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</si>
  <si>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</si>
  <si>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</si>
  <si>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</si>
  <si>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</si>
  <si>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</si>
  <si>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</si>
  <si>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</si>
  <si>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</si>
  <si>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</si>
  <si>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</si>
  <si>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</si>
  <si>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</si>
  <si>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</si>
  <si>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</si>
  <si>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</si>
  <si>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</si>
  <si>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</si>
  <si>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</si>
  <si>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</si>
  <si>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</si>
  <si>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</si>
  <si>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</si>
  <si>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</si>
  <si>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</si>
  <si>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</si>
  <si>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</si>
  <si>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</si>
  <si>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</si>
  <si>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</si>
  <si>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</si>
  <si>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</si>
  <si>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</si>
  <si>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</si>
  <si>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</si>
  <si>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</si>
  <si>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</si>
  <si>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</si>
  <si>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</si>
  <si>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</si>
  <si>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</si>
  <si>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</si>
  <si>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</si>
  <si>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</si>
  <si>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</si>
  <si>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</si>
  <si>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</si>
  <si>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</si>
  <si>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</si>
  <si>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</si>
  <si>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</si>
  <si>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</si>
  <si>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</si>
  <si>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</si>
  <si>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</si>
  <si>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</si>
  <si>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</si>
  <si>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</si>
  <si>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</si>
  <si>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</si>
  <si>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</si>
  <si>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</si>
  <si>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</si>
  <si>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</si>
  <si>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</si>
  <si>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</si>
  <si>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</si>
  <si>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</si>
  <si>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</si>
  <si>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</si>
  <si>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</si>
  <si>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</si>
  <si>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</si>
  <si>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</si>
  <si>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</si>
  <si>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</si>
  <si>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</si>
  <si>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</si>
  <si>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</si>
  <si>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</si>
  <si>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</si>
  <si>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</si>
  <si>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</si>
  <si>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</si>
  <si>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</si>
  <si>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</si>
  <si>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</si>
  <si>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</si>
  <si>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</si>
  <si>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</si>
  <si>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</si>
  <si>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</si>
  <si>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</si>
  <si>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</si>
  <si>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</si>
  <si>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</si>
  <si>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</si>
  <si>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</si>
  <si>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</si>
  <si>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</si>
  <si>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</si>
  <si>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</si>
  <si>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</si>
  <si>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</si>
  <si>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</si>
  <si>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</si>
  <si>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</si>
  <si>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</si>
  <si>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</si>
  <si>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</si>
  <si>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</si>
  <si>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SRN</t>
  </si>
  <si>
    <t>SRN.PD.C006.04</t>
  </si>
  <si>
    <t>SRN.PD.C006.03</t>
  </si>
  <si>
    <t>SRN.PD.C006.01</t>
  </si>
  <si>
    <t>SRN.PD.C006.02</t>
  </si>
  <si>
    <t>Change log</t>
  </si>
  <si>
    <t>#</t>
  </si>
  <si>
    <t>Issue</t>
  </si>
  <si>
    <t>Change</t>
  </si>
  <si>
    <t>Sheet</t>
  </si>
  <si>
    <t>Row</t>
  </si>
  <si>
    <t>PR19_PD006_RunBY</t>
  </si>
  <si>
    <t>Corrected value in 2018/19 and removed transitional expenditure from 2019/20</t>
  </si>
  <si>
    <t>Query SRN-BYR-007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</si>
</sst>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2" fontId="0" fillId="0" borderId="0" xfId="0" applyNumberForma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M18" sqref="M18"/>
      <selection pane="bottomLeft"/>
    </sheetView>
  </sheetViews>
  <sheetFormatPr defaultRowHeight="15"/>
  <cols>
    <col min="1" max="1" width="3.8554687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480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2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2.5370338146609299</v>
      </c>
      <c r="K5" s="217">
        <v>2.5370338146609299</v>
      </c>
      <c r="L5" s="217">
        <v>2.5370338146609299</v>
      </c>
      <c r="M5" s="217">
        <v>2.5370338146609299</v>
      </c>
      <c r="N5" s="217">
        <v>2.5369999999999999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5.53597397784623</v>
      </c>
      <c r="K6" s="217">
        <v>5.53597397784623</v>
      </c>
      <c r="L6" s="217">
        <v>5.53597397784623</v>
      </c>
      <c r="M6" s="217">
        <v>5.53597397784623</v>
      </c>
      <c r="N6" s="217">
        <v>5.5</v>
      </c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106.3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102</v>
      </c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106.3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100</v>
      </c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155.576080359282</v>
      </c>
      <c r="K12" s="217">
        <v>168.19891107619699</v>
      </c>
      <c r="L12" s="217">
        <v>166.313253513896</v>
      </c>
      <c r="M12" s="217">
        <v>151.20293061123101</v>
      </c>
      <c r="N12" s="217">
        <v>126.6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367.47961058352502</v>
      </c>
      <c r="K13" s="217">
        <v>402.926549619642</v>
      </c>
      <c r="L13" s="217">
        <v>394.66391232961797</v>
      </c>
      <c r="M13" s="217">
        <v>369.52734228227598</v>
      </c>
      <c r="N13" s="217">
        <v>336.9</v>
      </c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150.55223406202799</v>
      </c>
      <c r="K14" s="217">
        <v>163.07311875423699</v>
      </c>
      <c r="L14" s="217">
        <v>161.24456217346301</v>
      </c>
      <c r="M14" s="217">
        <v>146.393157598991</v>
      </c>
      <c r="N14" s="217">
        <v>122.2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365.42476210728699</v>
      </c>
      <c r="K15" s="217">
        <v>400.89511908108199</v>
      </c>
      <c r="L15" s="217">
        <v>392.67413944239797</v>
      </c>
      <c r="M15" s="217">
        <v>367.66430017533702</v>
      </c>
      <c r="N15" s="217">
        <v>335.2</v>
      </c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128.613</v>
      </c>
      <c r="K16" s="217">
        <v>161.28100000000001</v>
      </c>
      <c r="L16" s="217">
        <v>227.072</v>
      </c>
      <c r="M16" s="217">
        <v>223.423</v>
      </c>
      <c r="N16" s="217">
        <v>236.20599999999999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325.06099999999901</v>
      </c>
      <c r="K17" s="217">
        <v>371.78599999999898</v>
      </c>
      <c r="L17" s="217">
        <v>424.745</v>
      </c>
      <c r="M17" s="217">
        <v>468.33</v>
      </c>
      <c r="N17" s="217">
        <v>536.01300000000003</v>
      </c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2.165</v>
      </c>
      <c r="K18" s="217">
        <v>2.2050000000000001</v>
      </c>
      <c r="L18" s="217">
        <v>3.125</v>
      </c>
      <c r="M18" s="217">
        <v>3.0659999999999998</v>
      </c>
      <c r="N18" s="217">
        <v>3.2709999999999999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3.702</v>
      </c>
      <c r="L19" s="217">
        <v>1.3859999999999999</v>
      </c>
      <c r="M19" s="217">
        <v>1.615</v>
      </c>
      <c r="N19" s="217">
        <v>1.02296345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8.8759999999999994</v>
      </c>
      <c r="K20" s="217">
        <v>0</v>
      </c>
      <c r="L20" s="217">
        <v>0.53700000000000003</v>
      </c>
      <c r="M20" s="217">
        <v>4.8440000000000003</v>
      </c>
      <c r="N20" s="217">
        <v>5.0060000000000002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>
        <v>0</v>
      </c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1.448</v>
      </c>
      <c r="L23" s="217">
        <v>0.1</v>
      </c>
      <c r="M23" s="217">
        <v>1.5489999999999999</v>
      </c>
      <c r="N23" s="217">
        <v>6.68</v>
      </c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19.37</v>
      </c>
      <c r="K24" s="217">
        <v>0</v>
      </c>
      <c r="L24" s="217">
        <v>1.1719999999999999</v>
      </c>
      <c r="M24" s="217">
        <v>10.57</v>
      </c>
      <c r="N24" s="217">
        <v>10.923</v>
      </c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10.200375898869501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13.768000000000001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0.53200000000000003</v>
      </c>
      <c r="K28" s="218">
        <v>0.46300000000000002</v>
      </c>
      <c r="L28" s="218">
        <v>0.47399999999999998</v>
      </c>
      <c r="M28" s="218">
        <v>0.53500000000000003</v>
      </c>
      <c r="N28" s="218">
        <v>0.55500000000000005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0.47499999999999998</v>
      </c>
      <c r="K29" s="218">
        <v>0.44299999999999801</v>
      </c>
      <c r="L29" s="218">
        <v>0.434</v>
      </c>
      <c r="M29" s="218">
        <v>0.433</v>
      </c>
      <c r="N29" s="218">
        <v>0.52300000000000002</v>
      </c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0.55000000000000004</v>
      </c>
      <c r="M30" s="217">
        <v>0.11</v>
      </c>
      <c r="N30" s="217">
        <v>0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19.067</v>
      </c>
      <c r="L31" s="217">
        <v>27.010999999999999</v>
      </c>
      <c r="M31" s="217">
        <v>15.225</v>
      </c>
      <c r="N31" s="217">
        <v>12.769</v>
      </c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28515625" style="7" customWidth="1"/>
    <col min="6" max="6" width="4" style="7" customWidth="1"/>
    <col min="7" max="7" width="11.5703125" style="7" customWidth="1"/>
    <col min="8" max="8" width="4" style="7" customWidth="1"/>
    <col min="9" max="21" width="9.5703125" style="7" customWidth="1"/>
    <col min="22" max="22" width="15.85546875" style="7" bestFit="1" customWidth="1"/>
    <col min="23" max="16384" width="9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="90" zoomScaleNormal="9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41.85546875" customWidth="1"/>
    <col min="4" max="4" width="4.7109375" bestFit="1" customWidth="1"/>
    <col min="5" max="5" width="17" bestFit="1" customWidth="1"/>
    <col min="6" max="9" width="7.28515625" customWidth="1"/>
    <col min="10" max="14" width="8.5703125" customWidth="1"/>
    <col min="15" max="16" width="7.285156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v>106.253638469002</v>
      </c>
    </row>
    <row r="8" spans="1:17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v>102.026894758127</v>
      </c>
    </row>
    <row r="9" spans="1:17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>
        <v>106.253638469002</v>
      </c>
    </row>
    <row r="10" spans="1:17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>
        <v>100</v>
      </c>
    </row>
    <row r="11" spans="1:17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>
        <v>223.24299999999999</v>
      </c>
      <c r="N16" s="264">
        <f>F_Inputs!N16-2.701</f>
        <v>233.505</v>
      </c>
      <c r="O16" s="217"/>
      <c r="P16" s="217"/>
      <c r="Q16" t="s">
        <v>481</v>
      </c>
    </row>
    <row r="17" spans="1:17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>
        <f>F_Inputs!K17-17.067</f>
        <v>354.71899999999897</v>
      </c>
      <c r="L17" s="264">
        <f>F_Inputs!L17-23.702</f>
        <v>401.04300000000001</v>
      </c>
      <c r="M17" s="264"/>
      <c r="N17" s="264"/>
      <c r="O17" s="217"/>
      <c r="P17" s="217"/>
      <c r="Q17" t="s">
        <v>471</v>
      </c>
    </row>
    <row r="18" spans="1:17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7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v>1.1000000000000001</v>
      </c>
      <c r="K19" s="264">
        <v>2.5999999999999996</v>
      </c>
      <c r="L19" s="264"/>
      <c r="M19" s="264"/>
      <c r="N19" s="264"/>
      <c r="O19" s="217"/>
      <c r="P19" s="217"/>
      <c r="Q19" t="s">
        <v>482</v>
      </c>
    </row>
    <row r="20" spans="1:17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7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7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7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>
        <v>0</v>
      </c>
      <c r="L23" s="264"/>
      <c r="M23" s="264"/>
      <c r="N23" s="264"/>
      <c r="O23" s="217"/>
      <c r="P23" s="217"/>
      <c r="Q23" t="s">
        <v>482</v>
      </c>
    </row>
    <row r="24" spans="1:17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7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7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v>1.498</v>
      </c>
      <c r="J26" s="217"/>
      <c r="K26" s="217"/>
      <c r="L26" s="217"/>
      <c r="M26" s="217"/>
      <c r="N26" s="217"/>
      <c r="O26" s="217"/>
      <c r="P26" s="217"/>
      <c r="Q26" t="s">
        <v>472</v>
      </c>
    </row>
    <row r="27" spans="1:17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v>14.255000000000001</v>
      </c>
      <c r="J27" s="217"/>
      <c r="K27" s="217"/>
      <c r="L27" s="217"/>
      <c r="M27" s="217"/>
      <c r="N27" s="217"/>
      <c r="O27" s="217"/>
      <c r="P27" s="217"/>
      <c r="Q27" t="s">
        <v>473</v>
      </c>
    </row>
    <row r="28" spans="1:17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7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7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7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>
        <f>F_Inputs!K31-17.067</f>
        <v>2</v>
      </c>
      <c r="L31" s="264">
        <f>F_Inputs!L31-23.702</f>
        <v>3.3089999999999975</v>
      </c>
      <c r="M31" s="264"/>
      <c r="N31" s="264"/>
      <c r="O31" s="217"/>
      <c r="P31" s="217"/>
      <c r="Q31" t="s">
        <v>470</v>
      </c>
    </row>
    <row r="32" spans="1:17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" bestFit="1" customWidth="1"/>
    <col min="4" max="4" width="4.7109375" bestFit="1" customWidth="1"/>
    <col min="5" max="5" width="17" bestFit="1" customWidth="1"/>
    <col min="6" max="16" width="7.285156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SRN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2</v>
      </c>
    </row>
    <row r="5" spans="1:16">
      <c r="A5" t="str">
        <f>F_Inputs!A5</f>
        <v>SRN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2.5370338146609299</v>
      </c>
      <c r="K5" s="264">
        <f>IF(InpOverride!K5="",F_Inputs!K5,InpOverride!K5)</f>
        <v>2.5370338146609299</v>
      </c>
      <c r="L5" s="264">
        <f>IF(InpOverride!L5="",F_Inputs!L5,InpOverride!L5)</f>
        <v>2.5370338146609299</v>
      </c>
      <c r="M5" s="264">
        <f>IF(InpOverride!M5="",F_Inputs!M5,InpOverride!M5)</f>
        <v>2.5370338146609299</v>
      </c>
      <c r="N5" s="264">
        <f>IF(InpOverride!N5="",F_Inputs!N5,InpOverride!N5)</f>
        <v>2.5369999999999999</v>
      </c>
      <c r="O5" s="217"/>
      <c r="P5" s="217"/>
    </row>
    <row r="6" spans="1:16">
      <c r="A6" t="str">
        <f>F_Inputs!A6</f>
        <v>SRN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5.53597397784623</v>
      </c>
      <c r="K6" s="264">
        <f>IF(InpOverride!K6="",F_Inputs!K6,InpOverride!K6)</f>
        <v>5.53597397784623</v>
      </c>
      <c r="L6" s="264">
        <f>IF(InpOverride!L6="",F_Inputs!L6,InpOverride!L6)</f>
        <v>5.53597397784623</v>
      </c>
      <c r="M6" s="264">
        <f>IF(InpOverride!M6="",F_Inputs!M6,InpOverride!M6)</f>
        <v>5.53597397784623</v>
      </c>
      <c r="N6" s="264">
        <f>IF(InpOverride!N6="",F_Inputs!N6,InpOverride!N6)</f>
        <v>5.5</v>
      </c>
      <c r="O6" s="217"/>
      <c r="P6" s="217"/>
    </row>
    <row r="7" spans="1:16">
      <c r="A7" t="str">
        <f>F_Inputs!A7</f>
        <v>SRN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106.253638469002</v>
      </c>
    </row>
    <row r="8" spans="1:16">
      <c r="A8" t="str">
        <f>F_Inputs!A8</f>
        <v>SRN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102.026894758127</v>
      </c>
    </row>
    <row r="9" spans="1:16">
      <c r="A9" t="str">
        <f>F_Inputs!A9</f>
        <v>SRN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106.253638469002</v>
      </c>
    </row>
    <row r="10" spans="1:16">
      <c r="A10" t="str">
        <f>F_Inputs!A10</f>
        <v>SRN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100</v>
      </c>
    </row>
    <row r="11" spans="1:16">
      <c r="A11" t="str">
        <f>F_Inputs!A11</f>
        <v>SRN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SRN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155.576080359282</v>
      </c>
      <c r="K12" s="264">
        <f>IF(InpOverride!K12="",F_Inputs!K12,InpOverride!K12)</f>
        <v>168.19891107619699</v>
      </c>
      <c r="L12" s="264">
        <f>IF(InpOverride!L12="",F_Inputs!L12,InpOverride!L12)</f>
        <v>166.313253513896</v>
      </c>
      <c r="M12" s="264">
        <f>IF(InpOverride!M12="",F_Inputs!M12,InpOverride!M12)</f>
        <v>151.20293061123101</v>
      </c>
      <c r="N12" s="264">
        <f>IF(InpOverride!N12="",F_Inputs!N12,InpOverride!N12)</f>
        <v>126.6</v>
      </c>
      <c r="O12" s="217"/>
      <c r="P12" s="217"/>
    </row>
    <row r="13" spans="1:16">
      <c r="A13" t="str">
        <f>F_Inputs!A13</f>
        <v>SRN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367.47961058352502</v>
      </c>
      <c r="K13" s="264">
        <f>IF(InpOverride!K13="",F_Inputs!K13,InpOverride!K13)</f>
        <v>402.926549619642</v>
      </c>
      <c r="L13" s="264">
        <f>IF(InpOverride!L13="",F_Inputs!L13,InpOverride!L13)</f>
        <v>394.66391232961797</v>
      </c>
      <c r="M13" s="264">
        <f>IF(InpOverride!M13="",F_Inputs!M13,InpOverride!M13)</f>
        <v>369.52734228227598</v>
      </c>
      <c r="N13" s="264">
        <f>IF(InpOverride!N13="",F_Inputs!N13,InpOverride!N13)</f>
        <v>336.9</v>
      </c>
      <c r="O13" s="217"/>
      <c r="P13" s="217"/>
    </row>
    <row r="14" spans="1:16">
      <c r="A14" t="str">
        <f>F_Inputs!A14</f>
        <v>SRN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150.55223406202799</v>
      </c>
      <c r="K14" s="264">
        <f>IF(InpOverride!K14="",F_Inputs!K14,InpOverride!K14)</f>
        <v>163.07311875423699</v>
      </c>
      <c r="L14" s="264">
        <f>IF(InpOverride!L14="",F_Inputs!L14,InpOverride!L14)</f>
        <v>161.24456217346301</v>
      </c>
      <c r="M14" s="264">
        <f>IF(InpOverride!M14="",F_Inputs!M14,InpOverride!M14)</f>
        <v>146.393157598991</v>
      </c>
      <c r="N14" s="264">
        <f>IF(InpOverride!N14="",F_Inputs!N14,InpOverride!N14)</f>
        <v>122.2</v>
      </c>
      <c r="O14" s="217"/>
      <c r="P14" s="217"/>
    </row>
    <row r="15" spans="1:16">
      <c r="A15" t="str">
        <f>F_Inputs!A15</f>
        <v>SRN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365.42476210728699</v>
      </c>
      <c r="K15" s="264">
        <f>IF(InpOverride!K15="",F_Inputs!K15,InpOverride!K15)</f>
        <v>400.89511908108199</v>
      </c>
      <c r="L15" s="264">
        <f>IF(InpOverride!L15="",F_Inputs!L15,InpOverride!L15)</f>
        <v>392.67413944239797</v>
      </c>
      <c r="M15" s="264">
        <f>IF(InpOverride!M15="",F_Inputs!M15,InpOverride!M15)</f>
        <v>367.66430017533702</v>
      </c>
      <c r="N15" s="264">
        <f>IF(InpOverride!N15="",F_Inputs!N15,InpOverride!N15)</f>
        <v>335.2</v>
      </c>
      <c r="O15" s="217"/>
      <c r="P15" s="217"/>
    </row>
    <row r="16" spans="1:16">
      <c r="A16" t="str">
        <f>F_Inputs!A16</f>
        <v>SRN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128.613</v>
      </c>
      <c r="K16" s="264">
        <f>IF(InpOverride!K16="",F_Inputs!K16,InpOverride!K16)</f>
        <v>161.28100000000001</v>
      </c>
      <c r="L16" s="264">
        <f>IF(InpOverride!L16="",F_Inputs!L16,InpOverride!L16)</f>
        <v>227.072</v>
      </c>
      <c r="M16" s="264">
        <f>IF(InpOverride!M16="",F_Inputs!M16,InpOverride!M16)</f>
        <v>223.24299999999999</v>
      </c>
      <c r="N16" s="264">
        <f>IF(InpOverride!N16="",F_Inputs!N16,InpOverride!N16)</f>
        <v>233.505</v>
      </c>
      <c r="O16" s="217"/>
      <c r="P16" s="217"/>
    </row>
    <row r="17" spans="1:16">
      <c r="A17" t="str">
        <f>F_Inputs!A17</f>
        <v>SRN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325.06099999999901</v>
      </c>
      <c r="K17" s="264">
        <f>IF(InpOverride!K17="",F_Inputs!K17,InpOverride!K17)</f>
        <v>354.71899999999897</v>
      </c>
      <c r="L17" s="264">
        <f>IF(InpOverride!L17="",F_Inputs!L17,InpOverride!L17)</f>
        <v>401.04300000000001</v>
      </c>
      <c r="M17" s="264">
        <f>IF(InpOverride!M17="",F_Inputs!M17,InpOverride!M17)</f>
        <v>468.33</v>
      </c>
      <c r="N17" s="264">
        <f>IF(InpOverride!N17="",F_Inputs!N17,InpOverride!N17)</f>
        <v>536.01300000000003</v>
      </c>
      <c r="O17" s="217"/>
      <c r="P17" s="217"/>
    </row>
    <row r="18" spans="1:16">
      <c r="A18" t="str">
        <f>F_Inputs!A18</f>
        <v>SRN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2.165</v>
      </c>
      <c r="K18" s="264">
        <f>IF(InpOverride!K18="",F_Inputs!K18,InpOverride!K18)</f>
        <v>2.2050000000000001</v>
      </c>
      <c r="L18" s="264">
        <f>IF(InpOverride!L18="",F_Inputs!L18,InpOverride!L18)</f>
        <v>3.125</v>
      </c>
      <c r="M18" s="264">
        <f>IF(InpOverride!M18="",F_Inputs!M18,InpOverride!M18)</f>
        <v>3.0659999999999998</v>
      </c>
      <c r="N18" s="264">
        <f>IF(InpOverride!N18="",F_Inputs!N18,InpOverride!N18)</f>
        <v>3.2709999999999999</v>
      </c>
      <c r="O18" s="217"/>
      <c r="P18" s="217"/>
    </row>
    <row r="19" spans="1:16">
      <c r="A19" t="str">
        <f>F_Inputs!A19</f>
        <v>SRN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1.1000000000000001</v>
      </c>
      <c r="K19" s="264">
        <f>IF(InpOverride!K19="",F_Inputs!K19,InpOverride!K19)</f>
        <v>2.5999999999999996</v>
      </c>
      <c r="L19" s="264">
        <f>IF(InpOverride!L19="",F_Inputs!L19,InpOverride!L19)</f>
        <v>1.3859999999999999</v>
      </c>
      <c r="M19" s="264">
        <f>IF(InpOverride!M19="",F_Inputs!M19,InpOverride!M19)</f>
        <v>1.615</v>
      </c>
      <c r="N19" s="264">
        <f>IF(InpOverride!N19="",F_Inputs!N19,InpOverride!N19)</f>
        <v>1.02296345</v>
      </c>
      <c r="O19" s="217"/>
      <c r="P19" s="217"/>
    </row>
    <row r="20" spans="1:16">
      <c r="A20" t="str">
        <f>F_Inputs!A20</f>
        <v>SRN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8.8759999999999994</v>
      </c>
      <c r="K20" s="264">
        <f>IF(InpOverride!K20="",F_Inputs!K20,InpOverride!K20)</f>
        <v>0</v>
      </c>
      <c r="L20" s="264">
        <f>IF(InpOverride!L20="",F_Inputs!L20,InpOverride!L20)</f>
        <v>0.53700000000000003</v>
      </c>
      <c r="M20" s="264">
        <f>IF(InpOverride!M20="",F_Inputs!M20,InpOverride!M20)</f>
        <v>4.8440000000000003</v>
      </c>
      <c r="N20" s="264">
        <f>IF(InpOverride!N20="",F_Inputs!N20,InpOverride!N20)</f>
        <v>5.0060000000000002</v>
      </c>
      <c r="O20" s="217"/>
      <c r="P20" s="217"/>
    </row>
    <row r="21" spans="1:16">
      <c r="A21" t="str">
        <f>F_Inputs!A21</f>
        <v>SRN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SRN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SRN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0.1</v>
      </c>
      <c r="M23" s="264">
        <f>IF(InpOverride!M23="",F_Inputs!M23,InpOverride!M23)</f>
        <v>1.5489999999999999</v>
      </c>
      <c r="N23" s="264">
        <f>IF(InpOverride!N23="",F_Inputs!N23,InpOverride!N23)</f>
        <v>6.68</v>
      </c>
      <c r="O23" s="217"/>
      <c r="P23" s="217"/>
    </row>
    <row r="24" spans="1:16">
      <c r="A24" t="str">
        <f>F_Inputs!A24</f>
        <v>SRN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19.37</v>
      </c>
      <c r="K24" s="264">
        <f>IF(InpOverride!K24="",F_Inputs!K24,InpOverride!K24)</f>
        <v>0</v>
      </c>
      <c r="L24" s="264">
        <f>IF(InpOverride!L24="",F_Inputs!L24,InpOverride!L24)</f>
        <v>1.1719999999999999</v>
      </c>
      <c r="M24" s="264">
        <f>IF(InpOverride!M24="",F_Inputs!M24,InpOverride!M24)</f>
        <v>10.57</v>
      </c>
      <c r="N24" s="264">
        <f>IF(InpOverride!N24="",F_Inputs!N24,InpOverride!N24)</f>
        <v>10.923</v>
      </c>
      <c r="O24" s="217"/>
      <c r="P24" s="217"/>
    </row>
    <row r="25" spans="1:16">
      <c r="A25" t="str">
        <f>F_Inputs!A25</f>
        <v>SRN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SRN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1.498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SRN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14.255000000000001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SRN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0.53200000000000003</v>
      </c>
      <c r="K28" s="264">
        <f>IF(InpOverride!K28="",F_Inputs!K28,InpOverride!K28)</f>
        <v>0.46300000000000002</v>
      </c>
      <c r="L28" s="264">
        <f>IF(InpOverride!L28="",F_Inputs!L28,InpOverride!L28)</f>
        <v>0.47399999999999998</v>
      </c>
      <c r="M28" s="264">
        <f>IF(InpOverride!M28="",F_Inputs!M28,InpOverride!M28)</f>
        <v>0.53500000000000003</v>
      </c>
      <c r="N28" s="264">
        <f>IF(InpOverride!N28="",F_Inputs!N28,InpOverride!N28)</f>
        <v>0.55500000000000005</v>
      </c>
      <c r="O28" s="218"/>
      <c r="P28" s="218"/>
    </row>
    <row r="29" spans="1:16">
      <c r="A29" t="str">
        <f>F_Inputs!A29</f>
        <v>SRN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0.47499999999999998</v>
      </c>
      <c r="K29" s="264">
        <f>IF(InpOverride!K29="",F_Inputs!K29,InpOverride!K29)</f>
        <v>0.44299999999999801</v>
      </c>
      <c r="L29" s="264">
        <f>IF(InpOverride!L29="",F_Inputs!L29,InpOverride!L29)</f>
        <v>0.434</v>
      </c>
      <c r="M29" s="264">
        <f>IF(InpOverride!M29="",F_Inputs!M29,InpOverride!M29)</f>
        <v>0.433</v>
      </c>
      <c r="N29" s="264">
        <f>IF(InpOverride!N29="",F_Inputs!N29,InpOverride!N29)</f>
        <v>0.52300000000000002</v>
      </c>
      <c r="O29" s="218"/>
      <c r="P29" s="218"/>
    </row>
    <row r="30" spans="1:16">
      <c r="A30" t="str">
        <f>F_Inputs!A30</f>
        <v>SRN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0.55000000000000004</v>
      </c>
      <c r="M30" s="264">
        <f>IF(InpOverride!M30="",F_Inputs!M30,InpOverride!M30)</f>
        <v>0.11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SRN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2</v>
      </c>
      <c r="L31" s="264">
        <f>IF(InpOverride!L31="",F_Inputs!L31,InpOverride!L31)</f>
        <v>3.3089999999999975</v>
      </c>
      <c r="M31" s="264">
        <f>IF(InpOverride!M31="",F_Inputs!M31,InpOverride!M31)</f>
        <v>15.225</v>
      </c>
      <c r="N31" s="264">
        <f>IF(InpOverride!N31="",F_Inputs!N31,InpOverride!N31)</f>
        <v>12.769</v>
      </c>
      <c r="O31" s="217"/>
      <c r="P31" s="217"/>
    </row>
    <row r="32" spans="1:16">
      <c r="A32" t="str">
        <f>F_Inputs!A32</f>
        <v>SRN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SRN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SRN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SRN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SRN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SRN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SRN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SRN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SRN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SRN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SRN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SRN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SRN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SRN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-3.726651967232435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-3.1151136752661372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-6.8417656424985722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32.492423625987499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-56.620578085237547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-24.128154459250048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[…]09/11/2020 17:53:45</v>
      </c>
      <c r="G10" s="259" t="str">
        <f ca="1">CONCATENATE("[…]", TEXT(NOW(),"dd/mm/yyy hh:mm:ss"))</f>
        <v>[…]09/11/2020 17:53:45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menu_SRN_BYRun2</v>
      </c>
      <c r="G11" s="262" t="str">
        <f ca="1">MID(CELL("filename",F1),SEARCH("[",CELL("filename",F1))+1,SEARCH(".",CELL("filename",F1))-1-SEARCH("[",CELL("filename",F1)))</f>
        <v>Totex menu_SRN_BYRun2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2" customWidth="1"/>
    <col min="3" max="4" width="50.7109375" style="279" customWidth="1"/>
    <col min="5" max="5" width="15.85546875" style="279" customWidth="1"/>
    <col min="6" max="6" width="14.7109375" style="279" customWidth="1"/>
    <col min="7" max="7" width="0" style="272" hidden="1" customWidth="1"/>
    <col min="8" max="16383" width="9.140625" style="272" hidden="1"/>
    <col min="16384" max="16384" width="9" style="272" hidden="1" customWidth="1"/>
  </cols>
  <sheetData>
    <row r="1" spans="1:6" s="1" customFormat="1" ht="33.75">
      <c r="A1" s="1" t="s">
        <v>474</v>
      </c>
    </row>
    <row r="2" spans="1:6">
      <c r="A2" s="270"/>
      <c r="B2" s="270"/>
      <c r="C2" s="271"/>
      <c r="D2" s="271"/>
      <c r="E2" s="271"/>
      <c r="F2" s="271"/>
    </row>
    <row r="3" spans="1:6" ht="15.75">
      <c r="A3" s="270"/>
      <c r="B3" s="273" t="s">
        <v>475</v>
      </c>
      <c r="C3" s="273" t="s">
        <v>476</v>
      </c>
      <c r="D3" s="273" t="s">
        <v>477</v>
      </c>
      <c r="E3" s="273" t="s">
        <v>478</v>
      </c>
      <c r="F3" s="273" t="s">
        <v>479</v>
      </c>
    </row>
    <row r="4" spans="1:6">
      <c r="A4" s="270"/>
      <c r="B4" s="270"/>
      <c r="C4" s="271"/>
      <c r="D4" s="271"/>
      <c r="E4" s="271"/>
      <c r="F4" s="271"/>
    </row>
    <row r="5" spans="1:6" s="278" customFormat="1">
      <c r="A5" s="274"/>
      <c r="B5" s="275"/>
      <c r="C5" s="276"/>
      <c r="D5" s="276"/>
      <c r="E5" s="276"/>
      <c r="F5" s="277"/>
    </row>
    <row r="6" spans="1:6">
      <c r="A6" s="270"/>
      <c r="B6" s="270"/>
      <c r="C6" s="271"/>
      <c r="D6" s="271"/>
      <c r="E6" s="271"/>
      <c r="F6" s="271"/>
    </row>
    <row r="7" spans="1:6">
      <c r="A7" s="270"/>
      <c r="B7" s="270"/>
      <c r="C7" s="271"/>
      <c r="D7" s="271"/>
      <c r="E7" s="271"/>
      <c r="F7" s="271"/>
    </row>
    <row r="8" spans="1:6">
      <c r="A8" s="270"/>
      <c r="B8" s="270"/>
      <c r="C8" s="271"/>
      <c r="D8" s="271"/>
      <c r="E8" s="271"/>
      <c r="F8" s="271"/>
    </row>
    <row r="9" spans="1:6">
      <c r="A9" s="270"/>
      <c r="B9" s="270"/>
      <c r="C9" s="271"/>
      <c r="D9" s="271"/>
      <c r="E9" s="271"/>
      <c r="F9" s="271"/>
    </row>
    <row r="10" spans="1:6">
      <c r="A10" s="270"/>
      <c r="B10" s="270"/>
      <c r="C10" s="271"/>
      <c r="D10" s="271"/>
      <c r="E10" s="271"/>
      <c r="F10" s="271"/>
    </row>
    <row r="11" spans="1:6">
      <c r="A11" s="270"/>
      <c r="B11" s="270"/>
      <c r="C11" s="271"/>
      <c r="D11" s="271"/>
      <c r="E11" s="271"/>
      <c r="F11" s="271"/>
    </row>
    <row r="12" spans="1:6">
      <c r="A12" s="270"/>
      <c r="B12" s="270"/>
      <c r="C12" s="271"/>
      <c r="D12" s="271"/>
      <c r="E12" s="271"/>
      <c r="F12" s="271"/>
    </row>
    <row r="13" spans="1:6">
      <c r="A13" s="270"/>
      <c r="B13" s="270"/>
      <c r="C13" s="271"/>
      <c r="D13" s="271"/>
      <c r="E13" s="271"/>
      <c r="F13" s="271"/>
    </row>
    <row r="14" spans="1:6">
      <c r="A14" s="270"/>
      <c r="B14" s="270"/>
      <c r="C14" s="271"/>
      <c r="D14" s="271"/>
      <c r="E14" s="271"/>
      <c r="F14" s="271"/>
    </row>
    <row r="15" spans="1:6">
      <c r="A15" s="270"/>
      <c r="B15" s="270"/>
      <c r="C15" s="271"/>
      <c r="D15" s="271"/>
      <c r="E15" s="271"/>
      <c r="F15" s="271"/>
    </row>
    <row r="16" spans="1:6">
      <c r="A16" s="270"/>
      <c r="B16" s="270"/>
      <c r="C16" s="271"/>
      <c r="D16" s="271"/>
      <c r="E16" s="271"/>
      <c r="F16" s="271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3" style="30" customWidth="1"/>
    <col min="4" max="4" width="10" style="30" customWidth="1"/>
    <col min="5" max="5" width="45" style="39" customWidth="1"/>
    <col min="6" max="6" width="6" style="30" customWidth="1"/>
    <col min="7" max="7" width="10" style="30" customWidth="1"/>
    <col min="8" max="8" width="12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" style="30" customWidth="1"/>
    <col min="26" max="27" width="13" style="30" customWidth="1"/>
    <col min="28" max="16384" width="9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SRN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44" t="s">
        <v>10</v>
      </c>
      <c r="K12" s="24" t="b">
        <f>CompanyType="WoC"</f>
        <v>0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106.253638469002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102.026894758127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2.5370338146609299</v>
      </c>
      <c r="M26" s="35">
        <f>InpActive!K5</f>
        <v>2.5370338146609299</v>
      </c>
      <c r="N26" s="35">
        <f>InpActive!L5</f>
        <v>2.5370338146609299</v>
      </c>
      <c r="O26" s="35">
        <f>InpActive!M5</f>
        <v>2.5370338146609299</v>
      </c>
      <c r="P26" s="35">
        <f>InpActive!N5</f>
        <v>2.5369999999999999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5.53597397784623</v>
      </c>
      <c r="M27" s="35">
        <f>InpActive!K6</f>
        <v>5.53597397784623</v>
      </c>
      <c r="N27" s="35">
        <f>InpActive!L6</f>
        <v>5.53597397784623</v>
      </c>
      <c r="O27" s="35">
        <f>InpActive!M6</f>
        <v>5.53597397784623</v>
      </c>
      <c r="P27" s="35">
        <f>InpActive!N6</f>
        <v>5.5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106.253638469002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100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150.55223406202799</v>
      </c>
      <c r="M40" s="35">
        <f>InpActive!K14</f>
        <v>163.07311875423699</v>
      </c>
      <c r="N40" s="35">
        <f>InpActive!L14</f>
        <v>161.24456217346301</v>
      </c>
      <c r="O40" s="35">
        <f>InpActive!M14</f>
        <v>146.393157598991</v>
      </c>
      <c r="P40" s="35">
        <f>InpActive!N14</f>
        <v>122.2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365.42476210728699</v>
      </c>
      <c r="M41" s="35">
        <f>InpActive!K15</f>
        <v>400.89511908108199</v>
      </c>
      <c r="N41" s="35">
        <f>InpActive!L15</f>
        <v>392.67413944239797</v>
      </c>
      <c r="O41" s="35">
        <f>InpActive!M15</f>
        <v>367.66430017533702</v>
      </c>
      <c r="P41" s="35">
        <f>InpActive!N15</f>
        <v>335.2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155.576080359282</v>
      </c>
      <c r="M46" s="35">
        <f>InpActive!K12</f>
        <v>168.19891107619699</v>
      </c>
      <c r="N46" s="35">
        <f>InpActive!L12</f>
        <v>166.313253513896</v>
      </c>
      <c r="O46" s="35">
        <f>InpActive!M12</f>
        <v>151.20293061123101</v>
      </c>
      <c r="P46" s="35">
        <f>InpActive!N12</f>
        <v>126.6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367.47961058352502</v>
      </c>
      <c r="M47" s="35">
        <f>InpActive!K13</f>
        <v>402.926549619642</v>
      </c>
      <c r="N47" s="35">
        <f>InpActive!L13</f>
        <v>394.66391232961797</v>
      </c>
      <c r="O47" s="35">
        <f>InpActive!M13</f>
        <v>369.52734228227598</v>
      </c>
      <c r="P47" s="35">
        <f>InpActive!N13</f>
        <v>336.9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128.613</v>
      </c>
      <c r="M52" s="35">
        <f>InpActive!K16</f>
        <v>161.28100000000001</v>
      </c>
      <c r="N52" s="35">
        <f>InpActive!L16</f>
        <v>227.072</v>
      </c>
      <c r="O52" s="35">
        <f>InpActive!M16</f>
        <v>223.24299999999999</v>
      </c>
      <c r="P52" s="35">
        <f>InpActive!N16</f>
        <v>233.505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325.06099999999901</v>
      </c>
      <c r="M53" s="35">
        <f>InpActive!K17</f>
        <v>354.71899999999897</v>
      </c>
      <c r="N53" s="35">
        <f>InpActive!L17</f>
        <v>401.04300000000001</v>
      </c>
      <c r="O53" s="35">
        <f>InpActive!M17</f>
        <v>468.33</v>
      </c>
      <c r="P53" s="35">
        <f>InpActive!N17</f>
        <v>536.01300000000003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2.165</v>
      </c>
      <c r="M60" s="35">
        <f>InpActive!K18</f>
        <v>2.2050000000000001</v>
      </c>
      <c r="N60" s="35">
        <f>InpActive!L18</f>
        <v>3.125</v>
      </c>
      <c r="O60" s="35">
        <f>InpActive!M18</f>
        <v>3.0659999999999998</v>
      </c>
      <c r="P60" s="35">
        <f>InpActive!N18</f>
        <v>3.2709999999999999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1.1000000000000001</v>
      </c>
      <c r="M61" s="35">
        <f>InpActive!K19</f>
        <v>2.5999999999999996</v>
      </c>
      <c r="N61" s="35">
        <f>InpActive!L19</f>
        <v>1.3859999999999999</v>
      </c>
      <c r="O61" s="35">
        <f>InpActive!M19</f>
        <v>1.615</v>
      </c>
      <c r="P61" s="35">
        <f>InpActive!N19</f>
        <v>1.02296345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8.8759999999999994</v>
      </c>
      <c r="M62" s="35">
        <f>InpActive!K20</f>
        <v>0</v>
      </c>
      <c r="N62" s="35">
        <f>InpActive!L20</f>
        <v>0.53700000000000003</v>
      </c>
      <c r="O62" s="35">
        <f>InpActive!M20</f>
        <v>4.8440000000000003</v>
      </c>
      <c r="P62" s="35">
        <f>InpActive!N20</f>
        <v>5.0060000000000002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0.55000000000000004</v>
      </c>
      <c r="O64" s="221">
        <f>InpActive!M30</f>
        <v>0.11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0.1</v>
      </c>
      <c r="O67" s="35">
        <f>InpActive!M23</f>
        <v>1.5489999999999999</v>
      </c>
      <c r="P67" s="35">
        <f>InpActive!N23</f>
        <v>6.68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19.37</v>
      </c>
      <c r="M68" s="35">
        <f>InpActive!K24</f>
        <v>0</v>
      </c>
      <c r="N68" s="35">
        <f>InpActive!L24</f>
        <v>1.1719999999999999</v>
      </c>
      <c r="O68" s="35">
        <f>InpActive!M24</f>
        <v>10.57</v>
      </c>
      <c r="P68" s="35">
        <f>InpActive!N24</f>
        <v>10.923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2</v>
      </c>
      <c r="N70" s="221">
        <f>InpActive!L31</f>
        <v>3.3089999999999975</v>
      </c>
      <c r="O70" s="221">
        <f>InpActive!M31</f>
        <v>15.225</v>
      </c>
      <c r="P70" s="221">
        <f>InpActive!N31</f>
        <v>12.769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1.498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14.255000000000001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0.53200000000000003</v>
      </c>
      <c r="M125" s="173">
        <f>InpActive!K28</f>
        <v>0.46300000000000002</v>
      </c>
      <c r="N125" s="173">
        <f>InpActive!L28</f>
        <v>0.47399999999999998</v>
      </c>
      <c r="O125" s="173">
        <f>InpActive!M28</f>
        <v>0.53500000000000003</v>
      </c>
      <c r="P125" s="173">
        <f>InpActive!N28</f>
        <v>0.55500000000000005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0.47499999999999998</v>
      </c>
      <c r="M126" s="173">
        <f>InpActive!K29</f>
        <v>0.44299999999999801</v>
      </c>
      <c r="N126" s="173">
        <f>InpActive!L29</f>
        <v>0.434</v>
      </c>
      <c r="O126" s="173">
        <f>InpActive!M29</f>
        <v>0.433</v>
      </c>
      <c r="P126" s="173">
        <f>InpActive!N29</f>
        <v>0.52300000000000002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0.48749272306199598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1.015634096172505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5703125" style="3" customWidth="1"/>
    <col min="4" max="4" width="9.28515625" style="3" bestFit="1" customWidth="1"/>
    <col min="5" max="5" width="49.7109375" style="87" customWidth="1"/>
    <col min="6" max="6" width="20.28515625" style="87" customWidth="1"/>
    <col min="7" max="7" width="14.5703125" style="87" customWidth="1"/>
    <col min="8" max="8" width="14.28515625" style="3" customWidth="1"/>
    <col min="9" max="9" width="11.28515625" style="3" customWidth="1"/>
    <col min="10" max="10" width="11.5703125" style="3" customWidth="1"/>
    <col min="11" max="17" width="11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" style="3" bestFit="1" customWidth="1"/>
    <col min="24" max="24" width="3.5703125" style="70" customWidth="1"/>
    <col min="25" max="25" width="13.5703125" style="3" customWidth="1"/>
    <col min="26" max="38" width="9" style="3" customWidth="1"/>
    <col min="39" max="39" width="10" style="3" customWidth="1"/>
    <col min="40" max="16384" width="9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121.2966174033149</v>
      </c>
      <c r="M14" s="50">
        <f>Actual.Totex.Water/Indexation.Average</f>
        <v>148.91573448850588</v>
      </c>
      <c r="N14" s="50">
        <f>Actual.Totex.Water/Indexation.Average</f>
        <v>202.09951777865345</v>
      </c>
      <c r="O14" s="50">
        <f>Actual.Totex.Water/Indexation.Average</f>
        <v>192.80047424772772</v>
      </c>
      <c r="P14" s="50">
        <f>Actual.Totex.Water/Indexation.Average</f>
        <v>196.57482882702067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306.56931841834671</v>
      </c>
      <c r="M15" s="50">
        <f>Actual.Totex.Sewerage/Indexation.Average</f>
        <v>327.52302144721426</v>
      </c>
      <c r="N15" s="50">
        <f>Actual.Totex.Sewerage/Indexation.Average</f>
        <v>356.9378739276728</v>
      </c>
      <c r="O15" s="50">
        <f>Actual.Totex.Sewerage/Indexation.Average</f>
        <v>404.46619201694261</v>
      </c>
      <c r="P15" s="50">
        <f>Actual.Totex.Sewerage/Indexation.Average</f>
        <v>451.23943266335982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11.450337305666194</v>
      </c>
      <c r="M18" s="50">
        <f>SUM(INDEX(Actual.Exclusions.Water,,M6))/Indexation.Average</f>
        <v>4.4366050819208134</v>
      </c>
      <c r="N18" s="50">
        <f>SUM(INDEX(Actual.Exclusions.Water,,N6))/Indexation.Average</f>
        <v>4.982354057413076</v>
      </c>
      <c r="O18" s="50">
        <f>SUM(INDEX(Actual.Exclusions.Water,,O6))/Indexation.Average</f>
        <v>8.3211234814836583</v>
      </c>
      <c r="P18" s="50">
        <f>SUM(INDEX(Actual.Exclusions.Water,,P6))/Indexation.Average</f>
        <v>7.8291202470238268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18.268102595400229</v>
      </c>
      <c r="M19" s="212">
        <f>SUM(Inputs!M66:M72)/Indexation.Average</f>
        <v>1.8466618447120973</v>
      </c>
      <c r="N19" s="212">
        <f>SUM(Inputs!N66:N72)/Indexation.Average</f>
        <v>4.0771997029312779</v>
      </c>
      <c r="O19" s="212">
        <f>SUM(Inputs!O66:O72)/Indexation.Average</f>
        <v>23.615236167897166</v>
      </c>
      <c r="P19" s="212">
        <f>SUM(Inputs!P66:P72)/Indexation.Average</f>
        <v>25.568491900106089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1.498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14.255000000000001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111.34428009764871</v>
      </c>
      <c r="M30" s="212">
        <f t="shared" ref="M30:P30" si="2">M14-M18+M22</f>
        <v>144.47912940658506</v>
      </c>
      <c r="N30" s="212">
        <f t="shared" si="2"/>
        <v>197.11716372124039</v>
      </c>
      <c r="O30" s="212">
        <f t="shared" si="2"/>
        <v>184.47935076624407</v>
      </c>
      <c r="P30" s="212">
        <f t="shared" si="2"/>
        <v>188.74570857999683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302.55621582294646</v>
      </c>
      <c r="M31" s="212">
        <f t="shared" ref="M31:P31" si="3">M15-M19+M23</f>
        <v>325.67635960250215</v>
      </c>
      <c r="N31" s="212">
        <f t="shared" si="3"/>
        <v>352.8606742247415</v>
      </c>
      <c r="O31" s="212">
        <f t="shared" si="3"/>
        <v>380.85095584904548</v>
      </c>
      <c r="P31" s="212">
        <f t="shared" si="3"/>
        <v>425.67094076325372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413.90049592059518</v>
      </c>
      <c r="M32" s="77">
        <f>SUM(M30:M31)</f>
        <v>470.1554890090872</v>
      </c>
      <c r="N32" s="77">
        <f t="shared" ref="N32:P32" si="4">SUM(N30:N31)</f>
        <v>549.97783794598195</v>
      </c>
      <c r="O32" s="77">
        <f t="shared" si="4"/>
        <v>565.3303066152896</v>
      </c>
      <c r="P32" s="77">
        <f t="shared" si="4"/>
        <v>614.41664934325058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0.48749272306199598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101.5634096172505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-0.80125880567574015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0.49594621048374599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100.50672368953175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-0.25541599594613551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0.48749272306199598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101.5634096172505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-0.80125880567574015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0.49999999999999994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100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0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1.1112396338597261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111.12396338597262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-5.4619591963707128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-5.461959196370713E-2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0.96012415460727929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96.012415460727922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1.9937922696360386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1.9937922696360386E-2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-40.607649664879808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37.121587271807456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-1.2063130325635505</v>
      </c>
      <c r="M97" s="147">
        <f>FD.AddInc.Coeff.Water/100*Baseline.Totex.Water</f>
        <v>-1.3066377237083808</v>
      </c>
      <c r="N97" s="147">
        <f>FD.AddInc.Coeff.Water/100*Baseline.Totex.Water</f>
        <v>-1.2919862530881661</v>
      </c>
      <c r="O97" s="147">
        <f>FD.AddInc.Coeff.Water/100*Baseline.Totex.Water</f>
        <v>-1.1729880661686793</v>
      </c>
      <c r="P97" s="147">
        <f>FD.AddInc.Coeff.Water/100*Baseline.Totex.Water</f>
        <v>-0.97913826053575459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-0.93335329557012359</v>
      </c>
      <c r="M98" s="147">
        <f>FD.AddInc.Coeff.Sewerage/100*Baseline.Totex.Sewerage</f>
        <v>-1.0239502611003917</v>
      </c>
      <c r="N98" s="147">
        <f>FD.AddInc.Coeff.Sewerage/100*Baseline.Totex.Sewerage</f>
        <v>-1.0029525640797177</v>
      </c>
      <c r="O98" s="147">
        <f>FD.AddInc.Coeff.Sewerage/100*Baseline.Totex.Sewerage</f>
        <v>-0.93907343403122634</v>
      </c>
      <c r="P98" s="147">
        <f>FD.AddInc.Coeff.Sewerage/100*Baseline.Totex.Sewerage</f>
        <v>-0.85615441841144624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-34.65058632881528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41.877071245000366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-7.0167885611289487</v>
      </c>
      <c r="M105" s="147">
        <f>IF(SUM(Baseline.Totex.Water)=0,0,$G101*(Baseline.Totex.Water/SUM(Baseline.Totex.Water)))</f>
        <v>-7.6003494828972009</v>
      </c>
      <c r="N105" s="147">
        <f>IF(SUM(Baseline.Totex.Water)=0,0,$G101*(Baseline.Totex.Water/SUM(Baseline.Totex.Water)))</f>
        <v>-7.5151259391929894</v>
      </c>
      <c r="O105" s="147">
        <f>IF(SUM(Baseline.Totex.Water)=0,0,$G101*(Baseline.Totex.Water/SUM(Baseline.Totex.Water)))</f>
        <v>-6.8229464681668812</v>
      </c>
      <c r="P105" s="147">
        <f>IF(SUM(Baseline.Totex.Water)=0,0,$G101*(Baseline.Totex.Water/SUM(Baseline.Totex.Water)))</f>
        <v>-5.6953758774292575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8.2191639538010968</v>
      </c>
      <c r="M106" s="147">
        <f>IF(SUM(Baseline.Totex.Sewerage)=0,0,$G102*(Baseline.Totex.Sewerage/SUM(Baseline.Totex.Sewerage)))</f>
        <v>9.0169661546871964</v>
      </c>
      <c r="N106" s="147">
        <f>IF(SUM(Baseline.Totex.Sewerage)=0,0,$G102*(Baseline.Totex.Sewerage/SUM(Baseline.Totex.Sewerage)))</f>
        <v>8.8320592011420889</v>
      </c>
      <c r="O106" s="147">
        <f>IF(SUM(Baseline.Totex.Sewerage)=0,0,$G102*(Baseline.Totex.Sewerage/SUM(Baseline.Totex.Sewerage)))</f>
        <v>8.269535829138535</v>
      </c>
      <c r="P106" s="147">
        <f>IF(SUM(Baseline.Totex.Sewerage)=0,0,$G102*(Baseline.Totex.Sewerage/SUM(Baseline.Totex.Sewerage)))</f>
        <v>7.5393461062314469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-8.083089948441625</v>
      </c>
      <c r="M109" s="147">
        <f>M105*(1+WACC)^Calcs!M7</f>
        <v>-8.4510919877450768</v>
      </c>
      <c r="N109" s="147">
        <f>N105*(1+WACC)^Calcs!N7</f>
        <v>-8.0659546100320796</v>
      </c>
      <c r="O109" s="147">
        <f>O105*(1+WACC)^Calcs!O7</f>
        <v>-7.0685725410208891</v>
      </c>
      <c r="P109" s="147">
        <f>P105*(1+WACC)^Calcs!P7</f>
        <v>-5.6953758774292575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9.4681834803462106</v>
      </c>
      <c r="M110" s="147">
        <f>M106*(1+WACC)^Calcs!M7</f>
        <v>10.026277159375752</v>
      </c>
      <c r="N110" s="147">
        <f>N106*(1+WACC)^Calcs!N7</f>
        <v>9.4794138123489997</v>
      </c>
      <c r="O110" s="147">
        <f>O106*(1+WACC)^Calcs!O7</f>
        <v>8.5672391189875228</v>
      </c>
      <c r="P110" s="147">
        <f>P106*(1+WACC)^Calcs!P7</f>
        <v>7.5393461062314469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-37.364084964668926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45.080459677289937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152.90598216833922</v>
      </c>
      <c r="M136" s="147">
        <f>Baseline.Totex.Water*(FD.AllExp.Coeff.Water/100)</f>
        <v>165.62261957599105</v>
      </c>
      <c r="N136" s="147">
        <f>Baseline.Totex.Water*(FD.AllExp.Coeff.Water/100)</f>
        <v>163.76547516577639</v>
      </c>
      <c r="O136" s="147">
        <f>Baseline.Totex.Water*(FD.AllExp.Coeff.Water/100)</f>
        <v>148.68188230389029</v>
      </c>
      <c r="P136" s="147">
        <f>Baseline.Totex.Water*(FD.AllExp.Coeff.Water/100)</f>
        <v>124.11048655228011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367.27645594429964</v>
      </c>
      <c r="M137" s="147">
        <f>Baseline.Totex.Sewerage*(FD.AllExp.Coeff.Sewerage/100)</f>
        <v>402.92654961964234</v>
      </c>
      <c r="N137" s="147">
        <f>Baseline.Totex.Sewerage*(FD.AllExp.Coeff.Sewerage/100)</f>
        <v>394.66391232961757</v>
      </c>
      <c r="O137" s="147">
        <f>Baseline.Totex.Sewerage*(FD.AllExp.Coeff.Sewerage/100)</f>
        <v>369.52734228227661</v>
      </c>
      <c r="P137" s="147">
        <f>Baseline.Totex.Sewerage*(FD.AllExp.Coeff.Sewerage/100)</f>
        <v>336.89853780731045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155.576080359282</v>
      </c>
      <c r="M140" s="147">
        <f>Inputs!M46</f>
        <v>168.19891107619699</v>
      </c>
      <c r="N140" s="147">
        <f>Inputs!N46</f>
        <v>166.313253513896</v>
      </c>
      <c r="O140" s="147">
        <f>Inputs!O46</f>
        <v>151.20293061123101</v>
      </c>
      <c r="P140" s="147">
        <f>Inputs!P46</f>
        <v>126.6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367.47961058352502</v>
      </c>
      <c r="M141" s="147">
        <f>Inputs!M47</f>
        <v>402.926549619642</v>
      </c>
      <c r="N141" s="147">
        <f>Inputs!N47</f>
        <v>394.66391232961797</v>
      </c>
      <c r="O141" s="147">
        <f>Inputs!O47</f>
        <v>369.52734228227598</v>
      </c>
      <c r="P141" s="147">
        <f>Inputs!P47</f>
        <v>336.9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2.670098190942781</v>
      </c>
      <c r="M144" s="147">
        <f t="shared" ref="M144:P144" si="5">M140-M136</f>
        <v>2.5762915002059401</v>
      </c>
      <c r="N144" s="147">
        <f t="shared" si="5"/>
        <v>2.547778348119607</v>
      </c>
      <c r="O144" s="147">
        <f t="shared" si="5"/>
        <v>2.5210483073407204</v>
      </c>
      <c r="P144" s="147">
        <f t="shared" si="5"/>
        <v>2.4895134477198866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0.20315463922537447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-6.2527760746888816E-13</v>
      </c>
      <c r="P145" s="147">
        <f t="shared" si="6"/>
        <v>1.462192689530184E-3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152.90598216833922</v>
      </c>
      <c r="M148" s="147">
        <f>Baseline.Totex.Water*(AllExp.Coeff.Water/100)</f>
        <v>165.62261957599105</v>
      </c>
      <c r="N148" s="147">
        <f>Baseline.Totex.Water*(AllExp.Coeff.Water/100)</f>
        <v>163.76547516577639</v>
      </c>
      <c r="O148" s="147">
        <f>Baseline.Totex.Water*(AllExp.Coeff.Water/100)</f>
        <v>148.68188230389029</v>
      </c>
      <c r="P148" s="147">
        <f>Baseline.Totex.Water*(AllExp.Coeff.Water/100)</f>
        <v>124.11048655228011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365.42476210728699</v>
      </c>
      <c r="M149" s="147">
        <f>Baseline.Totex.Sewerage*(AllExp.Coeff.Sewerage/100)</f>
        <v>400.89511908108199</v>
      </c>
      <c r="N149" s="147">
        <f>Baseline.Totex.Sewerage*(AllExp.Coeff.Sewerage/100)</f>
        <v>392.67413944239797</v>
      </c>
      <c r="O149" s="147">
        <f>Baseline.Totex.Sewerage*(AllExp.Coeff.Sewerage/100)</f>
        <v>367.66430017533702</v>
      </c>
      <c r="P149" s="147">
        <f>Baseline.Totex.Sewerage*(AllExp.Coeff.Sewerage/100)</f>
        <v>335.2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155.576080359282</v>
      </c>
      <c r="M152" s="147">
        <f t="shared" ref="M152:P152" si="7">M148+M144</f>
        <v>168.19891107619699</v>
      </c>
      <c r="N152" s="147">
        <f t="shared" si="7"/>
        <v>166.313253513896</v>
      </c>
      <c r="O152" s="147">
        <f t="shared" si="7"/>
        <v>151.20293061123101</v>
      </c>
      <c r="P152" s="147">
        <f t="shared" si="7"/>
        <v>126.6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365.62791674651237</v>
      </c>
      <c r="M153" s="147">
        <f t="shared" ref="M153:P153" si="8">M149+M145</f>
        <v>400.89511908108199</v>
      </c>
      <c r="N153" s="147">
        <f t="shared" si="8"/>
        <v>392.67413944239797</v>
      </c>
      <c r="O153" s="147">
        <f t="shared" si="8"/>
        <v>367.66430017533639</v>
      </c>
      <c r="P153" s="147">
        <f t="shared" si="8"/>
        <v>335.20146219268952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-1.8516938370126468</v>
      </c>
      <c r="M157" s="147">
        <f t="shared" si="9"/>
        <v>-2.0314305385603575</v>
      </c>
      <c r="N157" s="147">
        <f t="shared" si="9"/>
        <v>-1.9897728872196012</v>
      </c>
      <c r="O157" s="147">
        <f t="shared" si="9"/>
        <v>-1.8630421069395879</v>
      </c>
      <c r="P157" s="147">
        <f t="shared" si="9"/>
        <v>-1.6985378073104584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-41.561702070690515</v>
      </c>
      <c r="M162" s="209">
        <f>(Actual.Totex.Water-SUM(Inputs!M60:M64))/Indexation.Average-M148</f>
        <v>-21.143490169405993</v>
      </c>
      <c r="N162" s="209">
        <f>(Actual.Totex.Water-SUM(Inputs!N60:N64))/Indexation.Average-N148</f>
        <v>33.351688555463966</v>
      </c>
      <c r="O162" s="209">
        <f>(Actual.Totex.Water-SUM(Inputs!O60:O64))/Indexation.Average-O148</f>
        <v>35.797468462353777</v>
      </c>
      <c r="P162" s="209">
        <f>(Actual.Totex.Water-SUM(Inputs!P60:P64))/Indexation.Average-P148</f>
        <v>64.635222027716722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-62.868546284340539</v>
      </c>
      <c r="M163" s="209">
        <f>(Actual.Totex.Sewerage-SUM(Inputs!M66:M72))/Indexation.Average-M149</f>
        <v>-75.218759478579784</v>
      </c>
      <c r="N163" s="209">
        <f>(Actual.Totex.Sewerage-SUM(Inputs!N66:N72))/Indexation.Average-N149</f>
        <v>-39.813465217656471</v>
      </c>
      <c r="O163" s="209">
        <f>(Actual.Totex.Sewerage-SUM(Inputs!O66:O72))/Indexation.Average-O149</f>
        <v>13.186655673708401</v>
      </c>
      <c r="P163" s="209">
        <f>(Actual.Totex.Sewerage-SUM(Inputs!P66:P72))/Indexation.Average-P149</f>
        <v>90.470940763253736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-41.561702070690515</v>
      </c>
      <c r="M166" s="147">
        <f t="shared" ref="L166:P167" si="10">M162+M156</f>
        <v>-21.143490169405993</v>
      </c>
      <c r="N166" s="147">
        <f t="shared" si="10"/>
        <v>33.351688555463966</v>
      </c>
      <c r="O166" s="147">
        <f t="shared" si="10"/>
        <v>35.797468462353777</v>
      </c>
      <c r="P166" s="147">
        <f t="shared" si="10"/>
        <v>64.635222027716722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-64.720240121353186</v>
      </c>
      <c r="M167" s="147">
        <f t="shared" si="10"/>
        <v>-77.250190017140142</v>
      </c>
      <c r="N167" s="147">
        <f t="shared" si="10"/>
        <v>-41.803238104876073</v>
      </c>
      <c r="O167" s="147">
        <f t="shared" si="10"/>
        <v>11.323613566768813</v>
      </c>
      <c r="P167" s="147">
        <f t="shared" si="10"/>
        <v>88.772402955943278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-47.877597182958667</v>
      </c>
      <c r="M170" s="147">
        <f>M166*(1+WACC)^Calcs!M7</f>
        <v>-23.510179468157837</v>
      </c>
      <c r="N170" s="147">
        <f>N166*(1+WACC)^Calcs!N7</f>
        <v>35.796233919825255</v>
      </c>
      <c r="O170" s="147">
        <f>O166*(1+WACC)^Calcs!O7</f>
        <v>37.086177326998516</v>
      </c>
      <c r="P170" s="147">
        <f>P166*(1+WACC)^Calcs!P7</f>
        <v>64.635222027716722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-74.555406341254937</v>
      </c>
      <c r="M171" s="147">
        <f>M167*(1+WACC)^Calcs!M7</f>
        <v>-85.897163462643363</v>
      </c>
      <c r="N171" s="147">
        <f>N167*(1+WACC)^Calcs!N7</f>
        <v>-44.867248245011069</v>
      </c>
      <c r="O171" s="147">
        <f>O167*(1+WACC)^Calcs!O7</f>
        <v>11.731263655172491</v>
      </c>
      <c r="P171" s="147">
        <f>P167*(1+WACC)^Calcs!P7</f>
        <v>88.772402955943278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66.12985662342399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-104.81615143779362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0.50865728000870503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0.45981056060009251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-3.726651967232435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-3.1151136752661372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32.492423625987499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-56.620578085237547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28515625" style="7" customWidth="1"/>
    <col min="6" max="6" width="17.85546875" style="7" customWidth="1"/>
    <col min="7" max="7" width="11.5703125" style="7" customWidth="1"/>
    <col min="8" max="8" width="4" style="7" customWidth="1"/>
    <col min="9" max="21" width="13" style="7" customWidth="1"/>
    <col min="22" max="22" width="15.85546875" style="7" bestFit="1" customWidth="1"/>
    <col min="23" max="24" width="9" style="7" customWidth="1"/>
    <col min="25" max="16384" width="9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L11"/>
      <c r="M11"/>
      <c r="N11" s="269"/>
      <c r="P11" s="84">
        <f>Calcs!P197</f>
        <v>-3.726651967232435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L12"/>
      <c r="M12"/>
      <c r="N12" s="269"/>
      <c r="P12" s="84">
        <f>Calcs!P198</f>
        <v>-3.1151136752661372</v>
      </c>
    </row>
    <row r="13" spans="1:22" s="3" customFormat="1" ht="15">
      <c r="E13" s="87"/>
      <c r="F13" s="33"/>
      <c r="L13"/>
      <c r="M13"/>
      <c r="N13"/>
      <c r="P13" s="147"/>
    </row>
    <row r="14" spans="1:22" s="3" customFormat="1" ht="12.75">
      <c r="A14" s="69"/>
      <c r="D14" s="30" t="s">
        <v>41</v>
      </c>
      <c r="E14" s="74" t="s">
        <v>316</v>
      </c>
      <c r="F14" s="33" t="s">
        <v>28</v>
      </c>
      <c r="M14" s="150"/>
      <c r="P14" s="150">
        <f>SUM(P11:P12)</f>
        <v>-6.8417656424985722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L18"/>
      <c r="M18"/>
      <c r="N18" s="269"/>
      <c r="P18" s="84">
        <f>Calcs!P202</f>
        <v>32.492423625987499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L19"/>
      <c r="M19"/>
      <c r="N19" s="269"/>
      <c r="P19" s="84">
        <f>Calcs!P203</f>
        <v>-56.620578085237547</v>
      </c>
    </row>
    <row r="20" spans="1:22" customFormat="1" ht="15">
      <c r="G20" s="7"/>
    </row>
    <row r="21" spans="1:22" s="3" customFormat="1" ht="12.75">
      <c r="A21" s="69"/>
      <c r="D21" s="30" t="s">
        <v>41</v>
      </c>
      <c r="E21" s="74" t="s">
        <v>318</v>
      </c>
      <c r="F21" s="33" t="s">
        <v>28</v>
      </c>
      <c r="M21" s="150"/>
      <c r="P21" s="150">
        <f>SUM(P18:P19)</f>
        <v>-24.128154459250048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2019-12-05T10:34:46Z</dcterms:created>
  <dcterms:modified xsi:type="dcterms:W3CDTF">2020-11-09T18:03:20Z</dcterms:modified>
  <cp:category/>
  <cp:contentStatus/>
</cp:coreProperties>
</file>