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T29" i="7"/>
  <c r="S41" i="7"/>
  <c r="S49" i="7" s="1"/>
  <c r="S51" i="7" s="1"/>
  <c r="R51" i="7"/>
  <c r="F9" i="15" l="1"/>
  <c r="U36" i="7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l="1"/>
</calcChain>
</file>

<file path=xl/sharedStrings.xml><?xml version="1.0" encoding="utf-8"?>
<sst xmlns="http://schemas.openxmlformats.org/spreadsheetml/2006/main" count="1344" uniqueCount="479">
  <si>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</si>
  <si>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</si>
  <si>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</si>
  <si>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</si>
  <si>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</si>
  <si>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</si>
  <si>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</si>
  <si>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</si>
  <si>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</si>
  <si>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</si>
  <si>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</si>
  <si>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</si>
  <si>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</si>
  <si>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</si>
  <si>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</si>
  <si>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</si>
  <si>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</si>
  <si>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</si>
  <si>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</si>
  <si>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</si>
  <si>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</si>
  <si>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</si>
  <si>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</si>
  <si>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</si>
  <si>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</si>
  <si>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</si>
  <si>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</si>
  <si>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</si>
  <si>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</si>
  <si>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</si>
  <si>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</si>
  <si>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</si>
  <si>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</si>
  <si>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</si>
  <si>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</si>
  <si>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</si>
  <si>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</si>
  <si>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</si>
  <si>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</si>
  <si>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</si>
  <si>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</si>
  <si>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</si>
  <si>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</si>
  <si>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</si>
  <si>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</si>
  <si>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</si>
  <si>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</si>
  <si>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</si>
  <si>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</si>
  <si>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</si>
  <si>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</si>
  <si>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</si>
  <si>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</si>
  <si>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</si>
  <si>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</si>
  <si>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</si>
  <si>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</si>
  <si>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</si>
  <si>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</si>
  <si>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</si>
  <si>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</si>
  <si>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</si>
  <si>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</si>
  <si>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</si>
  <si>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</si>
  <si>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</si>
  <si>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</si>
  <si>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</si>
  <si>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</si>
  <si>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</si>
  <si>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</si>
  <si>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</si>
  <si>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</si>
  <si>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</si>
  <si>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</si>
  <si>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</si>
  <si>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</si>
  <si>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</si>
  <si>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</si>
  <si>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</si>
  <si>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</si>
  <si>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</si>
  <si>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</si>
  <si>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</si>
  <si>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</si>
  <si>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</si>
  <si>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</si>
  <si>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</si>
  <si>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</si>
  <si>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</si>
  <si>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</si>
  <si>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</si>
  <si>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</si>
  <si>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</si>
  <si>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</si>
  <si>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</si>
  <si>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</si>
  <si>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</si>
  <si>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</si>
  <si>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</si>
  <si>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</si>
  <si>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</si>
  <si>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</si>
  <si>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</si>
  <si>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</si>
  <si>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</si>
  <si>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</si>
  <si>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</si>
  <si>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</si>
  <si>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</si>
  <si>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</si>
  <si>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</si>
  <si>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</si>
  <si>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</si>
  <si>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</si>
  <si>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</si>
  <si>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</si>
  <si>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</si>
  <si>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</si>
  <si>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</si>
  <si>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</si>
  <si>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</si>
  <si>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</si>
  <si>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</si>
  <si>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</si>
  <si>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</si>
  <si>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</si>
  <si>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</si>
  <si>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</si>
  <si>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</si>
  <si>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</si>
  <si>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</si>
  <si>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</si>
  <si>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</si>
  <si>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</si>
  <si>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</si>
  <si>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</si>
  <si>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</si>
  <si>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</si>
  <si>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</si>
  <si>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</si>
  <si>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</si>
  <si>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</si>
  <si>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</si>
  <si>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</si>
  <si>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</si>
  <si>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</si>
  <si>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</si>
  <si>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</si>
  <si>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</si>
  <si>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</si>
  <si>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</si>
  <si>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</si>
  <si>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</si>
  <si>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</si>
  <si>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</si>
  <si>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</si>
  <si>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</si>
  <si>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</si>
  <si>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</si>
  <si>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</si>
  <si>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</si>
  <si>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</si>
  <si>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</si>
  <si>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</si>
  <si>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</si>
  <si>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</si>
  <si>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</si>
  <si>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</si>
  <si>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</si>
  <si>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</si>
  <si>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</si>
  <si>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</si>
  <si>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</si>
  <si>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</si>
  <si>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</si>
  <si>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</si>
  <si>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</si>
  <si>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</si>
  <si>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</si>
  <si>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</si>
  <si>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</si>
  <si>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</si>
  <si>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</si>
  <si>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</si>
  <si>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</si>
  <si>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</si>
  <si>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</si>
  <si>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</si>
  <si>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</si>
  <si>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</si>
  <si>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</si>
  <si>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</si>
  <si>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</si>
  <si>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</si>
  <si>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</si>
  <si>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</si>
  <si>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</si>
  <si>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</si>
  <si>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</si>
  <si>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</si>
  <si>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</si>
  <si>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</si>
  <si>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</si>
  <si>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</si>
  <si>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</si>
  <si>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</si>
  <si>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</si>
  <si>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</si>
  <si>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</si>
  <si>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</si>
  <si>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</si>
  <si>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</si>
  <si>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</si>
  <si>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</si>
  <si>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</si>
  <si>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</si>
  <si>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</si>
  <si>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</si>
  <si>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</si>
  <si>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</si>
  <si>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</si>
  <si>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</si>
  <si>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</si>
  <si>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</si>
  <si>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</si>
  <si>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</si>
  <si>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</si>
  <si>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</si>
  <si>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</si>
  <si>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</si>
  <si>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</si>
  <si>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</si>
  <si>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</si>
  <si>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</si>
  <si>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</si>
  <si>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</si>
  <si>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</si>
  <si>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</si>
  <si>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</si>
  <si>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</si>
  <si>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</si>
  <si>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</si>
  <si>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</si>
  <si>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</si>
  <si>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</si>
  <si>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</si>
  <si>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</si>
  <si>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</si>
  <si>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</si>
  <si>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</si>
  <si>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</si>
  <si>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</si>
  <si>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</si>
  <si>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</si>
  <si>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</si>
  <si>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</si>
  <si>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</si>
  <si>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</si>
  <si>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</si>
  <si>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</si>
  <si>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</si>
  <si>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</si>
  <si>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</si>
  <si>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</si>
  <si>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</si>
  <si>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</si>
  <si>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</si>
  <si>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</si>
  <si>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</si>
  <si>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</si>
  <si>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</si>
  <si>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</si>
  <si>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</si>
  <si>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</si>
  <si>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</si>
  <si>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</si>
  <si>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</si>
  <si>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</si>
  <si>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</si>
  <si>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</si>
  <si>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</si>
  <si>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</si>
  <si>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</si>
  <si>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</si>
  <si>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</si>
  <si>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</si>
  <si>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</si>
  <si>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</si>
  <si>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</si>
  <si>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</si>
  <si>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</si>
  <si>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</si>
  <si>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</si>
  <si>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</si>
  <si>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</si>
  <si>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</si>
  <si>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</si>
  <si>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</si>
  <si>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</si>
  <si>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</si>
  <si>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</si>
  <si>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</si>
  <si>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</si>
  <si>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</si>
  <si>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</si>
  <si>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</si>
  <si>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</si>
  <si>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</si>
  <si>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</si>
  <si>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</si>
  <si>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</si>
  <si>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</si>
  <si>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</si>
  <si>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</si>
  <si>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</si>
  <si>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</si>
  <si>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</si>
  <si>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</si>
  <si>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</si>
  <si>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</si>
  <si>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</si>
  <si>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</si>
  <si>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</si>
  <si>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</si>
  <si>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</si>
  <si>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</si>
  <si>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</si>
  <si>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</si>
  <si>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</si>
  <si>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</si>
  <si>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</si>
  <si>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</si>
  <si>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</si>
  <si>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</si>
  <si>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</si>
  <si>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</si>
  <si>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</si>
  <si>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</si>
  <si>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</si>
  <si>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</si>
  <si>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</si>
  <si>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</si>
  <si>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</si>
  <si>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</si>
  <si>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</si>
  <si>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</si>
  <si>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</si>
  <si>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</si>
  <si>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</si>
  <si>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</si>
  <si>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</si>
  <si>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</si>
  <si>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</si>
  <si>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</si>
  <si>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</si>
  <si>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</si>
  <si>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</si>
  <si>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</si>
  <si>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</si>
  <si>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</si>
  <si>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</si>
  <si>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</si>
  <si>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</si>
  <si>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</si>
  <si>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</si>
  <si>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</si>
  <si>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</si>
  <si>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</si>
  <si>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</si>
  <si>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</si>
  <si>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</si>
  <si>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</si>
  <si>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</si>
  <si>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</si>
  <si>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</si>
  <si>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</si>
  <si>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</si>
  <si>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</si>
  <si>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</si>
  <si>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</si>
  <si>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</si>
  <si>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</si>
  <si>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</si>
  <si>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</si>
  <si>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</si>
  <si>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</si>
  <si>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</si>
  <si>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</si>
  <si>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</si>
  <si>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</si>
  <si>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</si>
  <si>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</si>
  <si>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</si>
  <si>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</si>
  <si>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</si>
  <si>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</si>
  <si>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</si>
  <si>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</si>
  <si>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</si>
  <si>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</si>
  <si>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</si>
  <si>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</si>
  <si>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</si>
  <si>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</si>
  <si>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</si>
  <si>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</si>
  <si>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</si>
  <si>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</si>
  <si>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</si>
  <si>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</si>
  <si>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</si>
  <si>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</si>
  <si>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</si>
  <si>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</si>
  <si>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</si>
  <si>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</si>
  <si>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</si>
  <si>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</si>
  <si>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</si>
  <si>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</si>
  <si>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</si>
  <si>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</si>
  <si>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</si>
  <si>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</si>
  <si>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</si>
  <si>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</si>
  <si>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</si>
  <si>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</si>
  <si>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</si>
  <si>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</si>
  <si>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</si>
  <si>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</si>
  <si>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</si>
  <si>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</si>
  <si>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</si>
  <si>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</si>
  <si>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</si>
  <si>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</si>
  <si>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</si>
  <si>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</si>
  <si>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</si>
  <si>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</si>
  <si>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</si>
  <si>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</si>
  <si>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</si>
  <si>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</si>
  <si>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</si>
  <si>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</si>
  <si>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</si>
  <si>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</si>
  <si>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</si>
  <si>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</si>
  <si>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</si>
  <si>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</si>
  <si>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</si>
  <si>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</si>
  <si>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</si>
  <si>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</si>
  <si>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</si>
  <si>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</si>
  <si>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</si>
  <si>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</si>
  <si>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</si>
  <si>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</si>
  <si>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</si>
  <si>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</si>
  <si>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</si>
  <si>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</si>
  <si>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TMS</t>
  </si>
  <si>
    <t>Change log</t>
  </si>
  <si>
    <t>#</t>
  </si>
  <si>
    <t>Issue</t>
  </si>
  <si>
    <t>Change</t>
  </si>
  <si>
    <t>Sheet</t>
  </si>
  <si>
    <t>Row</t>
  </si>
  <si>
    <t>PR19_PD006_RunBY</t>
  </si>
  <si>
    <t>TMS.PD.D006.01</t>
  </si>
  <si>
    <t>TMS.PD.C006.02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</si>
</sst>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1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  <xf numFmtId="165" fontId="4" fillId="0" borderId="0" xfId="1" applyNumberFormat="1"/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4.14062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9.0660000000000007</v>
      </c>
      <c r="K5" s="217">
        <v>9.0660000000000007</v>
      </c>
      <c r="L5" s="217">
        <v>9.0660000000000007</v>
      </c>
      <c r="M5" s="217">
        <v>9.0660000000000007</v>
      </c>
      <c r="N5" s="217">
        <v>9.0660000000000007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8.3350050677115295</v>
      </c>
      <c r="K6" s="217">
        <v>8.3350050677115295</v>
      </c>
      <c r="L6" s="217">
        <v>8.3350050677115295</v>
      </c>
      <c r="M6" s="217">
        <v>8.3350050677115295</v>
      </c>
      <c r="N6" s="217">
        <v>8.3350050677115295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95.273326114134406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98.042771203666902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95.273326114134406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98.042771203666902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630.06320028155005</v>
      </c>
      <c r="K12" s="217">
        <v>670.26762065443995</v>
      </c>
      <c r="L12" s="217">
        <v>689.77199485173196</v>
      </c>
      <c r="M12" s="217">
        <v>679.00480083081402</v>
      </c>
      <c r="N12" s="217">
        <v>657.01025522329905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852.42637277371296</v>
      </c>
      <c r="K13" s="217">
        <v>792.31251507991999</v>
      </c>
      <c r="L13" s="217">
        <v>796.456278770371</v>
      </c>
      <c r="M13" s="217">
        <v>707.21341810248202</v>
      </c>
      <c r="N13" s="217">
        <v>615.229635599429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635.26254276253098</v>
      </c>
      <c r="K14" s="217">
        <v>676.42467240849396</v>
      </c>
      <c r="L14" s="217">
        <v>696.16227968803003</v>
      </c>
      <c r="M14" s="217">
        <v>685.26633168489195</v>
      </c>
      <c r="N14" s="217">
        <v>663.008775554061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852.11963334994698</v>
      </c>
      <c r="K15" s="217">
        <v>792.19267520454105</v>
      </c>
      <c r="L15" s="217">
        <v>796.35681432750403</v>
      </c>
      <c r="M15" s="217">
        <v>706.67513474515795</v>
      </c>
      <c r="N15" s="217">
        <v>614.23905585353805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718.46534824732203</v>
      </c>
      <c r="K16" s="217">
        <v>827.23924438495499</v>
      </c>
      <c r="L16" s="217">
        <v>895.28234591927401</v>
      </c>
      <c r="M16" s="217">
        <v>988.40111559479703</v>
      </c>
      <c r="N16" s="217">
        <v>1051.809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917.00652030996605</v>
      </c>
      <c r="K17" s="217">
        <v>909.55609871451804</v>
      </c>
      <c r="L17" s="217">
        <v>888.26573775899305</v>
      </c>
      <c r="M17" s="217">
        <v>856.07331002781598</v>
      </c>
      <c r="N17" s="217">
        <v>811.399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6.2964806060779503</v>
      </c>
      <c r="K18" s="217">
        <v>7.0929616855692696</v>
      </c>
      <c r="L18" s="217">
        <v>6.056</v>
      </c>
      <c r="M18" s="217">
        <v>6.1150000000000002</v>
      </c>
      <c r="N18" s="217">
        <v>6.9059999999999997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2.8752699999999999E-2</v>
      </c>
      <c r="K19" s="217">
        <v>0</v>
      </c>
      <c r="L19" s="217">
        <v>3.6996290000000001E-2</v>
      </c>
      <c r="M19" s="217">
        <v>0.43447605</v>
      </c>
      <c r="N19" s="217">
        <v>0.66700000000000004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</v>
      </c>
      <c r="K20" s="217">
        <v>19.443000000000001</v>
      </c>
      <c r="L20" s="217">
        <v>10.3503184713376</v>
      </c>
      <c r="M20" s="217">
        <v>0</v>
      </c>
      <c r="N20" s="217">
        <v>11.816000000000001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3.5668453497428101</v>
      </c>
      <c r="K22" s="217">
        <v>3.7381288902710001</v>
      </c>
      <c r="L22" s="217">
        <v>4.0970000000000004</v>
      </c>
      <c r="M22" s="217">
        <v>3.141</v>
      </c>
      <c r="N22" s="217">
        <v>2.383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0.30435075</v>
      </c>
      <c r="K23" s="217">
        <v>0.74199999999999999</v>
      </c>
      <c r="L23" s="217">
        <v>3.9925509999999997E-2</v>
      </c>
      <c r="M23" s="217">
        <v>0.22931056999999999</v>
      </c>
      <c r="N23" s="217">
        <v>-4.0000000000000001E-3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17.734000000000002</v>
      </c>
      <c r="L24" s="217">
        <v>9.4404003639672496</v>
      </c>
      <c r="M24" s="217">
        <v>0</v>
      </c>
      <c r="N24" s="217">
        <v>10.776999999999999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24.652999999999999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51.491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0.54635420544169799</v>
      </c>
      <c r="K28" s="218">
        <v>0.54977193968604399</v>
      </c>
      <c r="L28" s="218">
        <v>0.58411064767746501</v>
      </c>
      <c r="M28" s="218">
        <v>0.59915388714582096</v>
      </c>
      <c r="N28" s="218">
        <v>0.61664002541062002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0.463055504564853</v>
      </c>
      <c r="K29" s="218">
        <v>0.49871575003677399</v>
      </c>
      <c r="L29" s="218">
        <v>0.488621797365831</v>
      </c>
      <c r="M29" s="218">
        <v>0.52475100953429399</v>
      </c>
      <c r="N29" s="218">
        <v>0.54012024289919702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</v>
      </c>
      <c r="N30" s="217">
        <v>1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11.8</v>
      </c>
      <c r="K31" s="217">
        <v>10.48114</v>
      </c>
      <c r="L31" s="217">
        <v>0.341684920000003</v>
      </c>
      <c r="M31" s="217">
        <v>1.9001619999999999</v>
      </c>
      <c r="N31" s="217">
        <v>1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TMS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TMS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TMS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TMS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TMS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TMS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v>95.273326114134406</v>
      </c>
      <c r="Q9" t="s">
        <v>477</v>
      </c>
    </row>
    <row r="10" spans="1:17">
      <c r="A10" t="str">
        <f>F_Inputs!A10</f>
        <v>TMS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v>98.042771203666902</v>
      </c>
      <c r="Q10" t="s">
        <v>478</v>
      </c>
    </row>
    <row r="11" spans="1:17">
      <c r="A11" t="str">
        <f>F_Inputs!A11</f>
        <v>TMS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TMS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TMS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TMS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TMS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TMS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TMS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TMS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TMS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TMS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TMS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TMS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TMS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TMS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TMS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TMS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TMS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TMS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TMS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TMS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TMS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TMS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TMS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TMS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TMS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TMS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TMS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TMS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TMS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TMS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TMS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TMS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TMS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TMS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TMS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5" width="7.42578125" customWidth="1"/>
    <col min="16" max="16" width="8.710937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TMS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TMS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9.0660000000000007</v>
      </c>
      <c r="K5" s="264">
        <f>IF(InpOverride!K5="",F_Inputs!K5,InpOverride!K5)</f>
        <v>9.0660000000000007</v>
      </c>
      <c r="L5" s="264">
        <f>IF(InpOverride!L5="",F_Inputs!L5,InpOverride!L5)</f>
        <v>9.0660000000000007</v>
      </c>
      <c r="M5" s="264">
        <f>IF(InpOverride!M5="",F_Inputs!M5,InpOverride!M5)</f>
        <v>9.0660000000000007</v>
      </c>
      <c r="N5" s="264">
        <f>IF(InpOverride!N5="",F_Inputs!N5,InpOverride!N5)</f>
        <v>9.0660000000000007</v>
      </c>
      <c r="O5" s="217"/>
      <c r="P5" s="217"/>
    </row>
    <row r="6" spans="1:16">
      <c r="A6" t="str">
        <f>F_Inputs!A6</f>
        <v>TMS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8.3350050677115295</v>
      </c>
      <c r="K6" s="264">
        <f>IF(InpOverride!K6="",F_Inputs!K6,InpOverride!K6)</f>
        <v>8.3350050677115295</v>
      </c>
      <c r="L6" s="264">
        <f>IF(InpOverride!L6="",F_Inputs!L6,InpOverride!L6)</f>
        <v>8.3350050677115295</v>
      </c>
      <c r="M6" s="264">
        <f>IF(InpOverride!M6="",F_Inputs!M6,InpOverride!M6)</f>
        <v>8.3350050677115295</v>
      </c>
      <c r="N6" s="264">
        <f>IF(InpOverride!N6="",F_Inputs!N6,InpOverride!N6)</f>
        <v>8.3350050677115295</v>
      </c>
      <c r="O6" s="217"/>
      <c r="P6" s="217"/>
    </row>
    <row r="7" spans="1:16">
      <c r="A7" t="str">
        <f>F_Inputs!A7</f>
        <v>TMS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95.273326114134406</v>
      </c>
    </row>
    <row r="8" spans="1:16">
      <c r="A8" t="str">
        <f>F_Inputs!A8</f>
        <v>TMS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98.042771203666902</v>
      </c>
    </row>
    <row r="9" spans="1:16">
      <c r="A9" t="str">
        <f>F_Inputs!A9</f>
        <v>TMS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95.273326114134406</v>
      </c>
    </row>
    <row r="10" spans="1:16">
      <c r="A10" t="str">
        <f>F_Inputs!A10</f>
        <v>TMS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98.042771203666902</v>
      </c>
    </row>
    <row r="11" spans="1:16">
      <c r="A11" t="str">
        <f>F_Inputs!A11</f>
        <v>TMS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TMS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630.06320028155005</v>
      </c>
      <c r="K12" s="264">
        <f>IF(InpOverride!K12="",F_Inputs!K12,InpOverride!K12)</f>
        <v>670.26762065443995</v>
      </c>
      <c r="L12" s="264">
        <f>IF(InpOverride!L12="",F_Inputs!L12,InpOverride!L12)</f>
        <v>689.77199485173196</v>
      </c>
      <c r="M12" s="264">
        <f>IF(InpOverride!M12="",F_Inputs!M12,InpOverride!M12)</f>
        <v>679.00480083081402</v>
      </c>
      <c r="N12" s="264">
        <f>IF(InpOverride!N12="",F_Inputs!N12,InpOverride!N12)</f>
        <v>657.01025522329905</v>
      </c>
      <c r="O12" s="217"/>
      <c r="P12" s="217"/>
    </row>
    <row r="13" spans="1:16">
      <c r="A13" t="str">
        <f>F_Inputs!A13</f>
        <v>TMS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852.42637277371296</v>
      </c>
      <c r="K13" s="264">
        <f>IF(InpOverride!K13="",F_Inputs!K13,InpOverride!K13)</f>
        <v>792.31251507991999</v>
      </c>
      <c r="L13" s="264">
        <f>IF(InpOverride!L13="",F_Inputs!L13,InpOverride!L13)</f>
        <v>796.456278770371</v>
      </c>
      <c r="M13" s="264">
        <f>IF(InpOverride!M13="",F_Inputs!M13,InpOverride!M13)</f>
        <v>707.21341810248202</v>
      </c>
      <c r="N13" s="264">
        <f>IF(InpOverride!N13="",F_Inputs!N13,InpOverride!N13)</f>
        <v>615.229635599429</v>
      </c>
      <c r="O13" s="217"/>
      <c r="P13" s="217"/>
    </row>
    <row r="14" spans="1:16">
      <c r="A14" t="str">
        <f>F_Inputs!A14</f>
        <v>TMS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635.26254276253098</v>
      </c>
      <c r="K14" s="264">
        <f>IF(InpOverride!K14="",F_Inputs!K14,InpOverride!K14)</f>
        <v>676.42467240849396</v>
      </c>
      <c r="L14" s="264">
        <f>IF(InpOverride!L14="",F_Inputs!L14,InpOverride!L14)</f>
        <v>696.16227968803003</v>
      </c>
      <c r="M14" s="264">
        <f>IF(InpOverride!M14="",F_Inputs!M14,InpOverride!M14)</f>
        <v>685.26633168489195</v>
      </c>
      <c r="N14" s="264">
        <f>IF(InpOverride!N14="",F_Inputs!N14,InpOverride!N14)</f>
        <v>663.008775554061</v>
      </c>
      <c r="O14" s="217"/>
      <c r="P14" s="217"/>
    </row>
    <row r="15" spans="1:16">
      <c r="A15" t="str">
        <f>F_Inputs!A15</f>
        <v>TMS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852.11963334994698</v>
      </c>
      <c r="K15" s="264">
        <f>IF(InpOverride!K15="",F_Inputs!K15,InpOverride!K15)</f>
        <v>792.19267520454105</v>
      </c>
      <c r="L15" s="264">
        <f>IF(InpOverride!L15="",F_Inputs!L15,InpOverride!L15)</f>
        <v>796.35681432750403</v>
      </c>
      <c r="M15" s="264">
        <f>IF(InpOverride!M15="",F_Inputs!M15,InpOverride!M15)</f>
        <v>706.67513474515795</v>
      </c>
      <c r="N15" s="264">
        <f>IF(InpOverride!N15="",F_Inputs!N15,InpOverride!N15)</f>
        <v>614.23905585353805</v>
      </c>
      <c r="O15" s="217"/>
      <c r="P15" s="217"/>
    </row>
    <row r="16" spans="1:16">
      <c r="A16" t="str">
        <f>F_Inputs!A16</f>
        <v>TMS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718.46534824732203</v>
      </c>
      <c r="K16" s="264">
        <f>IF(InpOverride!K16="",F_Inputs!K16,InpOverride!K16)</f>
        <v>827.23924438495499</v>
      </c>
      <c r="L16" s="264">
        <f>IF(InpOverride!L16="",F_Inputs!L16,InpOverride!L16)</f>
        <v>895.28234591927401</v>
      </c>
      <c r="M16" s="264">
        <f>IF(InpOverride!M16="",F_Inputs!M16,InpOverride!M16)</f>
        <v>988.40111559479703</v>
      </c>
      <c r="N16" s="264">
        <f>IF(InpOverride!N16="",F_Inputs!N16,InpOverride!N16)</f>
        <v>1051.809</v>
      </c>
      <c r="O16" s="217"/>
      <c r="P16" s="217"/>
    </row>
    <row r="17" spans="1:16">
      <c r="A17" t="str">
        <f>F_Inputs!A17</f>
        <v>TMS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917.00652030996605</v>
      </c>
      <c r="K17" s="264">
        <f>IF(InpOverride!K17="",F_Inputs!K17,InpOverride!K17)</f>
        <v>909.55609871451804</v>
      </c>
      <c r="L17" s="264">
        <f>IF(InpOverride!L17="",F_Inputs!L17,InpOverride!L17)</f>
        <v>888.26573775899305</v>
      </c>
      <c r="M17" s="264">
        <f>IF(InpOverride!M17="",F_Inputs!M17,InpOverride!M17)</f>
        <v>856.07331002781598</v>
      </c>
      <c r="N17" s="264">
        <f>IF(InpOverride!N17="",F_Inputs!N17,InpOverride!N17)</f>
        <v>811.399</v>
      </c>
      <c r="O17" s="217"/>
      <c r="P17" s="217"/>
    </row>
    <row r="18" spans="1:16">
      <c r="A18" t="str">
        <f>F_Inputs!A18</f>
        <v>TMS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6.2964806060779503</v>
      </c>
      <c r="K18" s="264">
        <f>IF(InpOverride!K18="",F_Inputs!K18,InpOverride!K18)</f>
        <v>7.0929616855692696</v>
      </c>
      <c r="L18" s="264">
        <f>IF(InpOverride!L18="",F_Inputs!L18,InpOverride!L18)</f>
        <v>6.056</v>
      </c>
      <c r="M18" s="264">
        <f>IF(InpOverride!M18="",F_Inputs!M18,InpOverride!M18)</f>
        <v>6.1150000000000002</v>
      </c>
      <c r="N18" s="264">
        <f>IF(InpOverride!N18="",F_Inputs!N18,InpOverride!N18)</f>
        <v>6.9059999999999997</v>
      </c>
      <c r="O18" s="217"/>
      <c r="P18" s="217"/>
    </row>
    <row r="19" spans="1:16">
      <c r="A19" t="str">
        <f>F_Inputs!A19</f>
        <v>TMS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2.8752699999999999E-2</v>
      </c>
      <c r="K19" s="264">
        <f>IF(InpOverride!K19="",F_Inputs!K19,InpOverride!K19)</f>
        <v>0</v>
      </c>
      <c r="L19" s="264">
        <f>IF(InpOverride!L19="",F_Inputs!L19,InpOverride!L19)</f>
        <v>3.6996290000000001E-2</v>
      </c>
      <c r="M19" s="264">
        <f>IF(InpOverride!M19="",F_Inputs!M19,InpOverride!M19)</f>
        <v>0.43447605</v>
      </c>
      <c r="N19" s="264">
        <f>IF(InpOverride!N19="",F_Inputs!N19,InpOverride!N19)</f>
        <v>0.66700000000000004</v>
      </c>
      <c r="O19" s="217"/>
      <c r="P19" s="217"/>
    </row>
    <row r="20" spans="1:16">
      <c r="A20" t="str">
        <f>F_Inputs!A20</f>
        <v>TMS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</v>
      </c>
      <c r="K20" s="264">
        <f>IF(InpOverride!K20="",F_Inputs!K20,InpOverride!K20)</f>
        <v>19.443000000000001</v>
      </c>
      <c r="L20" s="264">
        <f>IF(InpOverride!L20="",F_Inputs!L20,InpOverride!L20)</f>
        <v>10.3503184713376</v>
      </c>
      <c r="M20" s="264">
        <f>IF(InpOverride!M20="",F_Inputs!M20,InpOverride!M20)</f>
        <v>0</v>
      </c>
      <c r="N20" s="264">
        <f>IF(InpOverride!N20="",F_Inputs!N20,InpOverride!N20)</f>
        <v>11.816000000000001</v>
      </c>
      <c r="O20" s="217"/>
      <c r="P20" s="217"/>
    </row>
    <row r="21" spans="1:16">
      <c r="A21" t="str">
        <f>F_Inputs!A21</f>
        <v>TMS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TMS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3.5668453497428101</v>
      </c>
      <c r="K22" s="264">
        <f>IF(InpOverride!K22="",F_Inputs!K22,InpOverride!K22)</f>
        <v>3.7381288902710001</v>
      </c>
      <c r="L22" s="264">
        <f>IF(InpOverride!L22="",F_Inputs!L22,InpOverride!L22)</f>
        <v>4.0970000000000004</v>
      </c>
      <c r="M22" s="264">
        <f>IF(InpOverride!M22="",F_Inputs!M22,InpOverride!M22)</f>
        <v>3.141</v>
      </c>
      <c r="N22" s="264">
        <f>IF(InpOverride!N22="",F_Inputs!N22,InpOverride!N22)</f>
        <v>2.383</v>
      </c>
      <c r="O22" s="217"/>
      <c r="P22" s="217"/>
    </row>
    <row r="23" spans="1:16">
      <c r="A23" t="str">
        <f>F_Inputs!A23</f>
        <v>TMS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0.30435075</v>
      </c>
      <c r="K23" s="264">
        <f>IF(InpOverride!K23="",F_Inputs!K23,InpOverride!K23)</f>
        <v>0.74199999999999999</v>
      </c>
      <c r="L23" s="264">
        <f>IF(InpOverride!L23="",F_Inputs!L23,InpOverride!L23)</f>
        <v>3.9925509999999997E-2</v>
      </c>
      <c r="M23" s="264">
        <f>IF(InpOverride!M23="",F_Inputs!M23,InpOverride!M23)</f>
        <v>0.22931056999999999</v>
      </c>
      <c r="N23" s="264">
        <f>IF(InpOverride!N23="",F_Inputs!N23,InpOverride!N23)</f>
        <v>-4.0000000000000001E-3</v>
      </c>
      <c r="O23" s="217"/>
      <c r="P23" s="217"/>
    </row>
    <row r="24" spans="1:16">
      <c r="A24" t="str">
        <f>F_Inputs!A24</f>
        <v>TMS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17.734000000000002</v>
      </c>
      <c r="L24" s="264">
        <f>IF(InpOverride!L24="",F_Inputs!L24,InpOverride!L24)</f>
        <v>9.4404003639672496</v>
      </c>
      <c r="M24" s="264">
        <f>IF(InpOverride!M24="",F_Inputs!M24,InpOverride!M24)</f>
        <v>0</v>
      </c>
      <c r="N24" s="264">
        <f>IF(InpOverride!N24="",F_Inputs!N24,InpOverride!N24)</f>
        <v>10.776999999999999</v>
      </c>
      <c r="O24" s="217"/>
      <c r="P24" s="217"/>
    </row>
    <row r="25" spans="1:16">
      <c r="A25" t="str">
        <f>F_Inputs!A25</f>
        <v>TMS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TMS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24.652999999999999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TMS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51.491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TMS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0.54635420544169799</v>
      </c>
      <c r="K28" s="264">
        <f>IF(InpOverride!K28="",F_Inputs!K28,InpOverride!K28)</f>
        <v>0.54977193968604399</v>
      </c>
      <c r="L28" s="264">
        <f>IF(InpOverride!L28="",F_Inputs!L28,InpOverride!L28)</f>
        <v>0.58411064767746501</v>
      </c>
      <c r="M28" s="264">
        <f>IF(InpOverride!M28="",F_Inputs!M28,InpOverride!M28)</f>
        <v>0.59915388714582096</v>
      </c>
      <c r="N28" s="264">
        <f>IF(InpOverride!N28="",F_Inputs!N28,InpOverride!N28)</f>
        <v>0.61664002541062002</v>
      </c>
      <c r="O28" s="218"/>
      <c r="P28" s="218"/>
    </row>
    <row r="29" spans="1:16">
      <c r="A29" t="str">
        <f>F_Inputs!A29</f>
        <v>TMS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0.463055504564853</v>
      </c>
      <c r="K29" s="264">
        <f>IF(InpOverride!K29="",F_Inputs!K29,InpOverride!K29)</f>
        <v>0.49871575003677399</v>
      </c>
      <c r="L29" s="264">
        <f>IF(InpOverride!L29="",F_Inputs!L29,InpOverride!L29)</f>
        <v>0.488621797365831</v>
      </c>
      <c r="M29" s="264">
        <f>IF(InpOverride!M29="",F_Inputs!M29,InpOverride!M29)</f>
        <v>0.52475100953429399</v>
      </c>
      <c r="N29" s="264">
        <f>IF(InpOverride!N29="",F_Inputs!N29,InpOverride!N29)</f>
        <v>0.54012024289919702</v>
      </c>
      <c r="O29" s="218"/>
      <c r="P29" s="218"/>
    </row>
    <row r="30" spans="1:16">
      <c r="A30" t="str">
        <f>F_Inputs!A30</f>
        <v>TMS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1</v>
      </c>
      <c r="O30" s="217"/>
      <c r="P30" s="217"/>
    </row>
    <row r="31" spans="1:16">
      <c r="A31" t="str">
        <f>F_Inputs!A31</f>
        <v>TMS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11.8</v>
      </c>
      <c r="K31" s="264">
        <f>IF(InpOverride!K31="",F_Inputs!K31,InpOverride!K31)</f>
        <v>10.48114</v>
      </c>
      <c r="L31" s="264">
        <f>IF(InpOverride!L31="",F_Inputs!L31,InpOverride!L31)</f>
        <v>0.341684920000003</v>
      </c>
      <c r="M31" s="264">
        <f>IF(InpOverride!M31="",F_Inputs!M31,InpOverride!M31)</f>
        <v>1.9001619999999999</v>
      </c>
      <c r="N31" s="264">
        <f>IF(InpOverride!N31="",F_Inputs!N31,InpOverride!N31)</f>
        <v>1</v>
      </c>
      <c r="O31" s="217"/>
      <c r="P31" s="217"/>
    </row>
    <row r="32" spans="1:16">
      <c r="A32" t="str">
        <f>F_Inputs!A32</f>
        <v>TMS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TMS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TMS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TMS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TMS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TMS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TMS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TMS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TMS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TMS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TMS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TMS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TMS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TMS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38.240110771778973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-1.4140407473481815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36.826070024430791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272.86884891416418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81.353338906191937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354.22218782035611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[…]10/11/2020 15:25:22</v>
      </c>
      <c r="G10" s="259" t="str">
        <f ca="1">CONCATENATE("[…]", TEXT(NOW(),"dd/mm/yyy hh:mm:ss"))</f>
        <v>[…]10/11/2020 15:25:22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menu_TMS_BYRun2</v>
      </c>
      <c r="G11" s="262" t="str">
        <f ca="1">MID(CELL("filename",F1),SEARCH("[",CELL("filename",F1))+1,SEARCH(".",CELL("filename",F1))-1-SEARCH("[",CELL("filename",F1)))</f>
        <v>Totex menu_TMS_BYRun2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470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471</v>
      </c>
      <c r="C3" s="273" t="s">
        <v>472</v>
      </c>
      <c r="D3" s="273" t="s">
        <v>473</v>
      </c>
      <c r="E3" s="273" t="s">
        <v>474</v>
      </c>
      <c r="F3" s="273" t="s">
        <v>475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TMS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95.273326114134406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98.042771203666902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9.0660000000000007</v>
      </c>
      <c r="M26" s="35">
        <f>InpActive!K5</f>
        <v>9.0660000000000007</v>
      </c>
      <c r="N26" s="35">
        <f>InpActive!L5</f>
        <v>9.0660000000000007</v>
      </c>
      <c r="O26" s="35">
        <f>InpActive!M5</f>
        <v>9.0660000000000007</v>
      </c>
      <c r="P26" s="35">
        <f>InpActive!N5</f>
        <v>9.0660000000000007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8.3350050677115295</v>
      </c>
      <c r="M27" s="35">
        <f>InpActive!K6</f>
        <v>8.3350050677115295</v>
      </c>
      <c r="N27" s="35">
        <f>InpActive!L6</f>
        <v>8.3350050677115295</v>
      </c>
      <c r="O27" s="35">
        <f>InpActive!M6</f>
        <v>8.3350050677115295</v>
      </c>
      <c r="P27" s="35">
        <f>InpActive!N6</f>
        <v>8.3350050677115295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95.273326114134406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98.042771203666902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635.26254276253098</v>
      </c>
      <c r="M40" s="35">
        <f>InpActive!K14</f>
        <v>676.42467240849396</v>
      </c>
      <c r="N40" s="35">
        <f>InpActive!L14</f>
        <v>696.16227968803003</v>
      </c>
      <c r="O40" s="35">
        <f>InpActive!M14</f>
        <v>685.26633168489195</v>
      </c>
      <c r="P40" s="35">
        <f>InpActive!N14</f>
        <v>663.008775554061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852.11963334994698</v>
      </c>
      <c r="M41" s="35">
        <f>InpActive!K15</f>
        <v>792.19267520454105</v>
      </c>
      <c r="N41" s="35">
        <f>InpActive!L15</f>
        <v>796.35681432750403</v>
      </c>
      <c r="O41" s="35">
        <f>InpActive!M15</f>
        <v>706.67513474515795</v>
      </c>
      <c r="P41" s="35">
        <f>InpActive!N15</f>
        <v>614.23905585353805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630.06320028155005</v>
      </c>
      <c r="M46" s="35">
        <f>InpActive!K12</f>
        <v>670.26762065443995</v>
      </c>
      <c r="N46" s="35">
        <f>InpActive!L12</f>
        <v>689.77199485173196</v>
      </c>
      <c r="O46" s="35">
        <f>InpActive!M12</f>
        <v>679.00480083081402</v>
      </c>
      <c r="P46" s="35">
        <f>InpActive!N12</f>
        <v>657.01025522329905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852.42637277371296</v>
      </c>
      <c r="M47" s="35">
        <f>InpActive!K13</f>
        <v>792.31251507991999</v>
      </c>
      <c r="N47" s="35">
        <f>InpActive!L13</f>
        <v>796.456278770371</v>
      </c>
      <c r="O47" s="35">
        <f>InpActive!M13</f>
        <v>707.21341810248202</v>
      </c>
      <c r="P47" s="35">
        <f>InpActive!N13</f>
        <v>615.229635599429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718.46534824732203</v>
      </c>
      <c r="M52" s="35">
        <f>InpActive!K16</f>
        <v>827.23924438495499</v>
      </c>
      <c r="N52" s="35">
        <f>InpActive!L16</f>
        <v>895.28234591927401</v>
      </c>
      <c r="O52" s="35">
        <f>InpActive!M16</f>
        <v>988.40111559479703</v>
      </c>
      <c r="P52" s="35">
        <f>InpActive!N16</f>
        <v>1051.809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917.00652030996605</v>
      </c>
      <c r="M53" s="35">
        <f>InpActive!K17</f>
        <v>909.55609871451804</v>
      </c>
      <c r="N53" s="35">
        <f>InpActive!L17</f>
        <v>888.26573775899305</v>
      </c>
      <c r="O53" s="35">
        <f>InpActive!M17</f>
        <v>856.07331002781598</v>
      </c>
      <c r="P53" s="35">
        <f>InpActive!N17</f>
        <v>811.399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6.2964806060779503</v>
      </c>
      <c r="M60" s="35">
        <f>InpActive!K18</f>
        <v>7.0929616855692696</v>
      </c>
      <c r="N60" s="35">
        <f>InpActive!L18</f>
        <v>6.056</v>
      </c>
      <c r="O60" s="35">
        <f>InpActive!M18</f>
        <v>6.1150000000000002</v>
      </c>
      <c r="P60" s="35">
        <f>InpActive!N18</f>
        <v>6.9059999999999997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2.8752699999999999E-2</v>
      </c>
      <c r="M61" s="35">
        <f>InpActive!K19</f>
        <v>0</v>
      </c>
      <c r="N61" s="35">
        <f>InpActive!L19</f>
        <v>3.6996290000000001E-2</v>
      </c>
      <c r="O61" s="35">
        <f>InpActive!M19</f>
        <v>0.43447605</v>
      </c>
      <c r="P61" s="35">
        <f>InpActive!N19</f>
        <v>0.66700000000000004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</v>
      </c>
      <c r="M62" s="35">
        <f>InpActive!K20</f>
        <v>19.443000000000001</v>
      </c>
      <c r="N62" s="35">
        <f>InpActive!L20</f>
        <v>10.3503184713376</v>
      </c>
      <c r="O62" s="35">
        <f>InpActive!M20</f>
        <v>0</v>
      </c>
      <c r="P62" s="35">
        <f>InpActive!N20</f>
        <v>11.816000000000001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1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3.5668453497428101</v>
      </c>
      <c r="M66" s="35">
        <f>InpActive!K22</f>
        <v>3.7381288902710001</v>
      </c>
      <c r="N66" s="35">
        <f>InpActive!L22</f>
        <v>4.0970000000000004</v>
      </c>
      <c r="O66" s="35">
        <f>InpActive!M22</f>
        <v>3.141</v>
      </c>
      <c r="P66" s="35">
        <f>InpActive!N22</f>
        <v>2.383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0.30435075</v>
      </c>
      <c r="M67" s="35">
        <f>InpActive!K23</f>
        <v>0.74199999999999999</v>
      </c>
      <c r="N67" s="35">
        <f>InpActive!L23</f>
        <v>3.9925509999999997E-2</v>
      </c>
      <c r="O67" s="35">
        <f>InpActive!M23</f>
        <v>0.22931056999999999</v>
      </c>
      <c r="P67" s="35">
        <f>InpActive!N23</f>
        <v>-4.0000000000000001E-3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17.734000000000002</v>
      </c>
      <c r="N68" s="35">
        <f>InpActive!L24</f>
        <v>9.4404003639672496</v>
      </c>
      <c r="O68" s="35">
        <f>InpActive!M24</f>
        <v>0</v>
      </c>
      <c r="P68" s="35">
        <f>InpActive!N24</f>
        <v>10.776999999999999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11.8</v>
      </c>
      <c r="M70" s="221">
        <f>InpActive!K31</f>
        <v>10.48114</v>
      </c>
      <c r="N70" s="221">
        <f>InpActive!L31</f>
        <v>0.341684920000003</v>
      </c>
      <c r="O70" s="221">
        <f>InpActive!M31</f>
        <v>1.9001619999999999</v>
      </c>
      <c r="P70" s="221">
        <f>InpActive!N31</f>
        <v>1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24.652999999999999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51.491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0.54635420544169799</v>
      </c>
      <c r="M125" s="173">
        <f>InpActive!K28</f>
        <v>0.54977193968604399</v>
      </c>
      <c r="N125" s="173">
        <f>InpActive!L28</f>
        <v>0.58411064767746501</v>
      </c>
      <c r="O125" s="173">
        <f>InpActive!M28</f>
        <v>0.59915388714582096</v>
      </c>
      <c r="P125" s="173">
        <f>InpActive!N28</f>
        <v>0.61664002541062002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0.463055504564853</v>
      </c>
      <c r="M126" s="173">
        <f>InpActive!K29</f>
        <v>0.49871575003677399</v>
      </c>
      <c r="N126" s="173">
        <f>InpActive!L29</f>
        <v>0.488621797365831</v>
      </c>
      <c r="O126" s="173">
        <f>InpActive!M29</f>
        <v>0.52475100953429399</v>
      </c>
      <c r="P126" s="173">
        <f>InpActive!N29</f>
        <v>0.54012024289919702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0.50945334777173112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0.98818331528533609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677.59415038833413</v>
      </c>
      <c r="M14" s="50">
        <f>Actual.Totex.Water/Indexation.Average</f>
        <v>763.81557452708125</v>
      </c>
      <c r="N14" s="50">
        <f>Actual.Totex.Water/Indexation.Average</f>
        <v>796.82272753147413</v>
      </c>
      <c r="O14" s="50">
        <f>Actual.Totex.Water/Indexation.Average</f>
        <v>853.617823777946</v>
      </c>
      <c r="P14" s="50">
        <f>Actual.Totex.Water/Indexation.Average</f>
        <v>885.459301230037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864.84094959594336</v>
      </c>
      <c r="M15" s="50">
        <f>Actual.Totex.Sewerage/Indexation.Average</f>
        <v>839.82127156064519</v>
      </c>
      <c r="N15" s="50">
        <f>Actual.Totex.Sewerage/Indexation.Average</f>
        <v>790.57777823946742</v>
      </c>
      <c r="O15" s="50">
        <f>Actual.Totex.Sewerage/Indexation.Average</f>
        <v>739.33489589454075</v>
      </c>
      <c r="P15" s="50">
        <f>Actual.Totex.Sewerage/Indexation.Average</f>
        <v>683.07153823436647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5.9654109951096839</v>
      </c>
      <c r="M18" s="50">
        <f>SUM(INDEX(Actual.Exclusions.Water,,M6))/Indexation.Average</f>
        <v>24.501473978741441</v>
      </c>
      <c r="N18" s="50">
        <f>SUM(INDEX(Actual.Exclusions.Water,,N6))/Indexation.Average</f>
        <v>14.634943911838285</v>
      </c>
      <c r="O18" s="50">
        <f>SUM(INDEX(Actual.Exclusions.Water,,O6))/Indexation.Average</f>
        <v>5.6563569227887749</v>
      </c>
      <c r="P18" s="50">
        <f>SUM(INDEX(Actual.Exclusions.Water,,P6))/Indexation.Average</f>
        <v>17.164361298276802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14.779711829774785</v>
      </c>
      <c r="M19" s="212">
        <f>SUM(Inputs!M66:M72)/Indexation.Average</f>
        <v>30.188552781132948</v>
      </c>
      <c r="N19" s="212">
        <f>SUM(Inputs!N66:N72)/Indexation.Average</f>
        <v>12.388252930421427</v>
      </c>
      <c r="O19" s="212">
        <f>SUM(Inputs!O66:O72)/Indexation.Average</f>
        <v>4.5517647182919072</v>
      </c>
      <c r="P19" s="212">
        <f>SUM(Inputs!P66:P72)/Indexation.Average</f>
        <v>11.917146428878629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24.652999999999999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51.491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696.28173939322448</v>
      </c>
      <c r="M30" s="212">
        <f t="shared" ref="M30:P30" si="2">M14-M18+M22</f>
        <v>739.31410054833987</v>
      </c>
      <c r="N30" s="212">
        <f t="shared" si="2"/>
        <v>782.18778361963587</v>
      </c>
      <c r="O30" s="212">
        <f t="shared" si="2"/>
        <v>847.96146685515725</v>
      </c>
      <c r="P30" s="212">
        <f t="shared" si="2"/>
        <v>868.29493993176015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901.55223776616856</v>
      </c>
      <c r="M31" s="212">
        <f t="shared" ref="M31:P31" si="3">M15-M19+M23</f>
        <v>809.63271877951229</v>
      </c>
      <c r="N31" s="212">
        <f t="shared" si="3"/>
        <v>778.18952530904596</v>
      </c>
      <c r="O31" s="212">
        <f t="shared" si="3"/>
        <v>734.78313117624884</v>
      </c>
      <c r="P31" s="212">
        <f t="shared" si="3"/>
        <v>671.15439180548788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1597.833977159393</v>
      </c>
      <c r="M32" s="77">
        <f>SUM(M30:M31)</f>
        <v>1548.9468193278522</v>
      </c>
      <c r="N32" s="77">
        <f t="shared" ref="N32:P32" si="4">SUM(N30:N31)</f>
        <v>1560.3773089286819</v>
      </c>
      <c r="O32" s="77">
        <f t="shared" si="4"/>
        <v>1582.744598031406</v>
      </c>
      <c r="P32" s="77">
        <f t="shared" si="4"/>
        <v>1539.449331737248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0.50945334777173112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98.818331528533605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0.57966351272153815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0.50391445759266618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99.510692800916729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0.24273822726103944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0.50945334777173112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98.818331528533605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0.57966351272153815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0.50391445759266618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99.510692800916729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0.24273822726103944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1.1721972503311822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117.21972503311821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-8.7949880118540769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-8.7949880118540769E-2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1.035551170932868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103.5551170932868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-1.7953056463032255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-1.7953056463032257E-2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-295.17075641740513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-67.531917617318754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3.6823851703814507</v>
      </c>
      <c r="M97" s="147">
        <f>FD.AddInc.Coeff.Water/100*Baseline.Totex.Water</f>
        <v>3.9209870169982333</v>
      </c>
      <c r="N97" s="147">
        <f>FD.AddInc.Coeff.Water/100*Baseline.Totex.Water</f>
        <v>4.0353987246819738</v>
      </c>
      <c r="O97" s="147">
        <f>FD.AddInc.Coeff.Water/100*Baseline.Totex.Water</f>
        <v>3.9722388897426719</v>
      </c>
      <c r="P97" s="147">
        <f>FD.AddInc.Coeff.Water/100*Baseline.Totex.Water</f>
        <v>3.8432199580287292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2.0684200921369302</v>
      </c>
      <c r="M98" s="147">
        <f>FD.AddInc.Coeff.Sewerage/100*Baseline.Totex.Sewerage</f>
        <v>1.922954456283307</v>
      </c>
      <c r="N98" s="147">
        <f>FD.AddInc.Coeff.Sewerage/100*Baseline.Totex.Sewerage</f>
        <v>1.9330624137710706</v>
      </c>
      <c r="O98" s="147">
        <f>FD.AddInc.Coeff.Sewerage/100*Baseline.Totex.Sewerage</f>
        <v>1.7153706945749583</v>
      </c>
      <c r="P98" s="147">
        <f>FD.AddInc.Coeff.Sewerage/100*Baseline.Totex.Sewerage</f>
        <v>1.4909929953238241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-314.62498617723821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-76.662718269408842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-59.553649650145431</v>
      </c>
      <c r="M105" s="147">
        <f>IF(SUM(Baseline.Totex.Water)=0,0,$G101*(Baseline.Totex.Water/SUM(Baseline.Totex.Water)))</f>
        <v>-63.412455864548498</v>
      </c>
      <c r="N105" s="147">
        <f>IF(SUM(Baseline.Totex.Water)=0,0,$G101*(Baseline.Totex.Water/SUM(Baseline.Totex.Water)))</f>
        <v>-65.262787766294267</v>
      </c>
      <c r="O105" s="147">
        <f>IF(SUM(Baseline.Totex.Water)=0,0,$G101*(Baseline.Totex.Water/SUM(Baseline.Totex.Water)))</f>
        <v>-64.241330610701112</v>
      </c>
      <c r="P105" s="147">
        <f>IF(SUM(Baseline.Totex.Water)=0,0,$G101*(Baseline.Totex.Water/SUM(Baseline.Totex.Water)))</f>
        <v>-62.154762285548898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-17.366571982926871</v>
      </c>
      <c r="M106" s="147">
        <f>IF(SUM(Baseline.Totex.Sewerage)=0,0,$G102*(Baseline.Totex.Sewerage/SUM(Baseline.Totex.Sewerage)))</f>
        <v>-16.145234283831005</v>
      </c>
      <c r="N106" s="147">
        <f>IF(SUM(Baseline.Totex.Sewerage)=0,0,$G102*(Baseline.Totex.Sewerage/SUM(Baseline.Totex.Sewerage)))</f>
        <v>-16.230101266113245</v>
      </c>
      <c r="O106" s="147">
        <f>IF(SUM(Baseline.Totex.Sewerage)=0,0,$G102*(Baseline.Totex.Sewerage/SUM(Baseline.Totex.Sewerage)))</f>
        <v>-14.402349289675707</v>
      </c>
      <c r="P106" s="147">
        <f>IF(SUM(Baseline.Totex.Sewerage)=0,0,$G102*(Baseline.Totex.Sewerage/SUM(Baseline.Totex.Sewerage)))</f>
        <v>-12.518461446862016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-68.603678547021033</v>
      </c>
      <c r="M109" s="147">
        <f>M105*(1+WACC)^Calcs!M7</f>
        <v>-70.510507297861921</v>
      </c>
      <c r="N109" s="147">
        <f>N105*(1+WACC)^Calcs!N7</f>
        <v>-70.046289058412569</v>
      </c>
      <c r="O109" s="147">
        <f>O105*(1+WACC)^Calcs!O7</f>
        <v>-66.554018512686355</v>
      </c>
      <c r="P109" s="147">
        <f>P105*(1+WACC)^Calcs!P7</f>
        <v>-62.154762285548898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-20.005671000509491</v>
      </c>
      <c r="M110" s="147">
        <f>M106*(1+WACC)^Calcs!M7</f>
        <v>-17.952445529431035</v>
      </c>
      <c r="N110" s="147">
        <f>N106*(1+WACC)^Calcs!N7</f>
        <v>-17.419702768514281</v>
      </c>
      <c r="O110" s="147">
        <f>O106*(1+WACC)^Calcs!O7</f>
        <v>-14.920833864104033</v>
      </c>
      <c r="P110" s="147">
        <f>P106*(1+WACC)^Calcs!P7</f>
        <v>-12.518461446862016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-337.86925570153079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-82.817114609420869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627.75584558367041</v>
      </c>
      <c r="M136" s="147">
        <f>Baseline.Totex.Water*(FD.AllExp.Coeff.Water/100)</f>
        <v>668.431575321423</v>
      </c>
      <c r="N136" s="147">
        <f>Baseline.Totex.Water*(FD.AllExp.Coeff.Water/100)</f>
        <v>687.93594951871489</v>
      </c>
      <c r="O136" s="147">
        <f>Baseline.Totex.Water*(FD.AllExp.Coeff.Water/100)</f>
        <v>677.16875549779729</v>
      </c>
      <c r="P136" s="147">
        <f>Baseline.Totex.Water*(FD.AllExp.Coeff.Water/100)</f>
        <v>655.17420989028335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847.95015063916378</v>
      </c>
      <c r="M137" s="147">
        <f>Baseline.Totex.Sewerage*(FD.AllExp.Coeff.Sewerage/100)</f>
        <v>788.31641941415489</v>
      </c>
      <c r="N137" s="147">
        <f>Baseline.Totex.Sewerage*(FD.AllExp.Coeff.Sewerage/100)</f>
        <v>792.46018310460943</v>
      </c>
      <c r="O137" s="147">
        <f>Baseline.Totex.Sewerage*(FD.AllExp.Coeff.Sewerage/100)</f>
        <v>703.21732243671852</v>
      </c>
      <c r="P137" s="147">
        <f>Baseline.Totex.Sewerage*(FD.AllExp.Coeff.Sewerage/100)</f>
        <v>611.23353993366561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630.06320028155005</v>
      </c>
      <c r="M140" s="147">
        <f>Inputs!M46</f>
        <v>670.26762065443995</v>
      </c>
      <c r="N140" s="147">
        <f>Inputs!N46</f>
        <v>689.77199485173196</v>
      </c>
      <c r="O140" s="147">
        <f>Inputs!O46</f>
        <v>679.00480083081402</v>
      </c>
      <c r="P140" s="147">
        <f>Inputs!P46</f>
        <v>657.01025522329905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852.42637277371296</v>
      </c>
      <c r="M141" s="147">
        <f>Inputs!M47</f>
        <v>792.31251507991999</v>
      </c>
      <c r="N141" s="147">
        <f>Inputs!N47</f>
        <v>796.456278770371</v>
      </c>
      <c r="O141" s="147">
        <f>Inputs!O47</f>
        <v>707.21341810248202</v>
      </c>
      <c r="P141" s="147">
        <f>Inputs!P47</f>
        <v>615.229635599429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2.3073546978796458</v>
      </c>
      <c r="M144" s="147">
        <f t="shared" ref="M144:P144" si="5">M140-M136</f>
        <v>1.8360453330169548</v>
      </c>
      <c r="N144" s="147">
        <f t="shared" si="5"/>
        <v>1.8360453330170685</v>
      </c>
      <c r="O144" s="147">
        <f t="shared" si="5"/>
        <v>1.8360453330167275</v>
      </c>
      <c r="P144" s="147">
        <f t="shared" si="5"/>
        <v>1.8360453330157043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4.4762221345491753</v>
      </c>
      <c r="M145" s="147">
        <f t="shared" ref="M145:P145" si="6">M141-M137</f>
        <v>3.9960956657650968</v>
      </c>
      <c r="N145" s="147">
        <f t="shared" si="6"/>
        <v>3.9960956657615725</v>
      </c>
      <c r="O145" s="147">
        <f t="shared" si="6"/>
        <v>3.9960956657635052</v>
      </c>
      <c r="P145" s="147">
        <f t="shared" si="6"/>
        <v>3.9960956657633915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627.75584558367041</v>
      </c>
      <c r="M148" s="147">
        <f>Baseline.Totex.Water*(AllExp.Coeff.Water/100)</f>
        <v>668.431575321423</v>
      </c>
      <c r="N148" s="147">
        <f>Baseline.Totex.Water*(AllExp.Coeff.Water/100)</f>
        <v>687.93594951871489</v>
      </c>
      <c r="O148" s="147">
        <f>Baseline.Totex.Water*(AllExp.Coeff.Water/100)</f>
        <v>677.16875549779729</v>
      </c>
      <c r="P148" s="147">
        <f>Baseline.Totex.Water*(AllExp.Coeff.Water/100)</f>
        <v>655.17420989028335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847.95015063916378</v>
      </c>
      <c r="M149" s="147">
        <f>Baseline.Totex.Sewerage*(AllExp.Coeff.Sewerage/100)</f>
        <v>788.31641941415489</v>
      </c>
      <c r="N149" s="147">
        <f>Baseline.Totex.Sewerage*(AllExp.Coeff.Sewerage/100)</f>
        <v>792.46018310460943</v>
      </c>
      <c r="O149" s="147">
        <f>Baseline.Totex.Sewerage*(AllExp.Coeff.Sewerage/100)</f>
        <v>703.21732243671852</v>
      </c>
      <c r="P149" s="147">
        <f>Baseline.Totex.Sewerage*(AllExp.Coeff.Sewerage/100)</f>
        <v>611.23353993366561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630.06320028155005</v>
      </c>
      <c r="M152" s="147">
        <f t="shared" ref="M152:P152" si="7">M148+M144</f>
        <v>670.26762065443995</v>
      </c>
      <c r="N152" s="147">
        <f t="shared" si="7"/>
        <v>689.77199485173196</v>
      </c>
      <c r="O152" s="147">
        <f t="shared" si="7"/>
        <v>679.00480083081402</v>
      </c>
      <c r="P152" s="147">
        <f t="shared" si="7"/>
        <v>657.01025522329905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852.42637277371296</v>
      </c>
      <c r="M153" s="147">
        <f t="shared" ref="M153:P153" si="8">M149+M145</f>
        <v>792.31251507991999</v>
      </c>
      <c r="N153" s="147">
        <f t="shared" si="8"/>
        <v>796.456278770371</v>
      </c>
      <c r="O153" s="147">
        <f t="shared" si="8"/>
        <v>707.21341810248202</v>
      </c>
      <c r="P153" s="147">
        <f t="shared" si="8"/>
        <v>615.229635599429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68.525893809554077</v>
      </c>
      <c r="M162" s="209">
        <f>(Actual.Totex.Water-SUM(Inputs!M60:M64))/Indexation.Average-M148</f>
        <v>70.882525226916755</v>
      </c>
      <c r="N162" s="209">
        <f>(Actual.Totex.Water-SUM(Inputs!N60:N64))/Indexation.Average-N148</f>
        <v>94.251834100920973</v>
      </c>
      <c r="O162" s="209">
        <f>(Actual.Totex.Water-SUM(Inputs!O60:O64))/Indexation.Average-O148</f>
        <v>170.79271135736008</v>
      </c>
      <c r="P162" s="209">
        <f>(Actual.Totex.Water-SUM(Inputs!P60:P64))/Indexation.Average-P148</f>
        <v>213.12073004147692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53.602087127004779</v>
      </c>
      <c r="M163" s="209">
        <f>(Actual.Totex.Sewerage-SUM(Inputs!M66:M72))/Indexation.Average-M149</f>
        <v>21.316299365357395</v>
      </c>
      <c r="N163" s="209">
        <f>(Actual.Totex.Sewerage-SUM(Inputs!N66:N72))/Indexation.Average-N149</f>
        <v>-14.270657795563352</v>
      </c>
      <c r="O163" s="209">
        <f>(Actual.Totex.Sewerage-SUM(Inputs!O66:O72))/Indexation.Average-O149</f>
        <v>31.565808739530326</v>
      </c>
      <c r="P163" s="209">
        <f>(Actual.Totex.Sewerage-SUM(Inputs!P66:P72))/Indexation.Average-P149</f>
        <v>59.920851871822265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68.525893809554077</v>
      </c>
      <c r="M166" s="147">
        <f t="shared" ref="L166:P167" si="10">M162+M156</f>
        <v>70.882525226916755</v>
      </c>
      <c r="N166" s="147">
        <f t="shared" si="10"/>
        <v>94.251834100920973</v>
      </c>
      <c r="O166" s="147">
        <f t="shared" si="10"/>
        <v>170.79271135736008</v>
      </c>
      <c r="P166" s="147">
        <f t="shared" si="10"/>
        <v>213.12073004147692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53.602087127004779</v>
      </c>
      <c r="M167" s="147">
        <f t="shared" si="10"/>
        <v>21.316299365357395</v>
      </c>
      <c r="N167" s="147">
        <f t="shared" si="10"/>
        <v>-14.270657795563352</v>
      </c>
      <c r="O167" s="147">
        <f t="shared" si="10"/>
        <v>31.565808739530326</v>
      </c>
      <c r="P167" s="147">
        <f t="shared" si="10"/>
        <v>59.920851871822265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78.939383541986942</v>
      </c>
      <c r="M170" s="147">
        <f>M166*(1+WACC)^Calcs!M7</f>
        <v>78.816736304603012</v>
      </c>
      <c r="N170" s="147">
        <f>N166*(1+WACC)^Calcs!N7</f>
        <v>101.16011653318208</v>
      </c>
      <c r="O170" s="147">
        <f>O166*(1+WACC)^Calcs!O7</f>
        <v>176.94124896622503</v>
      </c>
      <c r="P170" s="147">
        <f>P166*(1+WACC)^Calcs!P7</f>
        <v>213.12073004147692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61.747690969624223</v>
      </c>
      <c r="M171" s="147">
        <f>M167*(1+WACC)^Calcs!M7</f>
        <v>23.702332002011694</v>
      </c>
      <c r="N171" s="147">
        <f>N167*(1+WACC)^Calcs!N7</f>
        <v>-15.316639929346964</v>
      </c>
      <c r="O171" s="147">
        <f>O167*(1+WACC)^Calcs!O7</f>
        <v>32.702177854153419</v>
      </c>
      <c r="P171" s="147">
        <f>P167*(1+WACC)^Calcs!P7</f>
        <v>59.920851871822265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648.97821538747394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162.75641276826462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0.57954081902233467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0.50015278954308107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38.240110771778973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-1.4140407473481815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272.86884891416418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81.353338906191937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 s="269"/>
      <c r="P11" s="84">
        <f>Calcs!P197</f>
        <v>38.240110771778973</v>
      </c>
      <c r="R11" s="280"/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 s="269"/>
      <c r="P12" s="84">
        <f>Calcs!P198</f>
        <v>-1.4140407473481815</v>
      </c>
      <c r="R12" s="280"/>
    </row>
    <row r="13" spans="1:22" s="3" customFormat="1" ht="15">
      <c r="E13" s="87"/>
      <c r="F13" s="33"/>
      <c r="M13"/>
      <c r="N13"/>
      <c r="P13" s="147"/>
      <c r="R13" s="280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36.826070024430791</v>
      </c>
      <c r="R14" s="280"/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 s="269"/>
      <c r="P18" s="84">
        <f>Calcs!P202</f>
        <v>272.86884891416418</v>
      </c>
      <c r="R18" s="280"/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 s="269"/>
      <c r="P19" s="84">
        <f>Calcs!P203</f>
        <v>81.353338906191937</v>
      </c>
      <c r="R19" s="280"/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354.22218782035611</v>
      </c>
      <c r="R21" s="280"/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2019-12-05T10:50:51Z</dcterms:created>
  <dcterms:modified xsi:type="dcterms:W3CDTF">2020-11-10T15:25:33Z</dcterms:modified>
  <cp:category/>
  <cp:contentStatus/>
</cp:coreProperties>
</file>